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4.xml" ContentType="application/vnd.openxmlformats-officedocument.spreadsheetml.comments+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5.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omments5.xml" ContentType="application/vnd.openxmlformats-officedocument.spreadsheetml.comments+xml"/>
  <Override PartName="/xl/drawings/drawing6.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7.xml" ContentType="application/vnd.openxmlformats-officedocument.drawing+xml"/>
  <Override PartName="/xl/comments6.xml" ContentType="application/vnd.openxmlformats-officedocument.spreadsheetml.comments+xml"/>
  <Override PartName="/xl/charts/chart16.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drawings/drawing8.xml" ContentType="application/vnd.openxmlformats-officedocument.drawing+xml"/>
  <Override PartName="/xl/charts/chart17.xml" ContentType="application/vnd.openxmlformats-officedocument.drawingml.chart+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WORK\SNS\CUSTOMERS\ABA\2014\Logistics Park\WIP\"/>
    </mc:Choice>
  </mc:AlternateContent>
  <bookViews>
    <workbookView minimized="1" xWindow="-15" yWindow="-15" windowWidth="19245" windowHeight="3750" tabRatio="758" activeTab="5"/>
  </bookViews>
  <sheets>
    <sheet name="Instructions" sheetId="5" r:id="rId1"/>
    <sheet name="Notes" sheetId="24" r:id="rId2"/>
    <sheet name="Assumptions" sheetId="28" r:id="rId3"/>
    <sheet name="Rates - Research" sheetId="9" r:id="rId4"/>
    <sheet name="Imports 2014" sheetId="1" r:id="rId5"/>
    <sheet name="Input" sheetId="2" r:id="rId6"/>
    <sheet name="Summary" sheetId="29" r:id="rId7"/>
    <sheet name="WH Schedule" sheetId="7" r:id="rId8"/>
    <sheet name="Building Cost Schedule" sheetId="47" r:id="rId9"/>
    <sheet name="WH area by temp" sheetId="46" r:id="rId10"/>
    <sheet name="Buildings &amp; Spaces" sheetId="45" r:id="rId11"/>
    <sheet name="Unit Details" sheetId="44" r:id="rId12"/>
    <sheet name="Other Schedule" sheetId="8" r:id="rId13"/>
    <sheet name="WH Cost PPT" sheetId="41" r:id="rId14"/>
    <sheet name="Other Cost PPT" sheetId="42" r:id="rId15"/>
    <sheet name="Cooling Requirements" sheetId="26" r:id="rId16"/>
    <sheet name="Staffing" sheetId="25" r:id="rId17"/>
    <sheet name="Costs" sheetId="10" r:id="rId18"/>
    <sheet name="Revenue" sheetId="11" r:id="rId19"/>
    <sheet name="Costs Charts" sheetId="43" r:id="rId20"/>
    <sheet name="CAPEX Schedule" sheetId="23" r:id="rId21"/>
    <sheet name="Depreciation Schedule" sheetId="27" r:id="rId22"/>
    <sheet name="Interest Revenue" sheetId="18" r:id="rId23"/>
    <sheet name="STD" sheetId="16" r:id="rId24"/>
    <sheet name="LTD" sheetId="15" r:id="rId25"/>
    <sheet name="Income Stmt" sheetId="17" r:id="rId26"/>
    <sheet name="Balance Sheet" sheetId="19" r:id="rId27"/>
    <sheet name="Cash Flow" sheetId="20" r:id="rId28"/>
    <sheet name="Ratio Analysis" sheetId="21" r:id="rId29"/>
    <sheet name="Investment Analysis" sheetId="22" r:id="rId30"/>
    <sheet name="Charts" sheetId="13" r:id="rId31"/>
    <sheet name="Rev" sheetId="30" r:id="rId32"/>
    <sheet name="Scenario_Sheet" sheetId="31" state="hidden" r:id="rId33"/>
    <sheet name="PL_Extract" sheetId="32" state="hidden" r:id="rId34"/>
    <sheet name="Capex" sheetId="33" r:id="rId35"/>
    <sheet name="BS" sheetId="34" r:id="rId36"/>
    <sheet name="CF" sheetId="35" r:id="rId37"/>
    <sheet name="Loan Plan" sheetId="36" r:id="rId38"/>
    <sheet name="Capex_Funding" sheetId="37" r:id="rId39"/>
    <sheet name="Project_Staff Cost " sheetId="39" r:id="rId40"/>
    <sheet name="Operations_Staff Cost" sheetId="40" r:id="rId41"/>
    <sheet name="Rental Rate and Capacity" sheetId="38" r:id="rId42"/>
  </sheets>
  <externalReferences>
    <externalReference r:id="rId43"/>
  </externalReferences>
  <definedNames>
    <definedName name="CODE" localSheetId="8">#REF!</definedName>
    <definedName name="CODE" localSheetId="40">#REF!</definedName>
    <definedName name="CODE" localSheetId="9">#REF!</definedName>
    <definedName name="CODE">#REF!</definedName>
    <definedName name="CST_ABA_FIN_VALUE">Input!$B$76</definedName>
    <definedName name="CST_AC_PCT">Input!$B$86</definedName>
    <definedName name="CST_AC_SQM">Input!$B$15</definedName>
    <definedName name="CST_ACC_PCT">Input!$B$10</definedName>
    <definedName name="CST_ACC_SQM">Input!$B$25</definedName>
    <definedName name="CST_AR_PCT">Input!$B$79</definedName>
    <definedName name="CST_BLD_AC">Input!$B$41</definedName>
    <definedName name="CST_BLD_AC_M">Input!$B$48</definedName>
    <definedName name="CST_BLD_ACCOM">Input!$B$61</definedName>
    <definedName name="CST_BLD_CHILL">Input!$B$42</definedName>
    <definedName name="CST_BLD_CHILL_M">Input!$B$49</definedName>
    <definedName name="CST_BLD_COMMERCIAL">Input!$B$62</definedName>
    <definedName name="CST_BLD_DRY">Input!$B$40</definedName>
    <definedName name="CST_BLD_DRY_M">Input!$B$47</definedName>
    <definedName name="CST_BLD_FROZ">Input!$B$43</definedName>
    <definedName name="CST_BLD_FROZ_M">Input!$B$50</definedName>
    <definedName name="CST_BLD_GUARDHS">Input!$B$66</definedName>
    <definedName name="CST_BLD_MEZZANINE">Input!$B$44</definedName>
    <definedName name="CST_BLD_MOSQUE">Input!$B$65</definedName>
    <definedName name="CST_BLD_PARKING">Input!$B$57</definedName>
    <definedName name="CST_BLD_PETROL">Input!$B$64</definedName>
    <definedName name="CST_BLD_PLTINFRA">Input!$B$56</definedName>
    <definedName name="CST_BLD_PLTSERVICING">Input!$B$55</definedName>
    <definedName name="CST_BLD_ROADS">Input!$B$54</definedName>
    <definedName name="CST_BLD_SOLAR_PANELS">Input!$B$67</definedName>
    <definedName name="CST_BLD_SPECIAL">Input!$B$46</definedName>
    <definedName name="CST_BLD_VMAINT">Input!$B$63</definedName>
    <definedName name="CST_BLD_YARD">Input!$B$45</definedName>
    <definedName name="CST_BLDG_SALVAGE_PCT">Input!$B$81</definedName>
    <definedName name="CST_CHILL_PCT">Input!$B$87</definedName>
    <definedName name="CST_CHILL_SQM">Input!$B$16</definedName>
    <definedName name="CST_COMMERCIAL_PCT">Input!$B$8</definedName>
    <definedName name="CST_COMMERCIAL_SQM">Input!$B$23</definedName>
    <definedName name="CST_DEFERRED_PCT">Input!$B$78</definedName>
    <definedName name="CST_DEP_BLDG">Input!$G$77</definedName>
    <definedName name="CST_DEP_OTHER">Input!$G$78</definedName>
    <definedName name="CST_DIVIDEND_PAYOUT">Input!$B$80</definedName>
    <definedName name="CST_DRY_PCT">Input!$B$85</definedName>
    <definedName name="CST_DRY_SQM">Input!$B$18</definedName>
    <definedName name="CST_ENTRANCE_PCT">Input!$B$6</definedName>
    <definedName name="CST_ENTRANCE_SQM">Input!$B$21</definedName>
    <definedName name="CST_FIN_EBIT_PCT">Input!$B$74</definedName>
    <definedName name="CST_FROZ_PCT">Input!$B$88</definedName>
    <definedName name="CST_FROZ_SQM">Input!$B$17</definedName>
    <definedName name="CST_INCOME_TAX">Input!$B$77</definedName>
    <definedName name="CST_INTEREST_CASH">Input!$B$72</definedName>
    <definedName name="CST_INTEREST_STD">Input!$B$73</definedName>
    <definedName name="CST_LEASE_MANATEQ">Input!$G$63</definedName>
    <definedName name="CST_LTD_INTEREST">Input!$B$71</definedName>
    <definedName name="CST_LTD_PERIODS">Input!$B$75</definedName>
    <definedName name="CST_MOSQUE_PCT">Input!$B$7</definedName>
    <definedName name="CST_MOSQUE_SQM">Input!$B$22</definedName>
    <definedName name="CST_PARKING_PCT">Input!$B$12</definedName>
    <definedName name="CST_PARKING_SQM">Input!$B$27</definedName>
    <definedName name="CST_PETROL_PCT">Input!$B$9</definedName>
    <definedName name="CST_PETROL_SQM">Input!$B$24</definedName>
    <definedName name="CST_PLT_FOOTPRINT">Input!$G$8</definedName>
    <definedName name="CST_PLT_H">Input!$G$4</definedName>
    <definedName name="CST_PLT_L">Input!$G$2</definedName>
    <definedName name="CST_PLT_W">Input!$G$3</definedName>
    <definedName name="CST_RENT_AC">Input!$G$41</definedName>
    <definedName name="CST_RENT_AC_M">Input!$G$50</definedName>
    <definedName name="CST_RENT_ACC">Input!$G$45</definedName>
    <definedName name="CST_RENT_CHILL">Input!$G$42</definedName>
    <definedName name="CST_RENT_CHILL_M">Input!$G$51</definedName>
    <definedName name="CST_RENT_COMM">Input!$G$46</definedName>
    <definedName name="CST_RENT_DEDICATED">Input!$G$53</definedName>
    <definedName name="CST_RENT_DRY">Input!$G$40</definedName>
    <definedName name="CST_RENT_DRY_M">Input!$G$49</definedName>
    <definedName name="CST_RENT_FROZ">Input!$G$43</definedName>
    <definedName name="CST_RENT_FROZEN_M">Input!$G$52</definedName>
    <definedName name="CST_RENT_PETROL">Input!$G$48</definedName>
    <definedName name="CST_RENT_VMAINT">Input!$G$47</definedName>
    <definedName name="CST_RENT_YARD">Input!$G$44</definedName>
    <definedName name="CST_ROADS_PCT">Input!$B$13</definedName>
    <definedName name="CST_ROADS_SQM">Input!$B$28</definedName>
    <definedName name="CST_SITE_SQM">Input!$B$2</definedName>
    <definedName name="CST_SVCS_PCT">Input!$B$5</definedName>
    <definedName name="CST_SVCS_SQM">Input!$B$20</definedName>
    <definedName name="CST_USD2QAR">Input!$B$36</definedName>
    <definedName name="CST_VMAINT_PCT">Input!$B$11</definedName>
    <definedName name="CST_VMAINT_SQM">Input!$B$26</definedName>
    <definedName name="CST_WACC">Input!$B$70</definedName>
    <definedName name="CST_WH_PCT">Input!$B$3</definedName>
    <definedName name="CST_WH_SQM">Input!$B$14</definedName>
    <definedName name="CST_YARD_PCT">Input!$B$4</definedName>
    <definedName name="CST_YARD_SQM">Input!$B$19</definedName>
    <definedName name="guess_rate" localSheetId="8">#REF!</definedName>
    <definedName name="guess_rate" localSheetId="40">#REF!</definedName>
    <definedName name="guess_rate" localSheetId="9">#REF!</definedName>
    <definedName name="guess_rate">#REF!</definedName>
    <definedName name="IRR">[1]Rev!$E$76</definedName>
    <definedName name="Months">[1]Rev!$F$74</definedName>
    <definedName name="NPV">[1]Rev!$F$75</definedName>
    <definedName name="npv_rate" localSheetId="8">#REF!</definedName>
    <definedName name="npv_rate" localSheetId="40">#REF!</definedName>
    <definedName name="npv_rate" localSheetId="9">#REF!</definedName>
    <definedName name="npv_rate">#REF!</definedName>
    <definedName name="_xlnm.Print_Area" localSheetId="35">BS!$A$1:$U$51</definedName>
    <definedName name="_xlnm.Print_Area" localSheetId="34">Capex!$A$1:$AC$55</definedName>
    <definedName name="_xlnm.Print_Area" localSheetId="38">Capex_Funding!$A$1:$R$308</definedName>
    <definedName name="_xlnm.Print_Area" localSheetId="36">CF!$B$1:$O$29</definedName>
    <definedName name="_xlnm.Print_Area" localSheetId="37">'Loan Plan'!$A$1:$L$300</definedName>
    <definedName name="_xlnm.Print_Area" localSheetId="40">'Operations_Staff Cost'!$A$1:$P$26</definedName>
    <definedName name="_xlnm.Print_Area" localSheetId="33">PL_Extract!$B$2:$X$46</definedName>
    <definedName name="_xlnm.Print_Area" localSheetId="39">'Project_Staff Cost '!$A$1:$P$26</definedName>
    <definedName name="_xlnm.Print_Area" localSheetId="41">'Rental Rate and Capacity'!$A$1:$V$55</definedName>
    <definedName name="_xlnm.Print_Area" localSheetId="31">Rev!$A$1:$V$96</definedName>
    <definedName name="_xlnm.Print_Area" localSheetId="32">Scenario_Sheet!$A$1:$R$16</definedName>
    <definedName name="_xlnm.Print_Area" localSheetId="6">Summary!$A$1:$K$25</definedName>
    <definedName name="_xlnm.Print_Titles" localSheetId="35">BS!$1:$2</definedName>
    <definedName name="_xlnm.Print_Titles" localSheetId="38">Capex_Funding!$7:$7</definedName>
    <definedName name="_xlnm.Print_Titles" localSheetId="37">'Loan Plan'!$23:$23</definedName>
    <definedName name="_xlnm.Print_Titles" localSheetId="31">Rev!$1:$4</definedName>
    <definedName name="solver_adj" localSheetId="31" hidden="1">Rev!$F$96</definedName>
    <definedName name="solver_lin" localSheetId="31" hidden="1">0</definedName>
    <definedName name="solver_num" localSheetId="31" hidden="1">0</definedName>
    <definedName name="solver_opt" localSheetId="31" hidden="1">Rev!$E$96</definedName>
    <definedName name="solver_typ" localSheetId="31" hidden="1">3</definedName>
    <definedName name="solver_val" localSheetId="31" hidden="1">0</definedName>
    <definedName name="testCODE">#REF!</definedName>
    <definedName name="Years">[1]Rev!$E$74</definedName>
  </definedNames>
  <calcPr calcId="152511"/>
</workbook>
</file>

<file path=xl/calcChain.xml><?xml version="1.0" encoding="utf-8"?>
<calcChain xmlns="http://schemas.openxmlformats.org/spreadsheetml/2006/main">
  <c r="E13" i="7" l="1"/>
  <c r="E18" i="7"/>
  <c r="B52" i="11" l="1"/>
  <c r="B51" i="11"/>
  <c r="F9" i="8" l="1"/>
  <c r="C25" i="23" l="1"/>
  <c r="B25" i="23"/>
  <c r="A29" i="23"/>
  <c r="A30" i="23"/>
  <c r="A31" i="23"/>
  <c r="A28" i="23"/>
  <c r="U1" i="43"/>
  <c r="O12" i="47"/>
  <c r="P5" i="47"/>
  <c r="P6" i="47"/>
  <c r="P7" i="47"/>
  <c r="P8" i="47"/>
  <c r="P9" i="47"/>
  <c r="P11" i="47"/>
  <c r="P4" i="47"/>
  <c r="O5" i="47"/>
  <c r="O6" i="47"/>
  <c r="O7" i="47"/>
  <c r="O8" i="47"/>
  <c r="O9" i="47"/>
  <c r="O10" i="47"/>
  <c r="O11" i="47"/>
  <c r="O4" i="47"/>
  <c r="N5" i="47"/>
  <c r="N6" i="47"/>
  <c r="N7" i="47"/>
  <c r="N8" i="47"/>
  <c r="N9" i="47"/>
  <c r="N11" i="47"/>
  <c r="N4" i="47"/>
  <c r="M6" i="47"/>
  <c r="M7" i="47"/>
  <c r="M8" i="47"/>
  <c r="M9" i="47"/>
  <c r="M10" i="47"/>
  <c r="M11" i="47"/>
  <c r="M5" i="47"/>
  <c r="M4" i="47"/>
  <c r="L12" i="47"/>
  <c r="L6" i="47"/>
  <c r="L7" i="47"/>
  <c r="L8" i="47"/>
  <c r="L9" i="47"/>
  <c r="L10" i="47"/>
  <c r="L11" i="47"/>
  <c r="L5" i="47"/>
  <c r="L4" i="47"/>
  <c r="K6" i="47"/>
  <c r="K7" i="47"/>
  <c r="K8" i="47"/>
  <c r="K9" i="47"/>
  <c r="K10" i="47"/>
  <c r="K11" i="47"/>
  <c r="K5" i="47"/>
  <c r="K4" i="47"/>
  <c r="B67" i="2"/>
  <c r="B13" i="47"/>
  <c r="B12" i="47"/>
  <c r="B11" i="47"/>
  <c r="B5" i="47"/>
  <c r="B6" i="47"/>
  <c r="B7" i="47"/>
  <c r="B8" i="47"/>
  <c r="B9" i="47"/>
  <c r="B10" i="47"/>
  <c r="B4" i="47"/>
  <c r="A13" i="47"/>
  <c r="A12" i="47"/>
  <c r="A11" i="47"/>
  <c r="A7" i="47"/>
  <c r="A8" i="47"/>
  <c r="A9" i="47"/>
  <c r="A10" i="47"/>
  <c r="A6" i="47"/>
  <c r="A5" i="47"/>
  <c r="A4" i="47"/>
  <c r="C19" i="44"/>
  <c r="I28" i="23"/>
  <c r="T29" i="23"/>
  <c r="M29" i="23"/>
  <c r="T28" i="23"/>
  <c r="I31" i="23"/>
  <c r="H31" i="23"/>
  <c r="Q29" i="23"/>
  <c r="E30" i="23"/>
  <c r="M28" i="23"/>
  <c r="Q31" i="23"/>
  <c r="C29" i="23"/>
  <c r="N30" i="23"/>
  <c r="J30" i="23"/>
  <c r="K31" i="23"/>
  <c r="Q30" i="23"/>
  <c r="R28" i="23"/>
  <c r="C30" i="23"/>
  <c r="F29" i="23"/>
  <c r="N29" i="23"/>
  <c r="N28" i="23"/>
  <c r="G28" i="23"/>
  <c r="U31" i="23"/>
  <c r="S29" i="23"/>
  <c r="B29" i="23"/>
  <c r="D28" i="23"/>
  <c r="B30" i="23"/>
  <c r="R31" i="23"/>
  <c r="U29" i="23"/>
  <c r="C31" i="23"/>
  <c r="P31" i="23"/>
  <c r="G31" i="23"/>
  <c r="U28" i="23"/>
  <c r="S31" i="23"/>
  <c r="S28" i="23"/>
  <c r="E29" i="23"/>
  <c r="E28" i="23"/>
  <c r="M31" i="23"/>
  <c r="L29" i="23"/>
  <c r="F28" i="23"/>
  <c r="H29" i="23"/>
  <c r="O28" i="23"/>
  <c r="H28" i="23"/>
  <c r="L31" i="23"/>
  <c r="S30" i="23"/>
  <c r="T30" i="23"/>
  <c r="I30" i="23"/>
  <c r="D29" i="23"/>
  <c r="I29" i="23"/>
  <c r="P30" i="23"/>
  <c r="U30" i="23"/>
  <c r="J29" i="23"/>
  <c r="G29" i="23"/>
  <c r="L30" i="23"/>
  <c r="P28" i="23"/>
  <c r="E31" i="23"/>
  <c r="D30" i="23"/>
  <c r="K28" i="23"/>
  <c r="R29" i="23"/>
  <c r="O31" i="23"/>
  <c r="F30" i="23"/>
  <c r="K30" i="23"/>
  <c r="T31" i="23"/>
  <c r="L28" i="23"/>
  <c r="F31" i="23"/>
  <c r="N31" i="23"/>
  <c r="O29" i="23"/>
  <c r="B28" i="23"/>
  <c r="B31" i="23"/>
  <c r="H30" i="23"/>
  <c r="C28" i="23"/>
  <c r="D31" i="23"/>
  <c r="J28" i="23"/>
  <c r="G30" i="23"/>
  <c r="K29" i="23"/>
  <c r="P29" i="23"/>
  <c r="R30" i="23"/>
  <c r="O30" i="23"/>
  <c r="M30" i="23"/>
  <c r="J31" i="23"/>
  <c r="V31" i="23" l="1"/>
  <c r="V30" i="23"/>
  <c r="V29" i="23"/>
  <c r="B14" i="47"/>
  <c r="M12" i="47"/>
  <c r="B50" i="2"/>
  <c r="B49" i="2"/>
  <c r="B48" i="2"/>
  <c r="B46" i="2" s="1"/>
  <c r="B47" i="2"/>
  <c r="B45" i="2"/>
  <c r="B44" i="2"/>
  <c r="B43" i="2"/>
  <c r="B42" i="2"/>
  <c r="B41" i="2"/>
  <c r="B40" i="2"/>
  <c r="D16" i="44" l="1"/>
  <c r="E15" i="44" s="1"/>
  <c r="D14" i="44"/>
  <c r="D8" i="44"/>
  <c r="B17" i="44"/>
  <c r="D17" i="44" s="1"/>
  <c r="B15" i="44"/>
  <c r="D15" i="44" s="1"/>
  <c r="B13" i="44"/>
  <c r="D13" i="44" s="1"/>
  <c r="B12" i="44"/>
  <c r="D12" i="44" s="1"/>
  <c r="B11" i="44"/>
  <c r="D11" i="44" s="1"/>
  <c r="B10" i="44"/>
  <c r="D10" i="44" s="1"/>
  <c r="B9" i="44"/>
  <c r="D9" i="44" s="1"/>
  <c r="E9" i="44" s="1"/>
  <c r="B7" i="44"/>
  <c r="D7" i="44" s="1"/>
  <c r="D18" i="44"/>
  <c r="E17" i="44" s="1"/>
  <c r="B6" i="44"/>
  <c r="D6" i="44" s="1"/>
  <c r="B5" i="44"/>
  <c r="D5" i="44" s="1"/>
  <c r="E5" i="44" s="1"/>
  <c r="E19" i="44" s="1"/>
  <c r="C9" i="46"/>
  <c r="D9" i="46"/>
  <c r="E9" i="46"/>
  <c r="G9" i="46"/>
  <c r="F9" i="46"/>
  <c r="A8" i="46"/>
  <c r="A7" i="46"/>
  <c r="A6" i="46"/>
  <c r="A5" i="46"/>
  <c r="H21" i="45" l="1"/>
  <c r="H22" i="45" s="1"/>
  <c r="G21" i="45"/>
  <c r="G22" i="45" s="1"/>
  <c r="F21" i="45"/>
  <c r="F22" i="45" s="1"/>
  <c r="H13" i="45"/>
  <c r="G13" i="45"/>
  <c r="F13" i="45"/>
  <c r="H9" i="45"/>
  <c r="G9" i="45"/>
  <c r="F9" i="45"/>
  <c r="A8" i="45"/>
  <c r="A7" i="45"/>
  <c r="A6" i="45"/>
  <c r="A5" i="45"/>
  <c r="B12" i="2"/>
  <c r="B11" i="2"/>
  <c r="B10" i="2"/>
  <c r="B9" i="2"/>
  <c r="B8" i="2"/>
  <c r="B7" i="2"/>
  <c r="B6" i="2"/>
  <c r="B4" i="2"/>
  <c r="B5" i="2"/>
  <c r="B3" i="2"/>
  <c r="D5" i="26"/>
  <c r="D6" i="26"/>
  <c r="D4" i="26"/>
  <c r="II37" i="10" l="1"/>
  <c r="A62" i="38" l="1"/>
  <c r="A63" i="38"/>
  <c r="A64" i="38"/>
  <c r="A65" i="38"/>
  <c r="A66" i="38"/>
  <c r="A67" i="38"/>
  <c r="A68" i="38"/>
  <c r="A69" i="38"/>
  <c r="A70" i="38"/>
  <c r="A71" i="38"/>
  <c r="A72" i="38"/>
  <c r="A73" i="38"/>
  <c r="A74" i="38"/>
  <c r="A61" i="38"/>
  <c r="B9" i="29"/>
  <c r="B1" i="43"/>
  <c r="C1" i="43"/>
  <c r="D1" i="43"/>
  <c r="E1" i="43"/>
  <c r="F1" i="43"/>
  <c r="G1" i="43"/>
  <c r="H1" i="43"/>
  <c r="I1" i="43"/>
  <c r="J1" i="43"/>
  <c r="K1" i="43"/>
  <c r="L1" i="43"/>
  <c r="M1" i="43"/>
  <c r="N1" i="43"/>
  <c r="O1" i="43"/>
  <c r="P1" i="43"/>
  <c r="Q1" i="43"/>
  <c r="R1" i="43"/>
  <c r="S1" i="43"/>
  <c r="T1" i="43"/>
  <c r="A3" i="43"/>
  <c r="A4" i="43"/>
  <c r="A5" i="43"/>
  <c r="A7" i="43"/>
  <c r="A8" i="43"/>
  <c r="A9" i="43"/>
  <c r="A10" i="43"/>
  <c r="A11" i="43"/>
  <c r="A12" i="43"/>
  <c r="A13" i="43"/>
  <c r="A14" i="43"/>
  <c r="A15" i="43"/>
  <c r="A16" i="43"/>
  <c r="A17" i="43"/>
  <c r="A18" i="43"/>
  <c r="A19" i="43"/>
  <c r="A20" i="43"/>
  <c r="A21" i="43"/>
  <c r="A22" i="43"/>
  <c r="A23" i="43"/>
  <c r="A24" i="43"/>
  <c r="A25" i="43"/>
  <c r="A26" i="43"/>
  <c r="A2" i="43"/>
  <c r="C2" i="42" l="1"/>
  <c r="C3" i="42"/>
  <c r="C4" i="42"/>
  <c r="C5" i="42"/>
  <c r="C6" i="42"/>
  <c r="C7" i="42"/>
  <c r="C8" i="42"/>
  <c r="C9" i="42"/>
  <c r="B1" i="42"/>
  <c r="C1" i="42"/>
  <c r="D1" i="42"/>
  <c r="E1" i="42"/>
  <c r="F1" i="42"/>
  <c r="A3" i="42"/>
  <c r="A4" i="42"/>
  <c r="A5" i="42"/>
  <c r="A6" i="42"/>
  <c r="A7" i="42"/>
  <c r="A8" i="42"/>
  <c r="A9" i="42"/>
  <c r="A2" i="42"/>
  <c r="E1" i="41"/>
  <c r="A2" i="41"/>
  <c r="B2" i="41"/>
  <c r="A3" i="41"/>
  <c r="B3" i="41"/>
  <c r="A4" i="41"/>
  <c r="B4" i="41"/>
  <c r="A5" i="41"/>
  <c r="B5" i="41"/>
  <c r="A6" i="41"/>
  <c r="B6" i="41"/>
  <c r="A7" i="41"/>
  <c r="B7" i="41"/>
  <c r="A8" i="41"/>
  <c r="B8" i="41"/>
  <c r="A9" i="41"/>
  <c r="B9" i="41"/>
  <c r="A10" i="41"/>
  <c r="B10" i="41"/>
  <c r="A11" i="41"/>
  <c r="B11" i="41"/>
  <c r="A12" i="41"/>
  <c r="A13" i="41"/>
  <c r="B13" i="41"/>
  <c r="A14" i="41"/>
  <c r="B14" i="41"/>
  <c r="A15" i="41"/>
  <c r="B15" i="41"/>
  <c r="A16" i="41"/>
  <c r="B16" i="41"/>
  <c r="A17" i="41"/>
  <c r="B18" i="41"/>
  <c r="I1" i="41"/>
  <c r="J1" i="41"/>
  <c r="K1" i="41"/>
  <c r="L1" i="41"/>
  <c r="M1" i="41"/>
  <c r="N1" i="41"/>
  <c r="D1" i="41"/>
  <c r="O1" i="41"/>
  <c r="P1" i="41"/>
  <c r="Q1" i="41"/>
  <c r="R1" i="41"/>
  <c r="S1" i="41"/>
  <c r="F1" i="41"/>
  <c r="G1" i="41"/>
  <c r="H1" i="41"/>
  <c r="E40" i="38"/>
  <c r="E60" i="38" s="1"/>
  <c r="F40" i="38"/>
  <c r="F60" i="38" s="1"/>
  <c r="G40" i="38"/>
  <c r="G60" i="38" s="1"/>
  <c r="H40" i="38"/>
  <c r="H60" i="38" s="1"/>
  <c r="I40" i="38"/>
  <c r="I60" i="38" s="1"/>
  <c r="J40" i="38"/>
  <c r="J60" i="38" s="1"/>
  <c r="K40" i="38"/>
  <c r="K60" i="38" s="1"/>
  <c r="L40" i="38"/>
  <c r="L60" i="38" s="1"/>
  <c r="M40" i="38"/>
  <c r="M60" i="38" s="1"/>
  <c r="N40" i="38"/>
  <c r="N60" i="38" s="1"/>
  <c r="O40" i="38"/>
  <c r="O60" i="38" s="1"/>
  <c r="P40" i="38"/>
  <c r="P60" i="38" s="1"/>
  <c r="Q40" i="38"/>
  <c r="Q60" i="38" s="1"/>
  <c r="R40" i="38"/>
  <c r="R60" i="38" s="1"/>
  <c r="S40" i="38"/>
  <c r="S60" i="38" s="1"/>
  <c r="T40" i="38"/>
  <c r="T60" i="38" s="1"/>
  <c r="U40" i="38"/>
  <c r="U60" i="38" s="1"/>
  <c r="V40" i="38"/>
  <c r="V60" i="38" s="1"/>
  <c r="D40" i="38"/>
  <c r="D60" i="38" s="1"/>
  <c r="C40" i="38"/>
  <c r="C60" i="38" s="1"/>
  <c r="B12" i="41"/>
  <c r="G17" i="2"/>
  <c r="B33" i="10" l="1"/>
  <c r="AA17" i="7" l="1"/>
  <c r="D16" i="41" s="1"/>
  <c r="AA18" i="7"/>
  <c r="D17" i="41" s="1"/>
  <c r="AA19" i="7"/>
  <c r="D18" i="41" s="1"/>
  <c r="J45" i="2" l="1"/>
  <c r="C14" i="9"/>
  <c r="I14" i="9" s="1"/>
  <c r="C12" i="9"/>
  <c r="C11" i="9"/>
  <c r="B61" i="2" l="1"/>
  <c r="M307" i="37"/>
  <c r="M306" i="37"/>
  <c r="M305" i="37"/>
  <c r="M304" i="37"/>
  <c r="M303" i="37"/>
  <c r="M302" i="37"/>
  <c r="M301" i="37"/>
  <c r="M300" i="37"/>
  <c r="M299" i="37"/>
  <c r="M298" i="37"/>
  <c r="M297" i="37"/>
  <c r="M296" i="37"/>
  <c r="M295" i="37"/>
  <c r="M294" i="37"/>
  <c r="M293" i="37"/>
  <c r="M292" i="37"/>
  <c r="M291" i="37"/>
  <c r="M290" i="37"/>
  <c r="M289" i="37"/>
  <c r="M288" i="37"/>
  <c r="M287" i="37"/>
  <c r="M286" i="37"/>
  <c r="M285" i="37"/>
  <c r="M284" i="37"/>
  <c r="M283" i="37"/>
  <c r="M282" i="37"/>
  <c r="M281" i="37"/>
  <c r="M280" i="37"/>
  <c r="M279" i="37"/>
  <c r="M278" i="37"/>
  <c r="M277" i="37"/>
  <c r="M276" i="37"/>
  <c r="M275" i="37"/>
  <c r="M274" i="37"/>
  <c r="M273" i="37"/>
  <c r="M272" i="37"/>
  <c r="M271" i="37"/>
  <c r="M270" i="37"/>
  <c r="M269" i="37"/>
  <c r="M268" i="37"/>
  <c r="M267" i="37"/>
  <c r="M266" i="37"/>
  <c r="M265" i="37"/>
  <c r="M264" i="37"/>
  <c r="M263" i="37"/>
  <c r="M262" i="37"/>
  <c r="M261" i="37"/>
  <c r="M260" i="37"/>
  <c r="M259" i="37"/>
  <c r="M258" i="37"/>
  <c r="M257" i="37"/>
  <c r="M256" i="37"/>
  <c r="M255" i="37"/>
  <c r="M254" i="37"/>
  <c r="M253" i="37"/>
  <c r="M252" i="37"/>
  <c r="M251" i="37"/>
  <c r="M250" i="37"/>
  <c r="M249" i="37"/>
  <c r="M248" i="37"/>
  <c r="H47" i="36"/>
  <c r="H59" i="36" s="1"/>
  <c r="H71" i="36" s="1"/>
  <c r="H83" i="36" s="1"/>
  <c r="H95" i="36" s="1"/>
  <c r="H107" i="36" s="1"/>
  <c r="H119" i="36" s="1"/>
  <c r="H131" i="36" s="1"/>
  <c r="H143" i="36" s="1"/>
  <c r="H155" i="36" s="1"/>
  <c r="H167" i="36" s="1"/>
  <c r="H179" i="36" s="1"/>
  <c r="H191" i="36" s="1"/>
  <c r="H203" i="36" s="1"/>
  <c r="H215" i="36" s="1"/>
  <c r="H227" i="36" s="1"/>
  <c r="H239" i="36" s="1"/>
  <c r="H251" i="36" s="1"/>
  <c r="H263" i="36" s="1"/>
  <c r="H275" i="36" s="1"/>
  <c r="H287" i="36" s="1"/>
  <c r="H299" i="36" s="1"/>
  <c r="H46" i="36"/>
  <c r="H58" i="36" s="1"/>
  <c r="H70" i="36" s="1"/>
  <c r="H82" i="36" s="1"/>
  <c r="H94" i="36" s="1"/>
  <c r="H106" i="36" s="1"/>
  <c r="H118" i="36" s="1"/>
  <c r="H130" i="36" s="1"/>
  <c r="H142" i="36" s="1"/>
  <c r="H154" i="36" s="1"/>
  <c r="H166" i="36" s="1"/>
  <c r="H178" i="36" s="1"/>
  <c r="H190" i="36" s="1"/>
  <c r="H202" i="36" s="1"/>
  <c r="H214" i="36" s="1"/>
  <c r="H226" i="36" s="1"/>
  <c r="H238" i="36" s="1"/>
  <c r="H250" i="36" s="1"/>
  <c r="H262" i="36" s="1"/>
  <c r="H274" i="36" s="1"/>
  <c r="H286" i="36" s="1"/>
  <c r="H298" i="36" s="1"/>
  <c r="H45" i="36"/>
  <c r="H57" i="36" s="1"/>
  <c r="H69" i="36" s="1"/>
  <c r="H81" i="36" s="1"/>
  <c r="H93" i="36" s="1"/>
  <c r="H105" i="36" s="1"/>
  <c r="H117" i="36" s="1"/>
  <c r="H129" i="36" s="1"/>
  <c r="H141" i="36" s="1"/>
  <c r="H153" i="36" s="1"/>
  <c r="H165" i="36" s="1"/>
  <c r="H177" i="36" s="1"/>
  <c r="H189" i="36" s="1"/>
  <c r="H201" i="36" s="1"/>
  <c r="H213" i="36" s="1"/>
  <c r="H225" i="36" s="1"/>
  <c r="H237" i="36" s="1"/>
  <c r="H249" i="36" s="1"/>
  <c r="H261" i="36" s="1"/>
  <c r="H273" i="36" s="1"/>
  <c r="H285" i="36" s="1"/>
  <c r="H297" i="36" s="1"/>
  <c r="H44" i="36"/>
  <c r="H56" i="36" s="1"/>
  <c r="H68" i="36" s="1"/>
  <c r="H80" i="36" s="1"/>
  <c r="H92" i="36" s="1"/>
  <c r="H104" i="36" s="1"/>
  <c r="H116" i="36" s="1"/>
  <c r="H128" i="36" s="1"/>
  <c r="H140" i="36" s="1"/>
  <c r="H152" i="36" s="1"/>
  <c r="H164" i="36" s="1"/>
  <c r="H176" i="36" s="1"/>
  <c r="H188" i="36" s="1"/>
  <c r="H200" i="36" s="1"/>
  <c r="H212" i="36" s="1"/>
  <c r="H224" i="36" s="1"/>
  <c r="H236" i="36" s="1"/>
  <c r="H248" i="36" s="1"/>
  <c r="H260" i="36" s="1"/>
  <c r="H272" i="36" s="1"/>
  <c r="H284" i="36" s="1"/>
  <c r="H296" i="36" s="1"/>
  <c r="H43" i="36"/>
  <c r="H55" i="36" s="1"/>
  <c r="H67" i="36" s="1"/>
  <c r="H79" i="36" s="1"/>
  <c r="H91" i="36" s="1"/>
  <c r="H103" i="36" s="1"/>
  <c r="H115" i="36" s="1"/>
  <c r="H127" i="36" s="1"/>
  <c r="H139" i="36" s="1"/>
  <c r="H151" i="36" s="1"/>
  <c r="H163" i="36" s="1"/>
  <c r="H175" i="36" s="1"/>
  <c r="H187" i="36" s="1"/>
  <c r="H199" i="36" s="1"/>
  <c r="H211" i="36" s="1"/>
  <c r="H223" i="36" s="1"/>
  <c r="H235" i="36" s="1"/>
  <c r="H247" i="36" s="1"/>
  <c r="H259" i="36" s="1"/>
  <c r="H271" i="36" s="1"/>
  <c r="H283" i="36" s="1"/>
  <c r="H295" i="36" s="1"/>
  <c r="H42" i="36"/>
  <c r="H54" i="36" s="1"/>
  <c r="H66" i="36" s="1"/>
  <c r="H78" i="36" s="1"/>
  <c r="H90" i="36" s="1"/>
  <c r="H102" i="36" s="1"/>
  <c r="H114" i="36" s="1"/>
  <c r="H126" i="36" s="1"/>
  <c r="H138" i="36" s="1"/>
  <c r="H150" i="36" s="1"/>
  <c r="H162" i="36" s="1"/>
  <c r="H174" i="36" s="1"/>
  <c r="H186" i="36" s="1"/>
  <c r="H198" i="36" s="1"/>
  <c r="H210" i="36" s="1"/>
  <c r="H222" i="36" s="1"/>
  <c r="H234" i="36" s="1"/>
  <c r="H246" i="36" s="1"/>
  <c r="H258" i="36" s="1"/>
  <c r="H270" i="36" s="1"/>
  <c r="H282" i="36" s="1"/>
  <c r="H294" i="36" s="1"/>
  <c r="H41" i="36"/>
  <c r="H53" i="36" s="1"/>
  <c r="H65" i="36" s="1"/>
  <c r="H77" i="36" s="1"/>
  <c r="H89" i="36" s="1"/>
  <c r="H101" i="36" s="1"/>
  <c r="H113" i="36" s="1"/>
  <c r="H125" i="36" s="1"/>
  <c r="H137" i="36" s="1"/>
  <c r="H149" i="36" s="1"/>
  <c r="H161" i="36" s="1"/>
  <c r="H173" i="36" s="1"/>
  <c r="H185" i="36" s="1"/>
  <c r="H197" i="36" s="1"/>
  <c r="H209" i="36" s="1"/>
  <c r="H221" i="36" s="1"/>
  <c r="H233" i="36" s="1"/>
  <c r="H245" i="36" s="1"/>
  <c r="H257" i="36" s="1"/>
  <c r="H269" i="36" s="1"/>
  <c r="H281" i="36" s="1"/>
  <c r="H293" i="36" s="1"/>
  <c r="H40" i="36"/>
  <c r="H52" i="36" s="1"/>
  <c r="H64" i="36" s="1"/>
  <c r="H76" i="36" s="1"/>
  <c r="H88" i="36" s="1"/>
  <c r="H100" i="36" s="1"/>
  <c r="H112" i="36" s="1"/>
  <c r="H124" i="36" s="1"/>
  <c r="H136" i="36" s="1"/>
  <c r="H148" i="36" s="1"/>
  <c r="H160" i="36" s="1"/>
  <c r="H172" i="36" s="1"/>
  <c r="H184" i="36" s="1"/>
  <c r="H196" i="36" s="1"/>
  <c r="H208" i="36" s="1"/>
  <c r="H220" i="36" s="1"/>
  <c r="H232" i="36" s="1"/>
  <c r="H244" i="36" s="1"/>
  <c r="H256" i="36" s="1"/>
  <c r="H268" i="36" s="1"/>
  <c r="H280" i="36" s="1"/>
  <c r="H292" i="36" s="1"/>
  <c r="H39" i="36"/>
  <c r="H51" i="36" s="1"/>
  <c r="H63" i="36" s="1"/>
  <c r="H75" i="36" s="1"/>
  <c r="H87" i="36" s="1"/>
  <c r="H99" i="36" s="1"/>
  <c r="H111" i="36" s="1"/>
  <c r="H123" i="36" s="1"/>
  <c r="H135" i="36" s="1"/>
  <c r="H147" i="36" s="1"/>
  <c r="H159" i="36" s="1"/>
  <c r="H171" i="36" s="1"/>
  <c r="H183" i="36" s="1"/>
  <c r="H195" i="36" s="1"/>
  <c r="H207" i="36" s="1"/>
  <c r="H219" i="36" s="1"/>
  <c r="H231" i="36" s="1"/>
  <c r="H243" i="36" s="1"/>
  <c r="H255" i="36" s="1"/>
  <c r="H267" i="36" s="1"/>
  <c r="H279" i="36" s="1"/>
  <c r="H291" i="36" s="1"/>
  <c r="H38" i="36"/>
  <c r="H50" i="36" s="1"/>
  <c r="H62" i="36" s="1"/>
  <c r="H74" i="36" s="1"/>
  <c r="H86" i="36" s="1"/>
  <c r="H98" i="36" s="1"/>
  <c r="H110" i="36" s="1"/>
  <c r="H122" i="36" s="1"/>
  <c r="H134" i="36" s="1"/>
  <c r="H146" i="36" s="1"/>
  <c r="H158" i="36" s="1"/>
  <c r="H170" i="36" s="1"/>
  <c r="H182" i="36" s="1"/>
  <c r="H194" i="36" s="1"/>
  <c r="H206" i="36" s="1"/>
  <c r="H218" i="36" s="1"/>
  <c r="H230" i="36" s="1"/>
  <c r="H242" i="36" s="1"/>
  <c r="H254" i="36" s="1"/>
  <c r="H266" i="36" s="1"/>
  <c r="H278" i="36" s="1"/>
  <c r="H290" i="36" s="1"/>
  <c r="H37" i="36"/>
  <c r="H49" i="36" s="1"/>
  <c r="H61" i="36" s="1"/>
  <c r="H73" i="36" s="1"/>
  <c r="H85" i="36" s="1"/>
  <c r="H97" i="36" s="1"/>
  <c r="H109" i="36" s="1"/>
  <c r="H121" i="36" s="1"/>
  <c r="H133" i="36" s="1"/>
  <c r="H145" i="36" s="1"/>
  <c r="H157" i="36" s="1"/>
  <c r="H169" i="36" s="1"/>
  <c r="H181" i="36" s="1"/>
  <c r="H193" i="36" s="1"/>
  <c r="H205" i="36" s="1"/>
  <c r="H217" i="36" s="1"/>
  <c r="H229" i="36" s="1"/>
  <c r="H241" i="36" s="1"/>
  <c r="H253" i="36" s="1"/>
  <c r="H265" i="36" s="1"/>
  <c r="H277" i="36" s="1"/>
  <c r="H289" i="36" s="1"/>
  <c r="H36" i="36"/>
  <c r="H48" i="36" s="1"/>
  <c r="H60" i="36" s="1"/>
  <c r="H72" i="36" s="1"/>
  <c r="H84" i="36" s="1"/>
  <c r="H96" i="36" s="1"/>
  <c r="H108" i="36" s="1"/>
  <c r="H120" i="36" s="1"/>
  <c r="H132" i="36" s="1"/>
  <c r="H144" i="36" s="1"/>
  <c r="H156" i="36" s="1"/>
  <c r="H168" i="36" s="1"/>
  <c r="H180" i="36" s="1"/>
  <c r="H192" i="36" s="1"/>
  <c r="H204" i="36" s="1"/>
  <c r="H216" i="36" s="1"/>
  <c r="H228" i="36" s="1"/>
  <c r="H240" i="36" s="1"/>
  <c r="H252" i="36" s="1"/>
  <c r="H264" i="36" s="1"/>
  <c r="H276" i="36" s="1"/>
  <c r="H288" i="36" s="1"/>
  <c r="T7" i="34"/>
  <c r="U7" i="34"/>
  <c r="AA42" i="34"/>
  <c r="AC37" i="33"/>
  <c r="AB37" i="33"/>
  <c r="AA37" i="33"/>
  <c r="Z37" i="33"/>
  <c r="Y37" i="33"/>
  <c r="X37" i="33"/>
  <c r="W37" i="33"/>
  <c r="V37" i="33"/>
  <c r="AC19" i="33"/>
  <c r="AB19" i="33"/>
  <c r="AA19" i="33"/>
  <c r="Z19" i="33"/>
  <c r="Y19" i="33"/>
  <c r="AC16" i="33"/>
  <c r="AB16" i="33"/>
  <c r="AA16" i="33"/>
  <c r="Z16" i="33"/>
  <c r="Y16" i="33"/>
  <c r="I5" i="40"/>
  <c r="K5" i="40"/>
  <c r="L5" i="40"/>
  <c r="I6" i="40"/>
  <c r="K6" i="40"/>
  <c r="O6" i="40" s="1"/>
  <c r="P6" i="40" s="1"/>
  <c r="L6" i="40"/>
  <c r="I7" i="40"/>
  <c r="K7" i="40"/>
  <c r="L7" i="40"/>
  <c r="I8" i="40"/>
  <c r="K8" i="40"/>
  <c r="L8" i="40"/>
  <c r="I9" i="40"/>
  <c r="K9" i="40"/>
  <c r="L9" i="40"/>
  <c r="I10" i="40"/>
  <c r="K10" i="40"/>
  <c r="L10" i="40"/>
  <c r="I11" i="40"/>
  <c r="K11" i="40"/>
  <c r="L11" i="40"/>
  <c r="O11" i="40" s="1"/>
  <c r="I12" i="40"/>
  <c r="K12" i="40"/>
  <c r="L12" i="40"/>
  <c r="I13" i="40"/>
  <c r="K13" i="40"/>
  <c r="L13" i="40"/>
  <c r="I14" i="40"/>
  <c r="K14" i="40"/>
  <c r="L14" i="40"/>
  <c r="O14" i="40"/>
  <c r="P14" i="40" s="1"/>
  <c r="I15" i="40"/>
  <c r="K15" i="40"/>
  <c r="L15" i="40"/>
  <c r="I16" i="40"/>
  <c r="K16" i="40"/>
  <c r="L16" i="40"/>
  <c r="E17" i="40"/>
  <c r="F17" i="40"/>
  <c r="G17" i="40"/>
  <c r="H17" i="40"/>
  <c r="J17" i="40"/>
  <c r="M17" i="40"/>
  <c r="N17" i="40"/>
  <c r="C29" i="40"/>
  <c r="E29" i="40"/>
  <c r="C30" i="40"/>
  <c r="E30" i="40"/>
  <c r="C31" i="40"/>
  <c r="E31" i="40"/>
  <c r="C32" i="40"/>
  <c r="E32" i="40"/>
  <c r="C33" i="40"/>
  <c r="E33" i="40"/>
  <c r="C34" i="40"/>
  <c r="E34" i="40"/>
  <c r="C35" i="40"/>
  <c r="E35" i="40"/>
  <c r="C36" i="40"/>
  <c r="E36" i="40"/>
  <c r="C37" i="40"/>
  <c r="E37" i="40"/>
  <c r="C38" i="40"/>
  <c r="E38" i="40"/>
  <c r="C39" i="40"/>
  <c r="E39" i="40"/>
  <c r="C40" i="40"/>
  <c r="E40" i="40"/>
  <c r="I5" i="39"/>
  <c r="K5" i="39"/>
  <c r="L5" i="39"/>
  <c r="I6" i="39"/>
  <c r="K6" i="39"/>
  <c r="L6" i="39"/>
  <c r="I7" i="39"/>
  <c r="K7" i="39"/>
  <c r="L7" i="39"/>
  <c r="I8" i="39"/>
  <c r="K8" i="39"/>
  <c r="L8" i="39"/>
  <c r="I9" i="39"/>
  <c r="K9" i="39"/>
  <c r="L9" i="39"/>
  <c r="I10" i="39"/>
  <c r="K10" i="39"/>
  <c r="L10" i="39"/>
  <c r="I11" i="39"/>
  <c r="K11" i="39"/>
  <c r="L11" i="39"/>
  <c r="I12" i="39"/>
  <c r="K12" i="39"/>
  <c r="L12" i="39"/>
  <c r="I13" i="39"/>
  <c r="K13" i="39"/>
  <c r="L13" i="39"/>
  <c r="I14" i="39"/>
  <c r="K14" i="39"/>
  <c r="L14" i="39"/>
  <c r="I15" i="39"/>
  <c r="K15" i="39"/>
  <c r="L15" i="39"/>
  <c r="I16" i="39"/>
  <c r="K16" i="39"/>
  <c r="L16" i="39"/>
  <c r="E17" i="39"/>
  <c r="F17" i="39"/>
  <c r="G17" i="39"/>
  <c r="H17" i="39"/>
  <c r="J17" i="39"/>
  <c r="M17" i="39"/>
  <c r="N17" i="39"/>
  <c r="C29" i="39"/>
  <c r="E29" i="39"/>
  <c r="C30" i="39"/>
  <c r="E30" i="39"/>
  <c r="C31" i="39"/>
  <c r="E31" i="39"/>
  <c r="C32" i="39"/>
  <c r="E32" i="39"/>
  <c r="C33" i="39"/>
  <c r="E33" i="39"/>
  <c r="C34" i="39"/>
  <c r="E34" i="39"/>
  <c r="C35" i="39"/>
  <c r="E35" i="39"/>
  <c r="C36" i="39"/>
  <c r="E36" i="39"/>
  <c r="C37" i="39"/>
  <c r="E37" i="39"/>
  <c r="C38" i="39"/>
  <c r="E38" i="39"/>
  <c r="C39" i="39"/>
  <c r="E39" i="39"/>
  <c r="C40" i="39"/>
  <c r="E40" i="39"/>
  <c r="B1" i="35"/>
  <c r="A1" i="34"/>
  <c r="B47" i="34"/>
  <c r="D3" i="36"/>
  <c r="J24" i="36" s="1"/>
  <c r="D2" i="36"/>
  <c r="D4" i="37"/>
  <c r="D3" i="37"/>
  <c r="C4" i="38"/>
  <c r="D4" i="38"/>
  <c r="E4" i="38"/>
  <c r="F4" i="38"/>
  <c r="G4" i="38"/>
  <c r="H4" i="38"/>
  <c r="I4" i="38"/>
  <c r="J4" i="38"/>
  <c r="K4" i="38"/>
  <c r="L4" i="38"/>
  <c r="M4" i="38"/>
  <c r="N4" i="38"/>
  <c r="O4" i="38"/>
  <c r="P4" i="38"/>
  <c r="Q4" i="38"/>
  <c r="R4" i="38"/>
  <c r="S4" i="38"/>
  <c r="T4" i="38"/>
  <c r="U4" i="38"/>
  <c r="V4" i="38"/>
  <c r="C5" i="38"/>
  <c r="D5" i="38"/>
  <c r="E5" i="38"/>
  <c r="F5" i="38"/>
  <c r="G5" i="38"/>
  <c r="H5" i="38"/>
  <c r="I5" i="38"/>
  <c r="J5" i="38"/>
  <c r="K5" i="38"/>
  <c r="L5" i="38"/>
  <c r="M5" i="38"/>
  <c r="N5" i="38"/>
  <c r="O5" i="38"/>
  <c r="P5" i="38"/>
  <c r="Q5" i="38"/>
  <c r="R5" i="38"/>
  <c r="S5" i="38"/>
  <c r="T5" i="38"/>
  <c r="U5" i="38"/>
  <c r="V5" i="38"/>
  <c r="C6" i="38"/>
  <c r="D6" i="38"/>
  <c r="E6" i="38"/>
  <c r="F6" i="38"/>
  <c r="G6" i="38"/>
  <c r="H6" i="38"/>
  <c r="I6" i="38"/>
  <c r="J6" i="38"/>
  <c r="K6" i="38"/>
  <c r="L6" i="38"/>
  <c r="M6" i="38"/>
  <c r="N6" i="38"/>
  <c r="O6" i="38"/>
  <c r="P6" i="38"/>
  <c r="Q6" i="38"/>
  <c r="R6" i="38"/>
  <c r="S6" i="38"/>
  <c r="T6" i="38"/>
  <c r="U6" i="38"/>
  <c r="V6" i="38"/>
  <c r="C7" i="38"/>
  <c r="D7" i="38"/>
  <c r="E7" i="38"/>
  <c r="F7" i="38"/>
  <c r="G7" i="38"/>
  <c r="H7" i="38"/>
  <c r="I7" i="38"/>
  <c r="J7" i="38"/>
  <c r="K7" i="38"/>
  <c r="L7" i="38"/>
  <c r="M7" i="38"/>
  <c r="N7" i="38"/>
  <c r="O7" i="38"/>
  <c r="P7" i="38"/>
  <c r="Q7" i="38"/>
  <c r="R7" i="38"/>
  <c r="S7" i="38"/>
  <c r="T7" i="38"/>
  <c r="U7" i="38"/>
  <c r="V7" i="38"/>
  <c r="C8" i="38"/>
  <c r="D8" i="38"/>
  <c r="E8" i="38"/>
  <c r="F8" i="38"/>
  <c r="G8" i="38"/>
  <c r="H8" i="38"/>
  <c r="I8" i="38"/>
  <c r="J8" i="38"/>
  <c r="K8" i="38"/>
  <c r="L8" i="38"/>
  <c r="M8" i="38"/>
  <c r="N8" i="38"/>
  <c r="O8" i="38"/>
  <c r="P8" i="38"/>
  <c r="Q8" i="38"/>
  <c r="R8" i="38"/>
  <c r="S8" i="38"/>
  <c r="T8" i="38"/>
  <c r="U8" i="38"/>
  <c r="V8" i="38"/>
  <c r="C9" i="38"/>
  <c r="D9" i="38"/>
  <c r="E9" i="38"/>
  <c r="F9" i="38"/>
  <c r="G9" i="38"/>
  <c r="H9" i="38"/>
  <c r="I9" i="38"/>
  <c r="J9" i="38"/>
  <c r="K9" i="38"/>
  <c r="L9" i="38"/>
  <c r="M9" i="38"/>
  <c r="N9" i="38"/>
  <c r="O9" i="38"/>
  <c r="P9" i="38"/>
  <c r="Q9" i="38"/>
  <c r="R9" i="38"/>
  <c r="S9" i="38"/>
  <c r="T9" i="38"/>
  <c r="U9" i="38"/>
  <c r="V9" i="38"/>
  <c r="C10" i="38"/>
  <c r="D10" i="38"/>
  <c r="E10" i="38"/>
  <c r="F10" i="38"/>
  <c r="G10" i="38"/>
  <c r="H10" i="38"/>
  <c r="I10" i="38"/>
  <c r="J10" i="38"/>
  <c r="K10" i="38"/>
  <c r="L10" i="38"/>
  <c r="M10" i="38"/>
  <c r="N10" i="38"/>
  <c r="O10" i="38"/>
  <c r="P10" i="38"/>
  <c r="Q10" i="38"/>
  <c r="R10" i="38"/>
  <c r="S10" i="38"/>
  <c r="T10" i="38"/>
  <c r="U10" i="38"/>
  <c r="V10" i="38"/>
  <c r="C11" i="38"/>
  <c r="D11" i="38"/>
  <c r="E11" i="38"/>
  <c r="F11" i="38"/>
  <c r="G11" i="38"/>
  <c r="H11" i="38"/>
  <c r="I11" i="38"/>
  <c r="J11" i="38"/>
  <c r="K11" i="38"/>
  <c r="L11" i="38"/>
  <c r="M11" i="38"/>
  <c r="N11" i="38"/>
  <c r="O11" i="38"/>
  <c r="P11" i="38"/>
  <c r="Q11" i="38"/>
  <c r="R11" i="38"/>
  <c r="S11" i="38"/>
  <c r="T11" i="38"/>
  <c r="U11" i="38"/>
  <c r="V11" i="38"/>
  <c r="C12" i="38"/>
  <c r="D12" i="38"/>
  <c r="E12" i="38"/>
  <c r="F12" i="38"/>
  <c r="G12" i="38"/>
  <c r="H12" i="38"/>
  <c r="I12" i="38"/>
  <c r="J12" i="38"/>
  <c r="K12" i="38"/>
  <c r="L12" i="38"/>
  <c r="M12" i="38"/>
  <c r="N12" i="38"/>
  <c r="O12" i="38"/>
  <c r="P12" i="38"/>
  <c r="Q12" i="38"/>
  <c r="R12" i="38"/>
  <c r="S12" i="38"/>
  <c r="T12" i="38"/>
  <c r="U12" i="38"/>
  <c r="V12" i="38"/>
  <c r="C13" i="38"/>
  <c r="D13" i="38"/>
  <c r="E13" i="38"/>
  <c r="F13" i="38"/>
  <c r="G13" i="38"/>
  <c r="H13" i="38"/>
  <c r="I13" i="38"/>
  <c r="J13" i="38"/>
  <c r="K13" i="38"/>
  <c r="L13" i="38"/>
  <c r="M13" i="38"/>
  <c r="N13" i="38"/>
  <c r="O13" i="38"/>
  <c r="P13" i="38"/>
  <c r="Q13" i="38"/>
  <c r="R13" i="38"/>
  <c r="S13" i="38"/>
  <c r="T13" i="38"/>
  <c r="U13" i="38"/>
  <c r="V13" i="38"/>
  <c r="C14" i="38"/>
  <c r="D14" i="38"/>
  <c r="E14" i="38"/>
  <c r="F14" i="38"/>
  <c r="G14" i="38"/>
  <c r="H14" i="38"/>
  <c r="I14" i="38"/>
  <c r="J14" i="38"/>
  <c r="K14" i="38"/>
  <c r="L14" i="38"/>
  <c r="M14" i="38"/>
  <c r="N14" i="38"/>
  <c r="O14" i="38"/>
  <c r="P14" i="38"/>
  <c r="Q14" i="38"/>
  <c r="R14" i="38"/>
  <c r="S14" i="38"/>
  <c r="T14" i="38"/>
  <c r="U14" i="38"/>
  <c r="V14" i="38"/>
  <c r="C15" i="38"/>
  <c r="D15" i="38"/>
  <c r="E15" i="38"/>
  <c r="F15" i="38"/>
  <c r="G15" i="38"/>
  <c r="H15" i="38"/>
  <c r="I15" i="38"/>
  <c r="J15" i="38"/>
  <c r="K15" i="38"/>
  <c r="L15" i="38"/>
  <c r="M15" i="38"/>
  <c r="N15" i="38"/>
  <c r="O15" i="38"/>
  <c r="P15" i="38"/>
  <c r="Q15" i="38"/>
  <c r="R15" i="38"/>
  <c r="S15" i="38"/>
  <c r="T15" i="38"/>
  <c r="U15" i="38"/>
  <c r="V15" i="38"/>
  <c r="C16" i="38"/>
  <c r="D16" i="38"/>
  <c r="E16" i="38"/>
  <c r="F16" i="38"/>
  <c r="G16" i="38"/>
  <c r="H16" i="38"/>
  <c r="I16" i="38"/>
  <c r="J16" i="38"/>
  <c r="K16" i="38"/>
  <c r="L16" i="38"/>
  <c r="M16" i="38"/>
  <c r="N16" i="38"/>
  <c r="O16" i="38"/>
  <c r="P16" i="38"/>
  <c r="Q16" i="38"/>
  <c r="R16" i="38"/>
  <c r="S16" i="38"/>
  <c r="T16" i="38"/>
  <c r="U16" i="38"/>
  <c r="V16" i="38"/>
  <c r="C17" i="38"/>
  <c r="D17" i="38"/>
  <c r="E17" i="38"/>
  <c r="F17" i="38"/>
  <c r="G17" i="38"/>
  <c r="H17" i="38"/>
  <c r="I17" i="38"/>
  <c r="J17" i="38"/>
  <c r="K17" i="38"/>
  <c r="L17" i="38"/>
  <c r="M17" i="38"/>
  <c r="N17" i="38"/>
  <c r="O17" i="38"/>
  <c r="P17" i="38"/>
  <c r="Q17" i="38"/>
  <c r="R17" i="38"/>
  <c r="S17" i="38"/>
  <c r="T17" i="38"/>
  <c r="U17" i="38"/>
  <c r="V17" i="38"/>
  <c r="B23" i="38"/>
  <c r="B24" i="38"/>
  <c r="B25" i="38"/>
  <c r="B26" i="38"/>
  <c r="B27" i="38"/>
  <c r="B28" i="38"/>
  <c r="B29" i="38"/>
  <c r="B30" i="38"/>
  <c r="B31" i="38"/>
  <c r="B32" i="38"/>
  <c r="B33" i="38"/>
  <c r="B34" i="38"/>
  <c r="B35" i="38"/>
  <c r="B36" i="38"/>
  <c r="C7" i="37"/>
  <c r="D7" i="37"/>
  <c r="B9" i="33" s="1"/>
  <c r="E7" i="37"/>
  <c r="B10" i="33" s="1"/>
  <c r="F7" i="37"/>
  <c r="B11" i="33" s="1"/>
  <c r="G7" i="37"/>
  <c r="A8" i="37"/>
  <c r="S13" i="7"/>
  <c r="S14" i="7"/>
  <c r="G13" i="41" s="1"/>
  <c r="S15" i="7"/>
  <c r="G14" i="41" s="1"/>
  <c r="S16" i="7"/>
  <c r="G15" i="41" s="1"/>
  <c r="U17" i="7"/>
  <c r="U18" i="7"/>
  <c r="U19" i="7"/>
  <c r="W13" i="7"/>
  <c r="W14" i="7"/>
  <c r="K13" i="41" s="1"/>
  <c r="W15" i="7"/>
  <c r="K14" i="41" s="1"/>
  <c r="W16" i="7"/>
  <c r="K15" i="41" s="1"/>
  <c r="W17" i="7"/>
  <c r="W18" i="7"/>
  <c r="K17" i="41" s="1"/>
  <c r="W19" i="7"/>
  <c r="K18" i="41" s="1"/>
  <c r="Y13" i="7"/>
  <c r="Y14" i="7"/>
  <c r="M13" i="41" s="1"/>
  <c r="Y15" i="7"/>
  <c r="M14" i="41" s="1"/>
  <c r="Y16" i="7"/>
  <c r="M15" i="41" s="1"/>
  <c r="Y17" i="7"/>
  <c r="Y18" i="7"/>
  <c r="M17" i="41" s="1"/>
  <c r="Y19" i="7"/>
  <c r="M18" i="41" s="1"/>
  <c r="J3" i="8"/>
  <c r="E2" i="42" s="1"/>
  <c r="J4" i="8"/>
  <c r="C4" i="8"/>
  <c r="D4" i="8" s="1"/>
  <c r="B3" i="42" s="1"/>
  <c r="J5" i="8"/>
  <c r="E4" i="42" s="1"/>
  <c r="J6" i="8"/>
  <c r="E5" i="42" s="1"/>
  <c r="J7" i="8"/>
  <c r="E6" i="42" s="1"/>
  <c r="J8" i="8"/>
  <c r="E7" i="42" s="1"/>
  <c r="B26" i="2"/>
  <c r="C8" i="8" s="1"/>
  <c r="D8" i="8" s="1"/>
  <c r="B7" i="42" s="1"/>
  <c r="J9" i="8"/>
  <c r="E8" i="42" s="1"/>
  <c r="B25" i="2"/>
  <c r="C9" i="8" s="1"/>
  <c r="D9" i="8" s="1"/>
  <c r="B8" i="42" s="1"/>
  <c r="J10" i="8"/>
  <c r="E9" i="42" s="1"/>
  <c r="D8" i="37"/>
  <c r="E8" i="37"/>
  <c r="F8" i="37"/>
  <c r="G8" i="37"/>
  <c r="K8" i="37"/>
  <c r="C11" i="30"/>
  <c r="C6" i="30"/>
  <c r="B9" i="37"/>
  <c r="D9" i="37"/>
  <c r="E9" i="37"/>
  <c r="F9" i="37"/>
  <c r="G9" i="37"/>
  <c r="K9" i="37"/>
  <c r="D10" i="37"/>
  <c r="E10" i="37"/>
  <c r="F10" i="37"/>
  <c r="G10" i="37"/>
  <c r="K10" i="37"/>
  <c r="D11" i="37"/>
  <c r="E11" i="37"/>
  <c r="F11" i="37"/>
  <c r="G11" i="37"/>
  <c r="K11" i="37"/>
  <c r="D12" i="37"/>
  <c r="E12" i="37"/>
  <c r="F12" i="37"/>
  <c r="G12" i="37"/>
  <c r="K12" i="37"/>
  <c r="D13" i="37"/>
  <c r="E13" i="37"/>
  <c r="F13" i="37"/>
  <c r="G13" i="37"/>
  <c r="K13" i="37"/>
  <c r="D14" i="37"/>
  <c r="E14" i="37"/>
  <c r="F14" i="37"/>
  <c r="G14" i="37"/>
  <c r="K14" i="37"/>
  <c r="D15" i="37"/>
  <c r="E15" i="37"/>
  <c r="F15" i="37"/>
  <c r="G15" i="37"/>
  <c r="K15" i="37"/>
  <c r="D16" i="37"/>
  <c r="E16" i="37"/>
  <c r="F16" i="37"/>
  <c r="G16" i="37"/>
  <c r="K16" i="37"/>
  <c r="D17" i="37"/>
  <c r="E17" i="37"/>
  <c r="F17" i="37"/>
  <c r="G17" i="37"/>
  <c r="K17" i="37"/>
  <c r="D18" i="37"/>
  <c r="E18" i="37"/>
  <c r="F18" i="37"/>
  <c r="G18" i="37"/>
  <c r="K18" i="37"/>
  <c r="D19" i="37"/>
  <c r="E19" i="37"/>
  <c r="F19" i="37"/>
  <c r="G19" i="37"/>
  <c r="K19" i="37"/>
  <c r="D20" i="37"/>
  <c r="E20" i="37"/>
  <c r="F20" i="37"/>
  <c r="G20" i="37"/>
  <c r="C1" i="32"/>
  <c r="W66" i="30"/>
  <c r="F44" i="32"/>
  <c r="D73" i="30" s="1"/>
  <c r="D11" i="30"/>
  <c r="W67" i="30"/>
  <c r="F45" i="32"/>
  <c r="D68" i="30"/>
  <c r="K20" i="37"/>
  <c r="D21" i="37"/>
  <c r="E21" i="37"/>
  <c r="F21" i="37"/>
  <c r="G21" i="37"/>
  <c r="K21" i="37"/>
  <c r="D22" i="37"/>
  <c r="E22" i="37"/>
  <c r="F22" i="37"/>
  <c r="G22" i="37"/>
  <c r="K22" i="37"/>
  <c r="D23" i="37"/>
  <c r="E23" i="37"/>
  <c r="F23" i="37"/>
  <c r="G23" i="37"/>
  <c r="K23" i="37"/>
  <c r="D24" i="37"/>
  <c r="E24" i="37"/>
  <c r="F24" i="37"/>
  <c r="G24" i="37"/>
  <c r="K24" i="37"/>
  <c r="D25" i="37"/>
  <c r="E25" i="37"/>
  <c r="F25" i="37"/>
  <c r="G25" i="37"/>
  <c r="K25" i="37"/>
  <c r="D26" i="37"/>
  <c r="E26" i="37"/>
  <c r="F26" i="37"/>
  <c r="G26" i="37"/>
  <c r="K26" i="37"/>
  <c r="D27" i="37"/>
  <c r="E27" i="37"/>
  <c r="F27" i="37"/>
  <c r="G27" i="37"/>
  <c r="K27" i="37"/>
  <c r="D28" i="37"/>
  <c r="E28" i="37"/>
  <c r="F28" i="37"/>
  <c r="G28" i="37"/>
  <c r="K28" i="37"/>
  <c r="D29" i="37"/>
  <c r="E29" i="37"/>
  <c r="F29" i="37"/>
  <c r="G29" i="37"/>
  <c r="K29" i="37"/>
  <c r="D30" i="37"/>
  <c r="E30" i="37"/>
  <c r="F30" i="37"/>
  <c r="G30" i="37"/>
  <c r="K30" i="37"/>
  <c r="D31" i="37"/>
  <c r="E31" i="37"/>
  <c r="F31" i="37"/>
  <c r="G31" i="37"/>
  <c r="K31" i="37"/>
  <c r="D32" i="37"/>
  <c r="E32" i="37"/>
  <c r="F32" i="37"/>
  <c r="G32" i="37"/>
  <c r="D33" i="37"/>
  <c r="E33" i="37"/>
  <c r="F33" i="37"/>
  <c r="G33" i="37"/>
  <c r="D34" i="37"/>
  <c r="E34" i="37"/>
  <c r="F34" i="37"/>
  <c r="G34" i="37"/>
  <c r="D35" i="37"/>
  <c r="E35" i="37"/>
  <c r="F35" i="37"/>
  <c r="G35" i="37"/>
  <c r="D36" i="37"/>
  <c r="E36" i="37"/>
  <c r="F36" i="37"/>
  <c r="G36" i="37"/>
  <c r="D37" i="37"/>
  <c r="E37" i="37"/>
  <c r="F37" i="37"/>
  <c r="G37" i="37"/>
  <c r="D38" i="37"/>
  <c r="E38" i="37"/>
  <c r="F38" i="37"/>
  <c r="G38" i="37"/>
  <c r="D39" i="37"/>
  <c r="E39" i="37"/>
  <c r="F39" i="37"/>
  <c r="G39" i="37"/>
  <c r="D40" i="37"/>
  <c r="E40" i="37"/>
  <c r="F40" i="37"/>
  <c r="G40" i="37"/>
  <c r="D41" i="37"/>
  <c r="E41" i="37"/>
  <c r="F41" i="37"/>
  <c r="G41" i="37"/>
  <c r="D42" i="37"/>
  <c r="E42" i="37"/>
  <c r="F42" i="37"/>
  <c r="G42" i="37"/>
  <c r="D43" i="37"/>
  <c r="E43" i="37"/>
  <c r="F43" i="37"/>
  <c r="G43" i="37"/>
  <c r="D44" i="37"/>
  <c r="E44" i="37"/>
  <c r="F44" i="37"/>
  <c r="G44" i="37"/>
  <c r="D45" i="37"/>
  <c r="E45" i="37"/>
  <c r="F45" i="37"/>
  <c r="G45" i="37"/>
  <c r="D46" i="37"/>
  <c r="E46" i="37"/>
  <c r="F46" i="37"/>
  <c r="G46" i="37"/>
  <c r="D47" i="37"/>
  <c r="E47" i="37"/>
  <c r="F47" i="37"/>
  <c r="G47" i="37"/>
  <c r="D48" i="37"/>
  <c r="E48" i="37"/>
  <c r="F48" i="37"/>
  <c r="G48" i="37"/>
  <c r="D49" i="37"/>
  <c r="E49" i="37"/>
  <c r="F49" i="37"/>
  <c r="G49" i="37"/>
  <c r="D50" i="37"/>
  <c r="E50" i="37"/>
  <c r="F50" i="37"/>
  <c r="G50" i="37"/>
  <c r="D51" i="37"/>
  <c r="E51" i="37"/>
  <c r="F51" i="37"/>
  <c r="G51" i="37"/>
  <c r="D52" i="37"/>
  <c r="E52" i="37"/>
  <c r="F52" i="37"/>
  <c r="G52" i="37"/>
  <c r="D53" i="37"/>
  <c r="E53" i="37"/>
  <c r="F53" i="37"/>
  <c r="G53" i="37"/>
  <c r="D54" i="37"/>
  <c r="E54" i="37"/>
  <c r="F54" i="37"/>
  <c r="G54" i="37"/>
  <c r="D55" i="37"/>
  <c r="E55" i="37"/>
  <c r="F55" i="37"/>
  <c r="G55" i="37"/>
  <c r="D56" i="37"/>
  <c r="E56" i="37"/>
  <c r="F56" i="37"/>
  <c r="G56" i="37"/>
  <c r="D57" i="37"/>
  <c r="E57" i="37"/>
  <c r="F57" i="37"/>
  <c r="G57" i="37"/>
  <c r="D58" i="37"/>
  <c r="E58" i="37"/>
  <c r="F58" i="37"/>
  <c r="G58" i="37"/>
  <c r="D59" i="37"/>
  <c r="E59" i="37"/>
  <c r="F59" i="37"/>
  <c r="G59" i="37"/>
  <c r="D60" i="37"/>
  <c r="E60" i="37"/>
  <c r="F60" i="37"/>
  <c r="G60" i="37"/>
  <c r="D61" i="37"/>
  <c r="E61" i="37"/>
  <c r="F61" i="37"/>
  <c r="G61" i="37"/>
  <c r="D62" i="37"/>
  <c r="E62" i="37"/>
  <c r="F62" i="37"/>
  <c r="G62" i="37"/>
  <c r="D63" i="37"/>
  <c r="E63" i="37"/>
  <c r="F63" i="37"/>
  <c r="G63" i="37"/>
  <c r="D64" i="37"/>
  <c r="E64" i="37"/>
  <c r="F64" i="37"/>
  <c r="G64" i="37"/>
  <c r="D65" i="37"/>
  <c r="E65" i="37"/>
  <c r="F65" i="37"/>
  <c r="G65" i="37"/>
  <c r="D66" i="37"/>
  <c r="E66" i="37"/>
  <c r="F66" i="37"/>
  <c r="G66" i="37"/>
  <c r="D67" i="37"/>
  <c r="E67" i="37"/>
  <c r="F67" i="37"/>
  <c r="G67" i="37"/>
  <c r="E68" i="37"/>
  <c r="F68" i="37"/>
  <c r="G68" i="37"/>
  <c r="D69" i="37"/>
  <c r="E69" i="37"/>
  <c r="F69" i="37"/>
  <c r="G69" i="37"/>
  <c r="D70" i="37"/>
  <c r="E70" i="37"/>
  <c r="F70" i="37"/>
  <c r="G70" i="37"/>
  <c r="D71" i="37"/>
  <c r="E71" i="37"/>
  <c r="F71" i="37"/>
  <c r="G71" i="37"/>
  <c r="D72" i="37"/>
  <c r="E72" i="37"/>
  <c r="F72" i="37"/>
  <c r="G72" i="37"/>
  <c r="D73" i="37"/>
  <c r="E73" i="37"/>
  <c r="F73" i="37"/>
  <c r="G73" i="37"/>
  <c r="D74" i="37"/>
  <c r="E74" i="37"/>
  <c r="F74" i="37"/>
  <c r="G74" i="37"/>
  <c r="D75" i="37"/>
  <c r="E75" i="37"/>
  <c r="F75" i="37"/>
  <c r="G75" i="37"/>
  <c r="D76" i="37"/>
  <c r="E76" i="37"/>
  <c r="F76" i="37"/>
  <c r="G76" i="37"/>
  <c r="D77" i="37"/>
  <c r="E77" i="37"/>
  <c r="F77" i="37"/>
  <c r="G77" i="37"/>
  <c r="D78" i="37"/>
  <c r="E78" i="37"/>
  <c r="F78" i="37"/>
  <c r="G78" i="37"/>
  <c r="D79" i="37"/>
  <c r="E79" i="37"/>
  <c r="F79" i="37"/>
  <c r="G79" i="37"/>
  <c r="D80" i="37"/>
  <c r="E80" i="37"/>
  <c r="F80" i="37"/>
  <c r="G80" i="37"/>
  <c r="D81" i="37"/>
  <c r="E81" i="37"/>
  <c r="F81" i="37"/>
  <c r="G81" i="37"/>
  <c r="D82" i="37"/>
  <c r="E82" i="37"/>
  <c r="F82" i="37"/>
  <c r="G82" i="37"/>
  <c r="D83" i="37"/>
  <c r="E83" i="37"/>
  <c r="F83" i="37"/>
  <c r="G83" i="37"/>
  <c r="D84" i="37"/>
  <c r="E84" i="37"/>
  <c r="F84" i="37"/>
  <c r="G84" i="37"/>
  <c r="D85" i="37"/>
  <c r="E85" i="37"/>
  <c r="F85" i="37"/>
  <c r="G85" i="37"/>
  <c r="D86" i="37"/>
  <c r="E86" i="37"/>
  <c r="F86" i="37"/>
  <c r="G86" i="37"/>
  <c r="D87" i="37"/>
  <c r="E87" i="37"/>
  <c r="F87" i="37"/>
  <c r="G87" i="37"/>
  <c r="D88" i="37"/>
  <c r="E88" i="37"/>
  <c r="F88" i="37"/>
  <c r="G88" i="37"/>
  <c r="D89" i="37"/>
  <c r="E89" i="37"/>
  <c r="F89" i="37"/>
  <c r="G89" i="37"/>
  <c r="D90" i="37"/>
  <c r="E90" i="37"/>
  <c r="F90" i="37"/>
  <c r="G90" i="37"/>
  <c r="D91" i="37"/>
  <c r="E91" i="37"/>
  <c r="F91" i="37"/>
  <c r="G91" i="37"/>
  <c r="D92" i="37"/>
  <c r="E92" i="37"/>
  <c r="F92" i="37"/>
  <c r="G92" i="37"/>
  <c r="D93" i="37"/>
  <c r="E93" i="37"/>
  <c r="F93" i="37"/>
  <c r="G93" i="37"/>
  <c r="D94" i="37"/>
  <c r="E94" i="37"/>
  <c r="F94" i="37"/>
  <c r="G94" i="37"/>
  <c r="D95" i="37"/>
  <c r="E95" i="37"/>
  <c r="F95" i="37"/>
  <c r="G95" i="37"/>
  <c r="D96" i="37"/>
  <c r="E96" i="37"/>
  <c r="F96" i="37"/>
  <c r="G96" i="37"/>
  <c r="D97" i="37"/>
  <c r="E97" i="37"/>
  <c r="F97" i="37"/>
  <c r="G97" i="37"/>
  <c r="D98" i="37"/>
  <c r="E98" i="37"/>
  <c r="F98" i="37"/>
  <c r="G98" i="37"/>
  <c r="D99" i="37"/>
  <c r="E99" i="37"/>
  <c r="F99" i="37"/>
  <c r="G99" i="37"/>
  <c r="D100" i="37"/>
  <c r="E100" i="37"/>
  <c r="F100" i="37"/>
  <c r="G100" i="37"/>
  <c r="D101" i="37"/>
  <c r="E101" i="37"/>
  <c r="F101" i="37"/>
  <c r="G101" i="37"/>
  <c r="D102" i="37"/>
  <c r="E102" i="37"/>
  <c r="F102" i="37"/>
  <c r="G102" i="37"/>
  <c r="D103" i="37"/>
  <c r="E103" i="37"/>
  <c r="F103" i="37"/>
  <c r="G103" i="37"/>
  <c r="D104" i="37"/>
  <c r="E104" i="37"/>
  <c r="F104" i="37"/>
  <c r="G104" i="37"/>
  <c r="D105" i="37"/>
  <c r="E105" i="37"/>
  <c r="F105" i="37"/>
  <c r="G105" i="37"/>
  <c r="D106" i="37"/>
  <c r="E106" i="37"/>
  <c r="F106" i="37"/>
  <c r="G106" i="37"/>
  <c r="D107" i="37"/>
  <c r="E107" i="37"/>
  <c r="F107" i="37"/>
  <c r="G107" i="37"/>
  <c r="D108" i="37"/>
  <c r="E108" i="37"/>
  <c r="F108" i="37"/>
  <c r="G108" i="37"/>
  <c r="D109" i="37"/>
  <c r="E109" i="37"/>
  <c r="F109" i="37"/>
  <c r="G109" i="37"/>
  <c r="D110" i="37"/>
  <c r="E110" i="37"/>
  <c r="F110" i="37"/>
  <c r="G110" i="37"/>
  <c r="D111" i="37"/>
  <c r="E111" i="37"/>
  <c r="F111" i="37"/>
  <c r="G111" i="37"/>
  <c r="D112" i="37"/>
  <c r="E112" i="37"/>
  <c r="F112" i="37"/>
  <c r="G112" i="37"/>
  <c r="D113" i="37"/>
  <c r="E113" i="37"/>
  <c r="F113" i="37"/>
  <c r="G113" i="37"/>
  <c r="D114" i="37"/>
  <c r="E114" i="37"/>
  <c r="F114" i="37"/>
  <c r="G114" i="37"/>
  <c r="D115" i="37"/>
  <c r="E115" i="37"/>
  <c r="F115" i="37"/>
  <c r="G115" i="37"/>
  <c r="D116" i="37"/>
  <c r="E116" i="37"/>
  <c r="F116" i="37"/>
  <c r="G116" i="37"/>
  <c r="D117" i="37"/>
  <c r="E117" i="37"/>
  <c r="F117" i="37"/>
  <c r="G117" i="37"/>
  <c r="D118" i="37"/>
  <c r="E118" i="37"/>
  <c r="F118" i="37"/>
  <c r="G118" i="37"/>
  <c r="D119" i="37"/>
  <c r="E119" i="37"/>
  <c r="F119" i="37"/>
  <c r="G119" i="37"/>
  <c r="D120" i="37"/>
  <c r="E120" i="37"/>
  <c r="F120" i="37"/>
  <c r="G120" i="37"/>
  <c r="D121" i="37"/>
  <c r="E121" i="37"/>
  <c r="F121" i="37"/>
  <c r="G121" i="37"/>
  <c r="D122" i="37"/>
  <c r="E122" i="37"/>
  <c r="F122" i="37"/>
  <c r="G122" i="37"/>
  <c r="D123" i="37"/>
  <c r="E123" i="37"/>
  <c r="F123" i="37"/>
  <c r="G123" i="37"/>
  <c r="D124" i="37"/>
  <c r="E124" i="37"/>
  <c r="F124" i="37"/>
  <c r="G124" i="37"/>
  <c r="D125" i="37"/>
  <c r="E125" i="37"/>
  <c r="F125" i="37"/>
  <c r="G125" i="37"/>
  <c r="D126" i="37"/>
  <c r="E126" i="37"/>
  <c r="F126" i="37"/>
  <c r="G126" i="37"/>
  <c r="D127" i="37"/>
  <c r="E127" i="37"/>
  <c r="F127" i="37"/>
  <c r="G127" i="37"/>
  <c r="D128" i="37"/>
  <c r="E128" i="37"/>
  <c r="F128" i="37"/>
  <c r="G128" i="37"/>
  <c r="D129" i="37"/>
  <c r="E129" i="37"/>
  <c r="F129" i="37"/>
  <c r="G129" i="37"/>
  <c r="D130" i="37"/>
  <c r="E130" i="37"/>
  <c r="F130" i="37"/>
  <c r="G130" i="37"/>
  <c r="D131" i="37"/>
  <c r="E131" i="37"/>
  <c r="F131" i="37"/>
  <c r="G131" i="37"/>
  <c r="D132" i="37"/>
  <c r="E132" i="37"/>
  <c r="F132" i="37"/>
  <c r="G132" i="37"/>
  <c r="D133" i="37"/>
  <c r="E133" i="37"/>
  <c r="F133" i="37"/>
  <c r="G133" i="37"/>
  <c r="D134" i="37"/>
  <c r="E134" i="37"/>
  <c r="F134" i="37"/>
  <c r="G134" i="37"/>
  <c r="D135" i="37"/>
  <c r="E135" i="37"/>
  <c r="F135" i="37"/>
  <c r="G135" i="37"/>
  <c r="D136" i="37"/>
  <c r="E136" i="37"/>
  <c r="F136" i="37"/>
  <c r="G136" i="37"/>
  <c r="D137" i="37"/>
  <c r="E137" i="37"/>
  <c r="F137" i="37"/>
  <c r="G137" i="37"/>
  <c r="D138" i="37"/>
  <c r="E138" i="37"/>
  <c r="F138" i="37"/>
  <c r="G138" i="37"/>
  <c r="D139" i="37"/>
  <c r="E139" i="37"/>
  <c r="F139" i="37"/>
  <c r="G139" i="37"/>
  <c r="D140" i="37"/>
  <c r="E140" i="37"/>
  <c r="F140" i="37"/>
  <c r="G140" i="37"/>
  <c r="D141" i="37"/>
  <c r="E141" i="37"/>
  <c r="F141" i="37"/>
  <c r="G141" i="37"/>
  <c r="D142" i="37"/>
  <c r="E142" i="37"/>
  <c r="F142" i="37"/>
  <c r="G142" i="37"/>
  <c r="D143" i="37"/>
  <c r="E143" i="37"/>
  <c r="F143" i="37"/>
  <c r="G143" i="37"/>
  <c r="D144" i="37"/>
  <c r="E144" i="37"/>
  <c r="F144" i="37"/>
  <c r="G144" i="37"/>
  <c r="D145" i="37"/>
  <c r="E145" i="37"/>
  <c r="F145" i="37"/>
  <c r="G145" i="37"/>
  <c r="D146" i="37"/>
  <c r="E146" i="37"/>
  <c r="F146" i="37"/>
  <c r="G146" i="37"/>
  <c r="D147" i="37"/>
  <c r="E147" i="37"/>
  <c r="F147" i="37"/>
  <c r="G147" i="37"/>
  <c r="D148" i="37"/>
  <c r="E148" i="37"/>
  <c r="F148" i="37"/>
  <c r="G148" i="37"/>
  <c r="D149" i="37"/>
  <c r="E149" i="37"/>
  <c r="F149" i="37"/>
  <c r="G149" i="37"/>
  <c r="D150" i="37"/>
  <c r="E150" i="37"/>
  <c r="F150" i="37"/>
  <c r="G150" i="37"/>
  <c r="D151" i="37"/>
  <c r="E151" i="37"/>
  <c r="F151" i="37"/>
  <c r="G151" i="37"/>
  <c r="D152" i="37"/>
  <c r="E152" i="37"/>
  <c r="F152" i="37"/>
  <c r="G152" i="37"/>
  <c r="D153" i="37"/>
  <c r="E153" i="37"/>
  <c r="F153" i="37"/>
  <c r="G153" i="37"/>
  <c r="D154" i="37"/>
  <c r="E154" i="37"/>
  <c r="F154" i="37"/>
  <c r="G154" i="37"/>
  <c r="D155" i="37"/>
  <c r="E155" i="37"/>
  <c r="F155" i="37"/>
  <c r="G155" i="37"/>
  <c r="D156" i="37"/>
  <c r="E156" i="37"/>
  <c r="F156" i="37"/>
  <c r="G156" i="37"/>
  <c r="D157" i="37"/>
  <c r="E157" i="37"/>
  <c r="F157" i="37"/>
  <c r="G157" i="37"/>
  <c r="D158" i="37"/>
  <c r="E158" i="37"/>
  <c r="F158" i="37"/>
  <c r="G158" i="37"/>
  <c r="D159" i="37"/>
  <c r="E159" i="37"/>
  <c r="F159" i="37"/>
  <c r="G159" i="37"/>
  <c r="D160" i="37"/>
  <c r="E160" i="37"/>
  <c r="F160" i="37"/>
  <c r="G160" i="37"/>
  <c r="D161" i="37"/>
  <c r="E161" i="37"/>
  <c r="F161" i="37"/>
  <c r="G161" i="37"/>
  <c r="D162" i="37"/>
  <c r="E162" i="37"/>
  <c r="F162" i="37"/>
  <c r="G162" i="37"/>
  <c r="D163" i="37"/>
  <c r="E163" i="37"/>
  <c r="F163" i="37"/>
  <c r="G163" i="37"/>
  <c r="D164" i="37"/>
  <c r="E164" i="37"/>
  <c r="F164" i="37"/>
  <c r="G164" i="37"/>
  <c r="D165" i="37"/>
  <c r="E165" i="37"/>
  <c r="F165" i="37"/>
  <c r="G165" i="37"/>
  <c r="D166" i="37"/>
  <c r="E166" i="37"/>
  <c r="F166" i="37"/>
  <c r="G166" i="37"/>
  <c r="D167" i="37"/>
  <c r="E167" i="37"/>
  <c r="F167" i="37"/>
  <c r="G167" i="37"/>
  <c r="D168" i="37"/>
  <c r="E168" i="37"/>
  <c r="F168" i="37"/>
  <c r="G168" i="37"/>
  <c r="D169" i="37"/>
  <c r="E169" i="37"/>
  <c r="F169" i="37"/>
  <c r="G169" i="37"/>
  <c r="D170" i="37"/>
  <c r="E170" i="37"/>
  <c r="F170" i="37"/>
  <c r="G170" i="37"/>
  <c r="D171" i="37"/>
  <c r="E171" i="37"/>
  <c r="F171" i="37"/>
  <c r="G171" i="37"/>
  <c r="D172" i="37"/>
  <c r="E172" i="37"/>
  <c r="F172" i="37"/>
  <c r="G172" i="37"/>
  <c r="D173" i="37"/>
  <c r="E173" i="37"/>
  <c r="F173" i="37"/>
  <c r="G173" i="37"/>
  <c r="D174" i="37"/>
  <c r="E174" i="37"/>
  <c r="F174" i="37"/>
  <c r="G174" i="37"/>
  <c r="D175" i="37"/>
  <c r="E175" i="37"/>
  <c r="F175" i="37"/>
  <c r="G175" i="37"/>
  <c r="D176" i="37"/>
  <c r="E176" i="37"/>
  <c r="F176" i="37"/>
  <c r="G176" i="37"/>
  <c r="D177" i="37"/>
  <c r="E177" i="37"/>
  <c r="F177" i="37"/>
  <c r="G177" i="37"/>
  <c r="D178" i="37"/>
  <c r="E178" i="37"/>
  <c r="F178" i="37"/>
  <c r="G178" i="37"/>
  <c r="D179" i="37"/>
  <c r="E179" i="37"/>
  <c r="F179" i="37"/>
  <c r="G179" i="37"/>
  <c r="D180" i="37"/>
  <c r="E180" i="37"/>
  <c r="F180" i="37"/>
  <c r="G180" i="37"/>
  <c r="D181" i="37"/>
  <c r="E181" i="37"/>
  <c r="F181" i="37"/>
  <c r="G181" i="37"/>
  <c r="D182" i="37"/>
  <c r="E182" i="37"/>
  <c r="F182" i="37"/>
  <c r="G182" i="37"/>
  <c r="D183" i="37"/>
  <c r="E183" i="37"/>
  <c r="F183" i="37"/>
  <c r="G183" i="37"/>
  <c r="D184" i="37"/>
  <c r="E184" i="37"/>
  <c r="F184" i="37"/>
  <c r="G184" i="37"/>
  <c r="D185" i="37"/>
  <c r="E185" i="37"/>
  <c r="F185" i="37"/>
  <c r="G185" i="37"/>
  <c r="D186" i="37"/>
  <c r="E186" i="37"/>
  <c r="F186" i="37"/>
  <c r="G186" i="37"/>
  <c r="D187" i="37"/>
  <c r="E187" i="37"/>
  <c r="F187" i="37"/>
  <c r="G187" i="37"/>
  <c r="D188" i="37"/>
  <c r="E188" i="37"/>
  <c r="F188" i="37"/>
  <c r="G188" i="37"/>
  <c r="D189" i="37"/>
  <c r="E189" i="37"/>
  <c r="F189" i="37"/>
  <c r="G189" i="37"/>
  <c r="D190" i="37"/>
  <c r="E190" i="37"/>
  <c r="F190" i="37"/>
  <c r="G190" i="37"/>
  <c r="D191" i="37"/>
  <c r="E191" i="37"/>
  <c r="F191" i="37"/>
  <c r="G191" i="37"/>
  <c r="D192" i="37"/>
  <c r="E192" i="37"/>
  <c r="F192" i="37"/>
  <c r="G192" i="37"/>
  <c r="D193" i="37"/>
  <c r="E193" i="37"/>
  <c r="F193" i="37"/>
  <c r="G193" i="37"/>
  <c r="E194" i="37"/>
  <c r="F194" i="37"/>
  <c r="G194" i="37"/>
  <c r="D195" i="37"/>
  <c r="E195" i="37"/>
  <c r="F195" i="37"/>
  <c r="G195" i="37"/>
  <c r="D196" i="37"/>
  <c r="E196" i="37"/>
  <c r="F196" i="37"/>
  <c r="G196" i="37"/>
  <c r="D197" i="37"/>
  <c r="E197" i="37"/>
  <c r="F197" i="37"/>
  <c r="G197" i="37"/>
  <c r="D198" i="37"/>
  <c r="E198" i="37"/>
  <c r="F198" i="37"/>
  <c r="G198" i="37"/>
  <c r="D199" i="37"/>
  <c r="E199" i="37"/>
  <c r="F199" i="37"/>
  <c r="G199" i="37"/>
  <c r="D200" i="37"/>
  <c r="E200" i="37"/>
  <c r="F200" i="37"/>
  <c r="G200" i="37"/>
  <c r="D201" i="37"/>
  <c r="E201" i="37"/>
  <c r="F201" i="37"/>
  <c r="G201" i="37"/>
  <c r="D202" i="37"/>
  <c r="E202" i="37"/>
  <c r="F202" i="37"/>
  <c r="G202" i="37"/>
  <c r="D203" i="37"/>
  <c r="E203" i="37"/>
  <c r="F203" i="37"/>
  <c r="G203" i="37"/>
  <c r="D204" i="37"/>
  <c r="E204" i="37"/>
  <c r="F204" i="37"/>
  <c r="G204" i="37"/>
  <c r="D205" i="37"/>
  <c r="E205" i="37"/>
  <c r="F205" i="37"/>
  <c r="G205" i="37"/>
  <c r="D206" i="37"/>
  <c r="E206" i="37"/>
  <c r="F206" i="37"/>
  <c r="G206" i="37"/>
  <c r="D207" i="37"/>
  <c r="E207" i="37"/>
  <c r="F207" i="37"/>
  <c r="G207" i="37"/>
  <c r="D208" i="37"/>
  <c r="E208" i="37"/>
  <c r="F208" i="37"/>
  <c r="G208" i="37"/>
  <c r="D209" i="37"/>
  <c r="E209" i="37"/>
  <c r="F209" i="37"/>
  <c r="G209" i="37"/>
  <c r="D210" i="37"/>
  <c r="E210" i="37"/>
  <c r="F210" i="37"/>
  <c r="G210" i="37"/>
  <c r="D211" i="37"/>
  <c r="E211" i="37"/>
  <c r="F211" i="37"/>
  <c r="G211" i="37"/>
  <c r="D212" i="37"/>
  <c r="E212" i="37"/>
  <c r="F212" i="37"/>
  <c r="G212" i="37"/>
  <c r="D213" i="37"/>
  <c r="E213" i="37"/>
  <c r="F213" i="37"/>
  <c r="G213" i="37"/>
  <c r="D214" i="37"/>
  <c r="E214" i="37"/>
  <c r="F214" i="37"/>
  <c r="G214" i="37"/>
  <c r="D215" i="37"/>
  <c r="E215" i="37"/>
  <c r="F215" i="37"/>
  <c r="G215" i="37"/>
  <c r="D216" i="37"/>
  <c r="E216" i="37"/>
  <c r="F216" i="37"/>
  <c r="G216" i="37"/>
  <c r="D217" i="37"/>
  <c r="E217" i="37"/>
  <c r="F217" i="37"/>
  <c r="G217" i="37"/>
  <c r="D218" i="37"/>
  <c r="E218" i="37"/>
  <c r="F218" i="37"/>
  <c r="G218" i="37"/>
  <c r="D219" i="37"/>
  <c r="E219" i="37"/>
  <c r="F219" i="37"/>
  <c r="G219" i="37"/>
  <c r="D220" i="37"/>
  <c r="E220" i="37"/>
  <c r="F220" i="37"/>
  <c r="G220" i="37"/>
  <c r="D221" i="37"/>
  <c r="E221" i="37"/>
  <c r="F221" i="37"/>
  <c r="G221" i="37"/>
  <c r="D222" i="37"/>
  <c r="E222" i="37"/>
  <c r="F222" i="37"/>
  <c r="G222" i="37"/>
  <c r="D223" i="37"/>
  <c r="E223" i="37"/>
  <c r="F223" i="37"/>
  <c r="G223" i="37"/>
  <c r="D224" i="37"/>
  <c r="E224" i="37"/>
  <c r="F224" i="37"/>
  <c r="G224" i="37"/>
  <c r="D225" i="37"/>
  <c r="E225" i="37"/>
  <c r="F225" i="37"/>
  <c r="G225" i="37"/>
  <c r="D226" i="37"/>
  <c r="E226" i="37"/>
  <c r="F226" i="37"/>
  <c r="G226" i="37"/>
  <c r="D227" i="37"/>
  <c r="E227" i="37"/>
  <c r="F227" i="37"/>
  <c r="G227" i="37"/>
  <c r="D228" i="37"/>
  <c r="E228" i="37"/>
  <c r="F228" i="37"/>
  <c r="G228" i="37"/>
  <c r="D229" i="37"/>
  <c r="E229" i="37"/>
  <c r="F229" i="37"/>
  <c r="G229" i="37"/>
  <c r="D230" i="37"/>
  <c r="E230" i="37"/>
  <c r="F230" i="37"/>
  <c r="G230" i="37"/>
  <c r="D231" i="37"/>
  <c r="E231" i="37"/>
  <c r="F231" i="37"/>
  <c r="G231" i="37"/>
  <c r="D232" i="37"/>
  <c r="E232" i="37"/>
  <c r="F232" i="37"/>
  <c r="G232" i="37"/>
  <c r="D233" i="37"/>
  <c r="E233" i="37"/>
  <c r="F233" i="37"/>
  <c r="G233" i="37"/>
  <c r="D234" i="37"/>
  <c r="E234" i="37"/>
  <c r="F234" i="37"/>
  <c r="G234" i="37"/>
  <c r="D235" i="37"/>
  <c r="E235" i="37"/>
  <c r="F235" i="37"/>
  <c r="G235" i="37"/>
  <c r="D236" i="37"/>
  <c r="E236" i="37"/>
  <c r="F236" i="37"/>
  <c r="G236" i="37"/>
  <c r="D237" i="37"/>
  <c r="E237" i="37"/>
  <c r="F237" i="37"/>
  <c r="G237" i="37"/>
  <c r="D238" i="37"/>
  <c r="E238" i="37"/>
  <c r="F238" i="37"/>
  <c r="G238" i="37"/>
  <c r="D239" i="37"/>
  <c r="E239" i="37"/>
  <c r="F239" i="37"/>
  <c r="G239" i="37"/>
  <c r="D240" i="37"/>
  <c r="E240" i="37"/>
  <c r="F240" i="37"/>
  <c r="G240" i="37"/>
  <c r="D241" i="37"/>
  <c r="E241" i="37"/>
  <c r="F241" i="37"/>
  <c r="G241" i="37"/>
  <c r="D242" i="37"/>
  <c r="E242" i="37"/>
  <c r="F242" i="37"/>
  <c r="G242" i="37"/>
  <c r="D243" i="37"/>
  <c r="E243" i="37"/>
  <c r="F243" i="37"/>
  <c r="G243" i="37"/>
  <c r="D244" i="37"/>
  <c r="E244" i="37"/>
  <c r="F244" i="37"/>
  <c r="G244" i="37"/>
  <c r="D245" i="37"/>
  <c r="E245" i="37"/>
  <c r="F245" i="37"/>
  <c r="G245" i="37"/>
  <c r="D246" i="37"/>
  <c r="E246" i="37"/>
  <c r="F246" i="37"/>
  <c r="G246" i="37"/>
  <c r="D247" i="37"/>
  <c r="E247" i="37"/>
  <c r="F247" i="37"/>
  <c r="G247" i="37"/>
  <c r="H248" i="37"/>
  <c r="H249" i="37"/>
  <c r="H250" i="37"/>
  <c r="H251" i="37"/>
  <c r="H252" i="37"/>
  <c r="H253" i="37"/>
  <c r="H254" i="37"/>
  <c r="H255" i="37"/>
  <c r="H256" i="37"/>
  <c r="H257" i="37"/>
  <c r="H258" i="37"/>
  <c r="H259" i="37"/>
  <c r="H260" i="37"/>
  <c r="H261" i="37"/>
  <c r="H262" i="37"/>
  <c r="H263" i="37"/>
  <c r="H264" i="37"/>
  <c r="H265" i="37"/>
  <c r="H266" i="37"/>
  <c r="H267" i="37"/>
  <c r="H268" i="37"/>
  <c r="H269" i="37"/>
  <c r="H270" i="37"/>
  <c r="H271" i="37"/>
  <c r="H272" i="37"/>
  <c r="H273" i="37"/>
  <c r="H274" i="37"/>
  <c r="H275" i="37"/>
  <c r="H276" i="37"/>
  <c r="H277" i="37"/>
  <c r="H278" i="37"/>
  <c r="H279" i="37"/>
  <c r="H280" i="37"/>
  <c r="H281" i="37"/>
  <c r="H282" i="37"/>
  <c r="H283" i="37"/>
  <c r="H284" i="37"/>
  <c r="H285" i="37"/>
  <c r="H286" i="37"/>
  <c r="H287" i="37"/>
  <c r="H288" i="37"/>
  <c r="H289" i="37"/>
  <c r="H290" i="37"/>
  <c r="H291" i="37"/>
  <c r="H292" i="37"/>
  <c r="H293" i="37"/>
  <c r="H294" i="37"/>
  <c r="H295" i="37"/>
  <c r="H296" i="37"/>
  <c r="H297" i="37"/>
  <c r="H298" i="37"/>
  <c r="H299" i="37"/>
  <c r="H300" i="37"/>
  <c r="H301" i="37"/>
  <c r="H302" i="37"/>
  <c r="H303" i="37"/>
  <c r="H304" i="37"/>
  <c r="H305" i="37"/>
  <c r="H306" i="37"/>
  <c r="H307" i="37"/>
  <c r="A24" i="36"/>
  <c r="D35" i="30"/>
  <c r="C35" i="30"/>
  <c r="E11" i="30"/>
  <c r="F11" i="30"/>
  <c r="G11" i="30"/>
  <c r="H11" i="30"/>
  <c r="I11" i="30"/>
  <c r="J11" i="30"/>
  <c r="K11" i="30"/>
  <c r="L11" i="30"/>
  <c r="M11" i="30"/>
  <c r="N11" i="30"/>
  <c r="O11" i="30"/>
  <c r="P11" i="30"/>
  <c r="Q11" i="30"/>
  <c r="R11" i="30"/>
  <c r="S11" i="30"/>
  <c r="B5" i="35"/>
  <c r="G5" i="35"/>
  <c r="J5" i="35"/>
  <c r="O5" i="35"/>
  <c r="A6" i="35"/>
  <c r="G6" i="35"/>
  <c r="J6" i="35"/>
  <c r="O6" i="35"/>
  <c r="T11" i="30"/>
  <c r="U11" i="30"/>
  <c r="V11" i="30"/>
  <c r="B6" i="34"/>
  <c r="C6" i="34"/>
  <c r="B7" i="34"/>
  <c r="C7" i="34"/>
  <c r="D7" i="34"/>
  <c r="E7" i="34"/>
  <c r="F7" i="34"/>
  <c r="G7" i="34"/>
  <c r="H7" i="34"/>
  <c r="I7" i="34"/>
  <c r="J7" i="34"/>
  <c r="K7" i="34"/>
  <c r="L7" i="34"/>
  <c r="M7" i="34"/>
  <c r="N7" i="34"/>
  <c r="O7" i="34"/>
  <c r="P7" i="34"/>
  <c r="Q7" i="34"/>
  <c r="R7" i="34"/>
  <c r="S7" i="34"/>
  <c r="B8" i="34"/>
  <c r="C8" i="34"/>
  <c r="B9" i="34"/>
  <c r="C9" i="34"/>
  <c r="C50" i="34"/>
  <c r="C51" i="34" s="1"/>
  <c r="C33" i="34"/>
  <c r="D30" i="34" s="1"/>
  <c r="E35" i="30"/>
  <c r="F35" i="30"/>
  <c r="G35" i="30"/>
  <c r="H35" i="30"/>
  <c r="I35" i="30"/>
  <c r="J35" i="30"/>
  <c r="K35" i="30"/>
  <c r="L35" i="30"/>
  <c r="M35" i="30"/>
  <c r="N35" i="30"/>
  <c r="O35" i="30"/>
  <c r="P35" i="30"/>
  <c r="Q35" i="30"/>
  <c r="R35" i="30"/>
  <c r="S35" i="30"/>
  <c r="T35" i="30"/>
  <c r="U35" i="30"/>
  <c r="V35" i="30"/>
  <c r="B33" i="34"/>
  <c r="AE61" i="34"/>
  <c r="AE62" i="34"/>
  <c r="AE63" i="34"/>
  <c r="AE64" i="34"/>
  <c r="AE65" i="34"/>
  <c r="B1" i="33"/>
  <c r="B5" i="33"/>
  <c r="C79" i="30"/>
  <c r="C33" i="30" s="1"/>
  <c r="D79" i="30"/>
  <c r="D33" i="30" s="1"/>
  <c r="B8" i="33"/>
  <c r="B12" i="33"/>
  <c r="B13" i="33"/>
  <c r="F14" i="33"/>
  <c r="F15" i="33"/>
  <c r="B16" i="33"/>
  <c r="D16" i="33"/>
  <c r="E16" i="33"/>
  <c r="G16" i="33"/>
  <c r="H16" i="33"/>
  <c r="I16" i="33"/>
  <c r="J16" i="33"/>
  <c r="K16" i="33"/>
  <c r="L36" i="33" s="1"/>
  <c r="L16" i="33"/>
  <c r="M16" i="33"/>
  <c r="N16" i="33"/>
  <c r="O16" i="33"/>
  <c r="P16" i="33"/>
  <c r="Q16" i="33"/>
  <c r="R16" i="33"/>
  <c r="S16" i="33"/>
  <c r="T36" i="33" s="1"/>
  <c r="T16" i="33"/>
  <c r="U16" i="33"/>
  <c r="V16" i="33"/>
  <c r="W16" i="33"/>
  <c r="X16" i="33"/>
  <c r="F17" i="33"/>
  <c r="F18" i="33"/>
  <c r="B19" i="33"/>
  <c r="D19" i="33"/>
  <c r="E19" i="33"/>
  <c r="G19" i="33"/>
  <c r="H19" i="33"/>
  <c r="I19" i="33"/>
  <c r="J19" i="33"/>
  <c r="K19" i="33"/>
  <c r="L19" i="33"/>
  <c r="M19" i="33"/>
  <c r="N19" i="33"/>
  <c r="O19" i="33"/>
  <c r="P19" i="33"/>
  <c r="Q19" i="33"/>
  <c r="R19" i="33"/>
  <c r="S19" i="33"/>
  <c r="T19" i="33"/>
  <c r="U19" i="33"/>
  <c r="V19" i="33"/>
  <c r="W19" i="33"/>
  <c r="X19" i="33"/>
  <c r="B22" i="33"/>
  <c r="B23" i="33"/>
  <c r="B24" i="33"/>
  <c r="B25" i="33"/>
  <c r="B28" i="33"/>
  <c r="F40" i="33"/>
  <c r="B29" i="33"/>
  <c r="F41" i="33"/>
  <c r="B30" i="33"/>
  <c r="F42" i="33"/>
  <c r="C36" i="33"/>
  <c r="B31" i="33"/>
  <c r="F43" i="33"/>
  <c r="G37" i="33"/>
  <c r="G43" i="33" s="1"/>
  <c r="H37" i="33"/>
  <c r="I37" i="33"/>
  <c r="J37" i="33"/>
  <c r="K37" i="33"/>
  <c r="L37" i="33"/>
  <c r="M37" i="33"/>
  <c r="N37" i="33"/>
  <c r="O37" i="33"/>
  <c r="P37" i="33"/>
  <c r="Q37" i="33"/>
  <c r="R37" i="33"/>
  <c r="S37" i="33"/>
  <c r="T37" i="33"/>
  <c r="U37" i="33"/>
  <c r="B34" i="33"/>
  <c r="B35" i="33"/>
  <c r="B36" i="33"/>
  <c r="B37" i="33"/>
  <c r="C37" i="33"/>
  <c r="F38" i="33"/>
  <c r="B40" i="33"/>
  <c r="B41" i="33"/>
  <c r="B42" i="33"/>
  <c r="B43" i="33"/>
  <c r="B2" i="32"/>
  <c r="E17" i="32"/>
  <c r="F26" i="32"/>
  <c r="G26" i="32"/>
  <c r="H26" i="32"/>
  <c r="I26" i="32"/>
  <c r="J26" i="32"/>
  <c r="K26" i="32"/>
  <c r="L26" i="32"/>
  <c r="M26" i="32"/>
  <c r="N26" i="32"/>
  <c r="O26" i="32"/>
  <c r="P26" i="32"/>
  <c r="Q26" i="32"/>
  <c r="R26" i="32"/>
  <c r="S26" i="32"/>
  <c r="T26" i="32"/>
  <c r="U26" i="32"/>
  <c r="V26" i="32"/>
  <c r="W26" i="32"/>
  <c r="X26" i="32"/>
  <c r="E37" i="32"/>
  <c r="F37" i="32"/>
  <c r="G37" i="32"/>
  <c r="H37" i="32"/>
  <c r="I37" i="32"/>
  <c r="J37" i="32"/>
  <c r="K37" i="32"/>
  <c r="L37" i="32"/>
  <c r="M37" i="32"/>
  <c r="N37" i="32"/>
  <c r="O37" i="32"/>
  <c r="P37" i="32"/>
  <c r="Q37" i="32"/>
  <c r="R37" i="32"/>
  <c r="S37" i="32"/>
  <c r="T37" i="32"/>
  <c r="U37" i="32"/>
  <c r="V37" i="32"/>
  <c r="W37" i="32"/>
  <c r="X37" i="32"/>
  <c r="F43" i="32"/>
  <c r="D72" i="30" s="1"/>
  <c r="F46" i="32"/>
  <c r="G46" i="32" s="1"/>
  <c r="H46" i="32" s="1"/>
  <c r="I46" i="32" s="1"/>
  <c r="J46" i="32" s="1"/>
  <c r="K46" i="32" s="1"/>
  <c r="L46" i="32" s="1"/>
  <c r="M46" i="32" s="1"/>
  <c r="N46" i="32" s="1"/>
  <c r="O46" i="32" s="1"/>
  <c r="P46" i="32" s="1"/>
  <c r="Q46" i="32" s="1"/>
  <c r="R46" i="32" s="1"/>
  <c r="S46" i="32" s="1"/>
  <c r="T46" i="32" s="1"/>
  <c r="U46" i="32" s="1"/>
  <c r="V46" i="32" s="1"/>
  <c r="W46" i="32" s="1"/>
  <c r="X46" i="32" s="1"/>
  <c r="A1" i="31"/>
  <c r="B7" i="31"/>
  <c r="A8" i="31"/>
  <c r="C7" i="29"/>
  <c r="B8" i="31" s="1"/>
  <c r="A9" i="31"/>
  <c r="D7" i="29"/>
  <c r="B9" i="31" s="1"/>
  <c r="A10" i="31"/>
  <c r="E7" i="29"/>
  <c r="B10" i="31" s="1"/>
  <c r="A11" i="31"/>
  <c r="F7" i="29"/>
  <c r="B11" i="31"/>
  <c r="A12" i="31"/>
  <c r="G7" i="29"/>
  <c r="B12" i="31" s="1"/>
  <c r="C5" i="30"/>
  <c r="C39" i="30" s="1"/>
  <c r="C68" i="30"/>
  <c r="D81" i="30" s="1"/>
  <c r="C9" i="29"/>
  <c r="D9" i="29"/>
  <c r="E9" i="29"/>
  <c r="F9" i="29"/>
  <c r="G9" i="29"/>
  <c r="B10" i="29"/>
  <c r="C10" i="29"/>
  <c r="D10" i="29"/>
  <c r="E10" i="29"/>
  <c r="F10" i="29"/>
  <c r="G10" i="29"/>
  <c r="B11" i="29"/>
  <c r="C11" i="29"/>
  <c r="D11" i="29"/>
  <c r="E11" i="29"/>
  <c r="F11" i="29"/>
  <c r="G11" i="29"/>
  <c r="B29" i="29"/>
  <c r="C29" i="29"/>
  <c r="D29" i="29"/>
  <c r="E29" i="29"/>
  <c r="F29" i="29"/>
  <c r="G29" i="29"/>
  <c r="B30" i="29"/>
  <c r="C30" i="29"/>
  <c r="D30" i="29"/>
  <c r="E30" i="29"/>
  <c r="F30" i="29"/>
  <c r="G30" i="29"/>
  <c r="B31" i="29"/>
  <c r="C31" i="29"/>
  <c r="D31" i="29"/>
  <c r="E31" i="29"/>
  <c r="F31" i="29"/>
  <c r="G31" i="29"/>
  <c r="B32" i="29"/>
  <c r="C32" i="29"/>
  <c r="D32" i="29"/>
  <c r="E32" i="29"/>
  <c r="F32" i="29"/>
  <c r="G32" i="29"/>
  <c r="B33" i="29"/>
  <c r="C33" i="29"/>
  <c r="D33" i="29"/>
  <c r="E33" i="29"/>
  <c r="F33" i="29"/>
  <c r="G33" i="29"/>
  <c r="B34" i="29"/>
  <c r="C34" i="29"/>
  <c r="D34" i="29"/>
  <c r="E34" i="29"/>
  <c r="F34" i="29"/>
  <c r="G34" i="29"/>
  <c r="B35" i="29"/>
  <c r="C35" i="29"/>
  <c r="D35" i="29"/>
  <c r="E35" i="29"/>
  <c r="F35" i="29"/>
  <c r="G35" i="29"/>
  <c r="B36" i="29"/>
  <c r="C36" i="29"/>
  <c r="D36" i="29"/>
  <c r="E36" i="29"/>
  <c r="F36" i="29"/>
  <c r="G36" i="29"/>
  <c r="B37" i="29"/>
  <c r="C37" i="29"/>
  <c r="D37" i="29"/>
  <c r="E37" i="29"/>
  <c r="F37" i="29"/>
  <c r="G37" i="29"/>
  <c r="B38" i="29"/>
  <c r="C38" i="29"/>
  <c r="D38" i="29"/>
  <c r="E38" i="29"/>
  <c r="F38" i="29"/>
  <c r="G38" i="29"/>
  <c r="B39" i="29"/>
  <c r="C39" i="29"/>
  <c r="D39" i="29"/>
  <c r="E39" i="29"/>
  <c r="F39" i="29"/>
  <c r="G39" i="29"/>
  <c r="G78" i="2"/>
  <c r="C48" i="33" s="1"/>
  <c r="C35" i="33" s="1"/>
  <c r="B21" i="2"/>
  <c r="C3" i="8" s="1"/>
  <c r="D3" i="8" s="1"/>
  <c r="B2" i="42" s="1"/>
  <c r="B23" i="2"/>
  <c r="C6" i="8" s="1"/>
  <c r="D6" i="8" s="1"/>
  <c r="B5" i="42" s="1"/>
  <c r="B24" i="2"/>
  <c r="C7" i="8" s="1"/>
  <c r="D7" i="8" s="1"/>
  <c r="B6" i="42" s="1"/>
  <c r="B27" i="2"/>
  <c r="H16" i="2" s="1"/>
  <c r="G77" i="2"/>
  <c r="C47" i="33" s="1"/>
  <c r="C34" i="33" s="1"/>
  <c r="Y6" i="23"/>
  <c r="Y19" i="10" s="1"/>
  <c r="Y19" i="17" s="1"/>
  <c r="X6" i="23"/>
  <c r="X19" i="10" s="1"/>
  <c r="X19" i="17" s="1"/>
  <c r="W6" i="23"/>
  <c r="V6" i="23"/>
  <c r="V19" i="10" s="1"/>
  <c r="V19" i="17" s="1"/>
  <c r="U6" i="23"/>
  <c r="U19" i="10" s="1"/>
  <c r="U19" i="17" s="1"/>
  <c r="T6" i="23"/>
  <c r="T19" i="10" s="1"/>
  <c r="T19" i="17" s="1"/>
  <c r="S6" i="23"/>
  <c r="R6" i="23"/>
  <c r="R19" i="10" s="1"/>
  <c r="R19" i="17" s="1"/>
  <c r="Q6" i="23"/>
  <c r="Q19" i="10" s="1"/>
  <c r="Q19" i="17" s="1"/>
  <c r="P6" i="23"/>
  <c r="P19" i="10" s="1"/>
  <c r="P19" i="17" s="1"/>
  <c r="O6" i="23"/>
  <c r="O19" i="10" s="1"/>
  <c r="O19" i="17" s="1"/>
  <c r="N6" i="23"/>
  <c r="N19" i="10" s="1"/>
  <c r="N19" i="17" s="1"/>
  <c r="M6" i="23"/>
  <c r="M19" i="10" s="1"/>
  <c r="M19" i="17" s="1"/>
  <c r="L6" i="23"/>
  <c r="L19" i="10" s="1"/>
  <c r="L19" i="17" s="1"/>
  <c r="K6" i="23"/>
  <c r="J6" i="23"/>
  <c r="J19" i="10" s="1"/>
  <c r="J19" i="17" s="1"/>
  <c r="I6" i="23"/>
  <c r="I19" i="10" s="1"/>
  <c r="I19" i="17" s="1"/>
  <c r="H6" i="23"/>
  <c r="H19" i="10" s="1"/>
  <c r="H19" i="17" s="1"/>
  <c r="G6" i="23"/>
  <c r="G19" i="10" s="1"/>
  <c r="G19" i="17" s="1"/>
  <c r="F6" i="23"/>
  <c r="F19" i="10" s="1"/>
  <c r="F19" i="17" s="1"/>
  <c r="E6" i="23"/>
  <c r="D6" i="23"/>
  <c r="D19" i="10" s="1"/>
  <c r="D19" i="17" s="1"/>
  <c r="IH6" i="23"/>
  <c r="IG6" i="23"/>
  <c r="IF6" i="23"/>
  <c r="IE6" i="23"/>
  <c r="IE19" i="10" s="1"/>
  <c r="IE19" i="17" s="1"/>
  <c r="ID6" i="23"/>
  <c r="ID19" i="10" s="1"/>
  <c r="ID19" i="17" s="1"/>
  <c r="IC6" i="23"/>
  <c r="IC19" i="10" s="1"/>
  <c r="IC19" i="17" s="1"/>
  <c r="IB6" i="23"/>
  <c r="IB19" i="10" s="1"/>
  <c r="IB19" i="17" s="1"/>
  <c r="IA6" i="23"/>
  <c r="HZ6" i="23"/>
  <c r="HZ19" i="10" s="1"/>
  <c r="HZ19" i="17" s="1"/>
  <c r="HY6" i="23"/>
  <c r="HX6" i="23"/>
  <c r="HX19" i="10" s="1"/>
  <c r="HX19" i="17" s="1"/>
  <c r="HW6" i="23"/>
  <c r="HW19" i="10" s="1"/>
  <c r="HV6" i="23"/>
  <c r="HV19" i="10" s="1"/>
  <c r="HV19" i="17" s="1"/>
  <c r="HU6" i="23"/>
  <c r="HU19" i="10" s="1"/>
  <c r="HU19" i="17" s="1"/>
  <c r="HT6" i="23"/>
  <c r="HT19" i="10" s="1"/>
  <c r="HT19" i="17" s="1"/>
  <c r="HS6" i="23"/>
  <c r="HR6" i="23"/>
  <c r="HQ6" i="23"/>
  <c r="HP6" i="23"/>
  <c r="HP19" i="10" s="1"/>
  <c r="HP19" i="17" s="1"/>
  <c r="HO6" i="23"/>
  <c r="HO19" i="10" s="1"/>
  <c r="HO19" i="17" s="1"/>
  <c r="HN6" i="23"/>
  <c r="HN19" i="10" s="1"/>
  <c r="HN19" i="17" s="1"/>
  <c r="HM6" i="23"/>
  <c r="HM19" i="10" s="1"/>
  <c r="HM19" i="17" s="1"/>
  <c r="HL6" i="23"/>
  <c r="HL19" i="10" s="1"/>
  <c r="HL19" i="17" s="1"/>
  <c r="HK6" i="23"/>
  <c r="HJ6" i="23"/>
  <c r="HI6" i="23"/>
  <c r="HH6" i="23"/>
  <c r="HH19" i="10" s="1"/>
  <c r="HH19" i="17" s="1"/>
  <c r="HG6" i="23"/>
  <c r="HG19" i="10" s="1"/>
  <c r="HG19" i="17" s="1"/>
  <c r="HF6" i="23"/>
  <c r="HF19" i="10" s="1"/>
  <c r="HF19" i="17" s="1"/>
  <c r="HE6" i="23"/>
  <c r="HE19" i="10" s="1"/>
  <c r="HE19" i="17" s="1"/>
  <c r="HD6" i="23"/>
  <c r="HD19" i="10" s="1"/>
  <c r="HD19" i="17" s="1"/>
  <c r="HC6" i="23"/>
  <c r="HB6" i="23"/>
  <c r="HA6" i="23"/>
  <c r="GZ6" i="23"/>
  <c r="GZ19" i="10" s="1"/>
  <c r="GZ19" i="17" s="1"/>
  <c r="GY6" i="23"/>
  <c r="GY19" i="10" s="1"/>
  <c r="GX6" i="23"/>
  <c r="GX19" i="10" s="1"/>
  <c r="GX19" i="17" s="1"/>
  <c r="GW6" i="23"/>
  <c r="GW19" i="10" s="1"/>
  <c r="GW19" i="17" s="1"/>
  <c r="GV6" i="23"/>
  <c r="GU6" i="23"/>
  <c r="GT6" i="23"/>
  <c r="GS6" i="23"/>
  <c r="GR6" i="23"/>
  <c r="GR19" i="10" s="1"/>
  <c r="GR19" i="17" s="1"/>
  <c r="GQ6" i="23"/>
  <c r="GQ19" i="10" s="1"/>
  <c r="GQ19" i="17" s="1"/>
  <c r="GP6" i="23"/>
  <c r="GP19" i="10" s="1"/>
  <c r="GP19" i="17" s="1"/>
  <c r="GO6" i="23"/>
  <c r="GO19" i="10" s="1"/>
  <c r="GO19" i="17" s="1"/>
  <c r="GN6" i="23"/>
  <c r="GN19" i="10" s="1"/>
  <c r="GN19" i="17" s="1"/>
  <c r="GM6" i="23"/>
  <c r="GL6" i="23"/>
  <c r="GK6" i="23"/>
  <c r="GJ6" i="23"/>
  <c r="GI6" i="23"/>
  <c r="GI19" i="10" s="1"/>
  <c r="GI19" i="17" s="1"/>
  <c r="GH6" i="23"/>
  <c r="GH19" i="10" s="1"/>
  <c r="GH19" i="17" s="1"/>
  <c r="GG6" i="23"/>
  <c r="GG19" i="10" s="1"/>
  <c r="GG19" i="17" s="1"/>
  <c r="GF6" i="23"/>
  <c r="GF19" i="10" s="1"/>
  <c r="GF19" i="17" s="1"/>
  <c r="GE6" i="23"/>
  <c r="GD6" i="23"/>
  <c r="GD19" i="10" s="1"/>
  <c r="GD19" i="17" s="1"/>
  <c r="GC6" i="23"/>
  <c r="GB6" i="23"/>
  <c r="GB19" i="10" s="1"/>
  <c r="GB19" i="17" s="1"/>
  <c r="GA6" i="23"/>
  <c r="GA19" i="10" s="1"/>
  <c r="FZ6" i="23"/>
  <c r="FZ19" i="10" s="1"/>
  <c r="FZ19" i="17" s="1"/>
  <c r="FY6" i="23"/>
  <c r="FY19" i="10" s="1"/>
  <c r="FY19" i="17" s="1"/>
  <c r="FX6" i="23"/>
  <c r="FX19" i="10" s="1"/>
  <c r="FX19" i="17" s="1"/>
  <c r="FW6" i="23"/>
  <c r="FV6" i="23"/>
  <c r="FV19" i="10" s="1"/>
  <c r="FV19" i="17" s="1"/>
  <c r="FU6" i="23"/>
  <c r="FT6" i="23"/>
  <c r="FS6" i="23"/>
  <c r="FS19" i="10" s="1"/>
  <c r="FS19" i="17" s="1"/>
  <c r="FR6" i="23"/>
  <c r="FR19" i="10" s="1"/>
  <c r="FR19" i="17" s="1"/>
  <c r="FQ6" i="23"/>
  <c r="FP6" i="23"/>
  <c r="FO6" i="23"/>
  <c r="FN6" i="23"/>
  <c r="FM6" i="23"/>
  <c r="FL6" i="23"/>
  <c r="FL19" i="10" s="1"/>
  <c r="FL19" i="17" s="1"/>
  <c r="FK6" i="23"/>
  <c r="FK19" i="10" s="1"/>
  <c r="FK19" i="17" s="1"/>
  <c r="FJ6" i="23"/>
  <c r="FJ19" i="10" s="1"/>
  <c r="FJ19" i="17" s="1"/>
  <c r="FI6" i="23"/>
  <c r="FI19" i="10" s="1"/>
  <c r="FI19" i="17" s="1"/>
  <c r="FH6" i="23"/>
  <c r="FH19" i="10" s="1"/>
  <c r="FH19" i="17" s="1"/>
  <c r="FG6" i="23"/>
  <c r="FF6" i="23"/>
  <c r="FE6" i="23"/>
  <c r="FD6" i="23"/>
  <c r="FC6" i="23"/>
  <c r="FC19" i="10" s="1"/>
  <c r="FC19" i="17" s="1"/>
  <c r="FB6" i="23"/>
  <c r="FB19" i="10" s="1"/>
  <c r="FB19" i="17" s="1"/>
  <c r="FA6" i="23"/>
  <c r="FA19" i="10" s="1"/>
  <c r="FA19" i="17" s="1"/>
  <c r="EZ6" i="23"/>
  <c r="EZ19" i="10" s="1"/>
  <c r="EZ19" i="17" s="1"/>
  <c r="EY6" i="23"/>
  <c r="EX6" i="23"/>
  <c r="EX19" i="10" s="1"/>
  <c r="EX19" i="17" s="1"/>
  <c r="EW6" i="23"/>
  <c r="EV6" i="23"/>
  <c r="EV19" i="10" s="1"/>
  <c r="EV19" i="17" s="1"/>
  <c r="EU6" i="23"/>
  <c r="EU19" i="10" s="1"/>
  <c r="EU19" i="17" s="1"/>
  <c r="ET6" i="23"/>
  <c r="ET19" i="10" s="1"/>
  <c r="ES6" i="23"/>
  <c r="ES19" i="10" s="1"/>
  <c r="ES19" i="17" s="1"/>
  <c r="ER6" i="23"/>
  <c r="ER19" i="10" s="1"/>
  <c r="ER19" i="17" s="1"/>
  <c r="EQ6" i="23"/>
  <c r="EP6" i="23"/>
  <c r="EP19" i="10" s="1"/>
  <c r="EP19" i="17" s="1"/>
  <c r="EO6" i="23"/>
  <c r="EN6" i="23"/>
  <c r="EM6" i="23"/>
  <c r="EM19" i="10" s="1"/>
  <c r="EM19" i="17" s="1"/>
  <c r="EL6" i="23"/>
  <c r="EL19" i="10" s="1"/>
  <c r="EL19" i="17" s="1"/>
  <c r="EK6" i="23"/>
  <c r="EJ6" i="23"/>
  <c r="EI6" i="23"/>
  <c r="EH6" i="23"/>
  <c r="EG6" i="23"/>
  <c r="EF6" i="23"/>
  <c r="EF19" i="10" s="1"/>
  <c r="EF19" i="17" s="1"/>
  <c r="EE6" i="23"/>
  <c r="EE19" i="10" s="1"/>
  <c r="EE19" i="17" s="1"/>
  <c r="ED6" i="23"/>
  <c r="ED19" i="10" s="1"/>
  <c r="ED19" i="17" s="1"/>
  <c r="EC6" i="23"/>
  <c r="EC19" i="10" s="1"/>
  <c r="EC19" i="17" s="1"/>
  <c r="EB6" i="23"/>
  <c r="EB19" i="10" s="1"/>
  <c r="EB19" i="17" s="1"/>
  <c r="EA6" i="23"/>
  <c r="DZ6" i="23"/>
  <c r="DY6" i="23"/>
  <c r="DX6" i="23"/>
  <c r="DW6" i="23"/>
  <c r="DW19" i="10" s="1"/>
  <c r="DW19" i="17" s="1"/>
  <c r="DV6" i="23"/>
  <c r="DV19" i="10" s="1"/>
  <c r="DV19" i="17" s="1"/>
  <c r="DU6" i="23"/>
  <c r="DU19" i="10" s="1"/>
  <c r="DU19" i="17" s="1"/>
  <c r="DT6" i="23"/>
  <c r="DT19" i="10" s="1"/>
  <c r="DT19" i="17" s="1"/>
  <c r="DS6" i="23"/>
  <c r="DR6" i="23"/>
  <c r="DR19" i="10" s="1"/>
  <c r="DR19" i="17" s="1"/>
  <c r="DQ6" i="23"/>
  <c r="DP6" i="23"/>
  <c r="DP19" i="10" s="1"/>
  <c r="DP19" i="17" s="1"/>
  <c r="DO6" i="23"/>
  <c r="DO19" i="10" s="1"/>
  <c r="DO19" i="17" s="1"/>
  <c r="DN6" i="23"/>
  <c r="DN19" i="10" s="1"/>
  <c r="DN19" i="17" s="1"/>
  <c r="DM6" i="23"/>
  <c r="DM19" i="10" s="1"/>
  <c r="DM19" i="17" s="1"/>
  <c r="DL6" i="23"/>
  <c r="DL19" i="10" s="1"/>
  <c r="DL19" i="17" s="1"/>
  <c r="DK6" i="23"/>
  <c r="DK19" i="10" s="1"/>
  <c r="DK19" i="17" s="1"/>
  <c r="DJ6" i="23"/>
  <c r="DJ19" i="10" s="1"/>
  <c r="DJ19" i="17" s="1"/>
  <c r="DI6" i="23"/>
  <c r="DH6" i="23"/>
  <c r="DH19" i="10" s="1"/>
  <c r="DH19" i="17" s="1"/>
  <c r="DG6" i="23"/>
  <c r="DG19" i="10" s="1"/>
  <c r="DG19" i="17" s="1"/>
  <c r="DF6" i="23"/>
  <c r="DF19" i="10" s="1"/>
  <c r="DF19" i="17" s="1"/>
  <c r="DE6" i="23"/>
  <c r="DD6" i="23"/>
  <c r="DC6" i="23"/>
  <c r="DB6" i="23"/>
  <c r="DA6" i="23"/>
  <c r="CZ6" i="23"/>
  <c r="CZ19" i="10" s="1"/>
  <c r="CZ19" i="17" s="1"/>
  <c r="CY6" i="23"/>
  <c r="CY19" i="10" s="1"/>
  <c r="CY19" i="17" s="1"/>
  <c r="CX6" i="23"/>
  <c r="CX19" i="10" s="1"/>
  <c r="CW6" i="23"/>
  <c r="CW19" i="10" s="1"/>
  <c r="CW19" i="17" s="1"/>
  <c r="CV6" i="23"/>
  <c r="CV19" i="10" s="1"/>
  <c r="CV19" i="17" s="1"/>
  <c r="CU6" i="23"/>
  <c r="CT6" i="23"/>
  <c r="CS6" i="23"/>
  <c r="CR6" i="23"/>
  <c r="CR19" i="10" s="1"/>
  <c r="CR19" i="17" s="1"/>
  <c r="CQ6" i="23"/>
  <c r="CQ19" i="10" s="1"/>
  <c r="CQ19" i="17" s="1"/>
  <c r="CP6" i="23"/>
  <c r="CP19" i="10" s="1"/>
  <c r="CP19" i="17" s="1"/>
  <c r="CO6" i="23"/>
  <c r="CO19" i="10" s="1"/>
  <c r="CO19" i="17" s="1"/>
  <c r="CN6" i="23"/>
  <c r="CN19" i="10" s="1"/>
  <c r="CN19" i="17" s="1"/>
  <c r="CM6" i="23"/>
  <c r="CL6" i="23"/>
  <c r="CL19" i="10" s="1"/>
  <c r="CL19" i="17" s="1"/>
  <c r="CK6" i="23"/>
  <c r="CJ6" i="23"/>
  <c r="CJ19" i="10" s="1"/>
  <c r="CJ19" i="17" s="1"/>
  <c r="CI6" i="23"/>
  <c r="CI19" i="10" s="1"/>
  <c r="CI19" i="17" s="1"/>
  <c r="CH6" i="23"/>
  <c r="CH19" i="10" s="1"/>
  <c r="CH19" i="17" s="1"/>
  <c r="CG6" i="23"/>
  <c r="CG19" i="10" s="1"/>
  <c r="CG19" i="17" s="1"/>
  <c r="CF6" i="23"/>
  <c r="CF19" i="10" s="1"/>
  <c r="CF19" i="17" s="1"/>
  <c r="CE6" i="23"/>
  <c r="CE19" i="10" s="1"/>
  <c r="CE19" i="17" s="1"/>
  <c r="CD6" i="23"/>
  <c r="CD19" i="10" s="1"/>
  <c r="CD19" i="17" s="1"/>
  <c r="CC6" i="23"/>
  <c r="CB6" i="23"/>
  <c r="CB19" i="10" s="1"/>
  <c r="CB19" i="17" s="1"/>
  <c r="CA6" i="23"/>
  <c r="CA19" i="10" s="1"/>
  <c r="CA19" i="17" s="1"/>
  <c r="BZ6" i="23"/>
  <c r="BZ19" i="10" s="1"/>
  <c r="BZ19" i="17" s="1"/>
  <c r="BY6" i="23"/>
  <c r="BY19" i="10" s="1"/>
  <c r="BY19" i="17" s="1"/>
  <c r="BX6" i="23"/>
  <c r="BW6" i="23"/>
  <c r="BV6" i="23"/>
  <c r="BU6" i="23"/>
  <c r="BT6" i="23"/>
  <c r="BT19" i="10" s="1"/>
  <c r="BT19" i="17" s="1"/>
  <c r="BS6" i="23"/>
  <c r="BS19" i="10" s="1"/>
  <c r="BS19" i="17" s="1"/>
  <c r="BR6" i="23"/>
  <c r="BR19" i="10" s="1"/>
  <c r="BR19" i="17" s="1"/>
  <c r="BQ6" i="23"/>
  <c r="BQ19" i="10" s="1"/>
  <c r="BQ19" i="17" s="1"/>
  <c r="BP6" i="23"/>
  <c r="BP19" i="10" s="1"/>
  <c r="BP19" i="17" s="1"/>
  <c r="BO6" i="23"/>
  <c r="BN6" i="23"/>
  <c r="BM6" i="23"/>
  <c r="BL6" i="23"/>
  <c r="BK6" i="23"/>
  <c r="BK19" i="10" s="1"/>
  <c r="BK19" i="17" s="1"/>
  <c r="BJ6" i="23"/>
  <c r="BJ19" i="10" s="1"/>
  <c r="BJ19" i="17" s="1"/>
  <c r="BI6" i="23"/>
  <c r="BI19" i="10" s="1"/>
  <c r="BI19" i="17" s="1"/>
  <c r="BH6" i="23"/>
  <c r="BH19" i="10" s="1"/>
  <c r="BH19" i="17" s="1"/>
  <c r="BG6" i="23"/>
  <c r="BF6" i="23"/>
  <c r="BF19" i="10" s="1"/>
  <c r="BF19" i="17" s="1"/>
  <c r="BE6" i="23"/>
  <c r="BD6" i="23"/>
  <c r="BD19" i="10" s="1"/>
  <c r="BD19" i="17" s="1"/>
  <c r="BC6" i="23"/>
  <c r="BC19" i="10" s="1"/>
  <c r="BC19" i="17" s="1"/>
  <c r="BB6" i="23"/>
  <c r="BB19" i="10" s="1"/>
  <c r="BB19" i="17" s="1"/>
  <c r="BA6" i="23"/>
  <c r="BA19" i="10" s="1"/>
  <c r="BA19" i="17" s="1"/>
  <c r="AZ6" i="23"/>
  <c r="AZ19" i="10" s="1"/>
  <c r="AZ19" i="17" s="1"/>
  <c r="AY6" i="23"/>
  <c r="AY19" i="10" s="1"/>
  <c r="AY19" i="17" s="1"/>
  <c r="AX6" i="23"/>
  <c r="AX19" i="10" s="1"/>
  <c r="AX19" i="17" s="1"/>
  <c r="AW6" i="23"/>
  <c r="AV6" i="23"/>
  <c r="AV19" i="10" s="1"/>
  <c r="AV19" i="17" s="1"/>
  <c r="AU6" i="23"/>
  <c r="AU19" i="10" s="1"/>
  <c r="AU19" i="17" s="1"/>
  <c r="AT6" i="23"/>
  <c r="AT19" i="10" s="1"/>
  <c r="AS6" i="23"/>
  <c r="AR6" i="23"/>
  <c r="AR19" i="10" s="1"/>
  <c r="AR19" i="17" s="1"/>
  <c r="AQ6" i="23"/>
  <c r="AP6" i="23"/>
  <c r="AO6" i="23"/>
  <c r="AN6" i="23"/>
  <c r="AN19" i="10" s="1"/>
  <c r="AN19" i="17" s="1"/>
  <c r="AM6" i="23"/>
  <c r="AM19" i="10" s="1"/>
  <c r="AM19" i="17" s="1"/>
  <c r="AL6" i="23"/>
  <c r="AL19" i="10" s="1"/>
  <c r="AL19" i="17" s="1"/>
  <c r="AK6" i="23"/>
  <c r="AK19" i="10" s="1"/>
  <c r="AK19" i="17" s="1"/>
  <c r="AJ6" i="23"/>
  <c r="AJ19" i="10" s="1"/>
  <c r="AJ19" i="17" s="1"/>
  <c r="AI6" i="23"/>
  <c r="AH6" i="23"/>
  <c r="AG6" i="23"/>
  <c r="AF6" i="23"/>
  <c r="AF19" i="10" s="1"/>
  <c r="AF19" i="17" s="1"/>
  <c r="AE6" i="23"/>
  <c r="AE19" i="10" s="1"/>
  <c r="AE19" i="17" s="1"/>
  <c r="AD6" i="23"/>
  <c r="AD19" i="10" s="1"/>
  <c r="AD19" i="17" s="1"/>
  <c r="AC6" i="23"/>
  <c r="AC19" i="10" s="1"/>
  <c r="AC19" i="17" s="1"/>
  <c r="AB6" i="23"/>
  <c r="AB19" i="10" s="1"/>
  <c r="AB19" i="17" s="1"/>
  <c r="AA6" i="23"/>
  <c r="Z6" i="23"/>
  <c r="Z19" i="10" s="1"/>
  <c r="Z19" i="17" s="1"/>
  <c r="B14" i="2"/>
  <c r="B17" i="2" s="1"/>
  <c r="IH19" i="10"/>
  <c r="IH19" i="17" s="1"/>
  <c r="IG19" i="10"/>
  <c r="IG19" i="17" s="1"/>
  <c r="IF19" i="10"/>
  <c r="IF19" i="17" s="1"/>
  <c r="IA19" i="10"/>
  <c r="IA19" i="17" s="1"/>
  <c r="HY19" i="10"/>
  <c r="HY19" i="17" s="1"/>
  <c r="HS19" i="10"/>
  <c r="HS19" i="17" s="1"/>
  <c r="HR19" i="10"/>
  <c r="HR19" i="17" s="1"/>
  <c r="HQ19" i="10"/>
  <c r="HQ19" i="17" s="1"/>
  <c r="HK19" i="10"/>
  <c r="HJ19" i="10"/>
  <c r="HJ19" i="17" s="1"/>
  <c r="HI19" i="10"/>
  <c r="HI19" i="17" s="1"/>
  <c r="HC19" i="10"/>
  <c r="HC19" i="17" s="1"/>
  <c r="HB19" i="10"/>
  <c r="HA19" i="10"/>
  <c r="HA19" i="17" s="1"/>
  <c r="GV19" i="10"/>
  <c r="GV19" i="17" s="1"/>
  <c r="GU19" i="10"/>
  <c r="GU19" i="17" s="1"/>
  <c r="GT19" i="10"/>
  <c r="GT19" i="17" s="1"/>
  <c r="GS19" i="10"/>
  <c r="GS19" i="17" s="1"/>
  <c r="GM19" i="10"/>
  <c r="GL19" i="10"/>
  <c r="GL19" i="17" s="1"/>
  <c r="GK19" i="10"/>
  <c r="GK19" i="17" s="1"/>
  <c r="GJ19" i="10"/>
  <c r="GJ19" i="17" s="1"/>
  <c r="GE19" i="10"/>
  <c r="GE19" i="17" s="1"/>
  <c r="GC19" i="10"/>
  <c r="GC19" i="17" s="1"/>
  <c r="FW19" i="10"/>
  <c r="FW19" i="17" s="1"/>
  <c r="FU19" i="10"/>
  <c r="FU19" i="17" s="1"/>
  <c r="FT19" i="10"/>
  <c r="FT19" i="17" s="1"/>
  <c r="FQ19" i="10"/>
  <c r="FQ19" i="17" s="1"/>
  <c r="FP19" i="10"/>
  <c r="FP19" i="17" s="1"/>
  <c r="FO19" i="10"/>
  <c r="FN19" i="10"/>
  <c r="FN19" i="17" s="1"/>
  <c r="FM19" i="10"/>
  <c r="FM19" i="17" s="1"/>
  <c r="FG19" i="10"/>
  <c r="FG19" i="17" s="1"/>
  <c r="FF19" i="10"/>
  <c r="FF19" i="17" s="1"/>
  <c r="FE19" i="10"/>
  <c r="FE19" i="17" s="1"/>
  <c r="FD19" i="10"/>
  <c r="FD19" i="17" s="1"/>
  <c r="EY19" i="10"/>
  <c r="EY19" i="17" s="1"/>
  <c r="EW19" i="10"/>
  <c r="EW19" i="17" s="1"/>
  <c r="EQ19" i="10"/>
  <c r="EQ19" i="17" s="1"/>
  <c r="EO19" i="10"/>
  <c r="EO19" i="17" s="1"/>
  <c r="EN19" i="10"/>
  <c r="EN19" i="17" s="1"/>
  <c r="EK19" i="10"/>
  <c r="EK19" i="17" s="1"/>
  <c r="EJ19" i="10"/>
  <c r="EJ19" i="17" s="1"/>
  <c r="EI19" i="10"/>
  <c r="EI19" i="17" s="1"/>
  <c r="EH19" i="10"/>
  <c r="EH19" i="17" s="1"/>
  <c r="EG19" i="10"/>
  <c r="EG19" i="17" s="1"/>
  <c r="EA19" i="10"/>
  <c r="EA19" i="17" s="1"/>
  <c r="DZ19" i="10"/>
  <c r="DZ19" i="17" s="1"/>
  <c r="DY19" i="10"/>
  <c r="DY19" i="17" s="1"/>
  <c r="DX19" i="10"/>
  <c r="DX19" i="17" s="1"/>
  <c r="DS19" i="10"/>
  <c r="DS19" i="17" s="1"/>
  <c r="DQ19" i="10"/>
  <c r="DQ19" i="17" s="1"/>
  <c r="DI19" i="10"/>
  <c r="DI19" i="17" s="1"/>
  <c r="DE19" i="10"/>
  <c r="DE19" i="17" s="1"/>
  <c r="DD19" i="10"/>
  <c r="DD19" i="17" s="1"/>
  <c r="DC19" i="10"/>
  <c r="DC19" i="17" s="1"/>
  <c r="DB19" i="10"/>
  <c r="DA19" i="10"/>
  <c r="DA19" i="17" s="1"/>
  <c r="CU19" i="10"/>
  <c r="CU19" i="17" s="1"/>
  <c r="CT19" i="10"/>
  <c r="CT19" i="17" s="1"/>
  <c r="CS19" i="10"/>
  <c r="CS19" i="17" s="1"/>
  <c r="CM19" i="10"/>
  <c r="CM19" i="17" s="1"/>
  <c r="CK19" i="10"/>
  <c r="CK19" i="17" s="1"/>
  <c r="CC19" i="10"/>
  <c r="CC19" i="17" s="1"/>
  <c r="BX19" i="10"/>
  <c r="BX19" i="17" s="1"/>
  <c r="BW19" i="10"/>
  <c r="BW19" i="17" s="1"/>
  <c r="BV19" i="10"/>
  <c r="BV19" i="17" s="1"/>
  <c r="BU19" i="10"/>
  <c r="BU19" i="17" s="1"/>
  <c r="BO19" i="10"/>
  <c r="BO19" i="17" s="1"/>
  <c r="BN19" i="10"/>
  <c r="BN19" i="17" s="1"/>
  <c r="BM19" i="10"/>
  <c r="BM19" i="17" s="1"/>
  <c r="BL19" i="10"/>
  <c r="BL19" i="17" s="1"/>
  <c r="BG19" i="10"/>
  <c r="BG19" i="17" s="1"/>
  <c r="BE19" i="10"/>
  <c r="BE19" i="17" s="1"/>
  <c r="AW19" i="10"/>
  <c r="AW19" i="17" s="1"/>
  <c r="AS19" i="10"/>
  <c r="AS19" i="17" s="1"/>
  <c r="AQ19" i="10"/>
  <c r="AQ19" i="17" s="1"/>
  <c r="AP19" i="10"/>
  <c r="AP19" i="17" s="1"/>
  <c r="AO19" i="10"/>
  <c r="AO19" i="17" s="1"/>
  <c r="AI19" i="10"/>
  <c r="AI19" i="17" s="1"/>
  <c r="AH19" i="10"/>
  <c r="AG19" i="10"/>
  <c r="AG19" i="17" s="1"/>
  <c r="AA19" i="10"/>
  <c r="AA19" i="17" s="1"/>
  <c r="W19" i="10"/>
  <c r="W19" i="17" s="1"/>
  <c r="S19" i="10"/>
  <c r="S19" i="17" s="1"/>
  <c r="K19" i="10"/>
  <c r="E19" i="10"/>
  <c r="E19" i="17" s="1"/>
  <c r="C6" i="23"/>
  <c r="C9" i="10"/>
  <c r="C29" i="10" s="1"/>
  <c r="D10" i="25"/>
  <c r="D6" i="25"/>
  <c r="D12" i="25"/>
  <c r="D5" i="25"/>
  <c r="D11" i="25"/>
  <c r="D7" i="25"/>
  <c r="D8" i="25"/>
  <c r="D9" i="25"/>
  <c r="C4" i="25"/>
  <c r="D4" i="25" s="1"/>
  <c r="IH36" i="17"/>
  <c r="IH25" i="17"/>
  <c r="IG36" i="17"/>
  <c r="IG25" i="17"/>
  <c r="IF36" i="17"/>
  <c r="IF25" i="17"/>
  <c r="IE36" i="17"/>
  <c r="IE25" i="17"/>
  <c r="ID36" i="17"/>
  <c r="ID25" i="17"/>
  <c r="IC36" i="17"/>
  <c r="IC25" i="17"/>
  <c r="IB36" i="17"/>
  <c r="IB25" i="17"/>
  <c r="IA36" i="17"/>
  <c r="IA25" i="17"/>
  <c r="HZ36" i="17"/>
  <c r="HZ25" i="17"/>
  <c r="HY36" i="17"/>
  <c r="HY25" i="17"/>
  <c r="HX36" i="17"/>
  <c r="HX25" i="17"/>
  <c r="HW36" i="17"/>
  <c r="HW25" i="17"/>
  <c r="HV36" i="17"/>
  <c r="HV25" i="17"/>
  <c r="HU36" i="17"/>
  <c r="HU25" i="17"/>
  <c r="HT36" i="17"/>
  <c r="HT25" i="17"/>
  <c r="HS36" i="17"/>
  <c r="HS25" i="17"/>
  <c r="HR36" i="17"/>
  <c r="HR25" i="17"/>
  <c r="HQ36" i="17"/>
  <c r="HQ25" i="17"/>
  <c r="HP36" i="17"/>
  <c r="HP25" i="17"/>
  <c r="HO36" i="17"/>
  <c r="HO25" i="17"/>
  <c r="HN36" i="17"/>
  <c r="HN25" i="17"/>
  <c r="HM36" i="17"/>
  <c r="HM25" i="17"/>
  <c r="HL36" i="17"/>
  <c r="HL25" i="17"/>
  <c r="HK36" i="17"/>
  <c r="HK25" i="17"/>
  <c r="HJ36" i="17"/>
  <c r="HJ25" i="17"/>
  <c r="HI36" i="17"/>
  <c r="HI25" i="17"/>
  <c r="HH36" i="17"/>
  <c r="HH25" i="17"/>
  <c r="HG36" i="17"/>
  <c r="HG25" i="17"/>
  <c r="HF36" i="17"/>
  <c r="HF25" i="17"/>
  <c r="HE36" i="17"/>
  <c r="HE25" i="17"/>
  <c r="HD36" i="17"/>
  <c r="HD25" i="17"/>
  <c r="HC36" i="17"/>
  <c r="HC25" i="17"/>
  <c r="HB36" i="17"/>
  <c r="HB19" i="17"/>
  <c r="HB25" i="17"/>
  <c r="HA36" i="17"/>
  <c r="HA25" i="17"/>
  <c r="GZ36" i="17"/>
  <c r="GZ25" i="17"/>
  <c r="GY36" i="17"/>
  <c r="GY25" i="17"/>
  <c r="GX36" i="17"/>
  <c r="GX25" i="17"/>
  <c r="GW36" i="17"/>
  <c r="GW25" i="17"/>
  <c r="GV36" i="17"/>
  <c r="GV25" i="17"/>
  <c r="GU36" i="17"/>
  <c r="GU25" i="17"/>
  <c r="GT36" i="17"/>
  <c r="GT25" i="17"/>
  <c r="GS36" i="17"/>
  <c r="GS25" i="17"/>
  <c r="GR36" i="17"/>
  <c r="GR25" i="17"/>
  <c r="GQ36" i="17"/>
  <c r="GQ25" i="17"/>
  <c r="GP36" i="17"/>
  <c r="GP25" i="17"/>
  <c r="GO36" i="17"/>
  <c r="GO25" i="17"/>
  <c r="GN36" i="17"/>
  <c r="GN25" i="17"/>
  <c r="GM36" i="17"/>
  <c r="GM25" i="17"/>
  <c r="GL36" i="17"/>
  <c r="GL25" i="17"/>
  <c r="GK36" i="17"/>
  <c r="GK25" i="17"/>
  <c r="GJ36" i="17"/>
  <c r="GJ25" i="17"/>
  <c r="GI36" i="17"/>
  <c r="GI25" i="17"/>
  <c r="GH36" i="17"/>
  <c r="GH25" i="17"/>
  <c r="GG36" i="17"/>
  <c r="GG25" i="17"/>
  <c r="GF36" i="17"/>
  <c r="GF25" i="17"/>
  <c r="GE36" i="17"/>
  <c r="GE25" i="17"/>
  <c r="GD36" i="17"/>
  <c r="GD25" i="17"/>
  <c r="GC36" i="17"/>
  <c r="GC25" i="17"/>
  <c r="GB36" i="17"/>
  <c r="GB25" i="17"/>
  <c r="GA36" i="17"/>
  <c r="GA25" i="17"/>
  <c r="FZ36" i="17"/>
  <c r="FZ25" i="17"/>
  <c r="FY36" i="17"/>
  <c r="FY25" i="17"/>
  <c r="FX36" i="17"/>
  <c r="FX25" i="17"/>
  <c r="FW36" i="17"/>
  <c r="FW25" i="17"/>
  <c r="FV36" i="17"/>
  <c r="FV25" i="17"/>
  <c r="FU36" i="17"/>
  <c r="FU25" i="17"/>
  <c r="FT36" i="17"/>
  <c r="FT25" i="17"/>
  <c r="FS36" i="17"/>
  <c r="FS25" i="17"/>
  <c r="FR36" i="17"/>
  <c r="FR25" i="17"/>
  <c r="FQ36" i="17"/>
  <c r="FQ25" i="17"/>
  <c r="FP36" i="17"/>
  <c r="FP25" i="17"/>
  <c r="FO36" i="17"/>
  <c r="FO25" i="17"/>
  <c r="FN36" i="17"/>
  <c r="FN25" i="17"/>
  <c r="FM36" i="17"/>
  <c r="FM25" i="17"/>
  <c r="FL36" i="17"/>
  <c r="FL25" i="17"/>
  <c r="FK36" i="17"/>
  <c r="FK25" i="17"/>
  <c r="FJ36" i="17"/>
  <c r="FJ25" i="17"/>
  <c r="FI36" i="17"/>
  <c r="FI25" i="17"/>
  <c r="FH36" i="17"/>
  <c r="FH25" i="17"/>
  <c r="FG36" i="17"/>
  <c r="FG25" i="17"/>
  <c r="FF36" i="17"/>
  <c r="FF25" i="17"/>
  <c r="FE36" i="17"/>
  <c r="FE25" i="17"/>
  <c r="FD36" i="17"/>
  <c r="FD25" i="17"/>
  <c r="FC36" i="17"/>
  <c r="FC25" i="17"/>
  <c r="FB36" i="17"/>
  <c r="FB25" i="17"/>
  <c r="FA36" i="17"/>
  <c r="FA25" i="17"/>
  <c r="EZ36" i="17"/>
  <c r="EZ25" i="17"/>
  <c r="EY36" i="17"/>
  <c r="EY25" i="17"/>
  <c r="EX36" i="17"/>
  <c r="EX25" i="17"/>
  <c r="EW36" i="17"/>
  <c r="EW25" i="17"/>
  <c r="EV36" i="17"/>
  <c r="EV25" i="17"/>
  <c r="EU36" i="17"/>
  <c r="EU25" i="17"/>
  <c r="ET36" i="17"/>
  <c r="ET19" i="17"/>
  <c r="ET25" i="17"/>
  <c r="ES36" i="17"/>
  <c r="ES25" i="17"/>
  <c r="ER36" i="17"/>
  <c r="ER25" i="17"/>
  <c r="EQ36" i="17"/>
  <c r="EQ25" i="17"/>
  <c r="EP36" i="17"/>
  <c r="EP25" i="17"/>
  <c r="EO36" i="17"/>
  <c r="EO25" i="17"/>
  <c r="EN36" i="17"/>
  <c r="EN25" i="17"/>
  <c r="EM36" i="17"/>
  <c r="EM25" i="17"/>
  <c r="EL36" i="17"/>
  <c r="EL25" i="17"/>
  <c r="EK36" i="17"/>
  <c r="EK25" i="17"/>
  <c r="EJ36" i="17"/>
  <c r="EJ25" i="17"/>
  <c r="EI36" i="17"/>
  <c r="EI25" i="17"/>
  <c r="EH36" i="17"/>
  <c r="EH25" i="17"/>
  <c r="EG36" i="17"/>
  <c r="EG25" i="17"/>
  <c r="EF36" i="17"/>
  <c r="EF25" i="17"/>
  <c r="EE36" i="17"/>
  <c r="EE25" i="17"/>
  <c r="ED36" i="17"/>
  <c r="ED25" i="17"/>
  <c r="EC36" i="17"/>
  <c r="EC25" i="17"/>
  <c r="EB36" i="17"/>
  <c r="EB25" i="17"/>
  <c r="EA36" i="17"/>
  <c r="EA25" i="17"/>
  <c r="DZ36" i="17"/>
  <c r="DZ25" i="17"/>
  <c r="DY36" i="17"/>
  <c r="DY25" i="17"/>
  <c r="DX36" i="17"/>
  <c r="DX25" i="17"/>
  <c r="DW36" i="17"/>
  <c r="DW25" i="17"/>
  <c r="DV36" i="17"/>
  <c r="DV25" i="17"/>
  <c r="DU36" i="17"/>
  <c r="DU25" i="17"/>
  <c r="DT36" i="17"/>
  <c r="DT25" i="17"/>
  <c r="DS36" i="17"/>
  <c r="DS25" i="17"/>
  <c r="DR36" i="17"/>
  <c r="DR25" i="17"/>
  <c r="DQ36" i="17"/>
  <c r="DQ25" i="17"/>
  <c r="DP36" i="17"/>
  <c r="DP25" i="17"/>
  <c r="DO36" i="17"/>
  <c r="DO25" i="17"/>
  <c r="DN36" i="17"/>
  <c r="DN25" i="17"/>
  <c r="DM36" i="17"/>
  <c r="DM25" i="17"/>
  <c r="DL36" i="17"/>
  <c r="DL25" i="17"/>
  <c r="DK36" i="17"/>
  <c r="DK25" i="17"/>
  <c r="DJ36" i="17"/>
  <c r="DJ25" i="17"/>
  <c r="DI36" i="17"/>
  <c r="DI25" i="17"/>
  <c r="DH36" i="17"/>
  <c r="DH25" i="17"/>
  <c r="DG36" i="17"/>
  <c r="DG25" i="17"/>
  <c r="DF36" i="17"/>
  <c r="DF25" i="17"/>
  <c r="DE36" i="17"/>
  <c r="DE25" i="17"/>
  <c r="DD36" i="17"/>
  <c r="DD25" i="17"/>
  <c r="DC36" i="17"/>
  <c r="DC25" i="17"/>
  <c r="DB36" i="17"/>
  <c r="DB19" i="17"/>
  <c r="DB25" i="17"/>
  <c r="DA36" i="17"/>
  <c r="DA25" i="17"/>
  <c r="CZ36" i="17"/>
  <c r="CZ25" i="17"/>
  <c r="CY36" i="17"/>
  <c r="CY25" i="17"/>
  <c r="CX36" i="17"/>
  <c r="CX19" i="17"/>
  <c r="CX25" i="17"/>
  <c r="CW36" i="17"/>
  <c r="CW25" i="17"/>
  <c r="CV36" i="17"/>
  <c r="CV25" i="17"/>
  <c r="CU36" i="17"/>
  <c r="CU25" i="17"/>
  <c r="CT36" i="17"/>
  <c r="CT25" i="17"/>
  <c r="CS36" i="17"/>
  <c r="CS25" i="17"/>
  <c r="CR36" i="17"/>
  <c r="CR25" i="17"/>
  <c r="CQ36" i="17"/>
  <c r="CQ25" i="17"/>
  <c r="CP36" i="17"/>
  <c r="CP25" i="17"/>
  <c r="CO36" i="17"/>
  <c r="CO25" i="17"/>
  <c r="CN36" i="17"/>
  <c r="CN25" i="17"/>
  <c r="CM36" i="17"/>
  <c r="CM25" i="17"/>
  <c r="CL36" i="17"/>
  <c r="CL25" i="17"/>
  <c r="CK36" i="17"/>
  <c r="CK25" i="17"/>
  <c r="CJ36" i="17"/>
  <c r="CJ25" i="17"/>
  <c r="CI36" i="17"/>
  <c r="CI25" i="17"/>
  <c r="CH36" i="17"/>
  <c r="CH25" i="17"/>
  <c r="CG36" i="17"/>
  <c r="CG25" i="17"/>
  <c r="CF36" i="17"/>
  <c r="CF25" i="17"/>
  <c r="CE36" i="17"/>
  <c r="CE25" i="17"/>
  <c r="CD36" i="17"/>
  <c r="CD25" i="17"/>
  <c r="CC36" i="17"/>
  <c r="CC25" i="17"/>
  <c r="CB36" i="17"/>
  <c r="CB25" i="17"/>
  <c r="CA36" i="17"/>
  <c r="CA25" i="17"/>
  <c r="BZ36" i="17"/>
  <c r="BZ25" i="17"/>
  <c r="BY36" i="17"/>
  <c r="BY25" i="17"/>
  <c r="BX36" i="17"/>
  <c r="BX25" i="17"/>
  <c r="BW36" i="17"/>
  <c r="BW25" i="17"/>
  <c r="BV36" i="17"/>
  <c r="BV25" i="17"/>
  <c r="BU36" i="17"/>
  <c r="BU25" i="17"/>
  <c r="BT36" i="17"/>
  <c r="BT25" i="17"/>
  <c r="BS36" i="17"/>
  <c r="BS25" i="17"/>
  <c r="BR36" i="17"/>
  <c r="BR25" i="17"/>
  <c r="BQ36" i="17"/>
  <c r="BQ25" i="17"/>
  <c r="BP36" i="17"/>
  <c r="BP25" i="17"/>
  <c r="BO36" i="17"/>
  <c r="BO25" i="17"/>
  <c r="BN36" i="17"/>
  <c r="BN25" i="17"/>
  <c r="BM36" i="17"/>
  <c r="BM25" i="17"/>
  <c r="BL36" i="17"/>
  <c r="BL25" i="17"/>
  <c r="BK36" i="17"/>
  <c r="BK25" i="17"/>
  <c r="BJ36" i="17"/>
  <c r="BJ25" i="17"/>
  <c r="BI36" i="17"/>
  <c r="BI25" i="17"/>
  <c r="BH36" i="17"/>
  <c r="BH25" i="17"/>
  <c r="BG36" i="17"/>
  <c r="BG25" i="17"/>
  <c r="BF36" i="17"/>
  <c r="BF25" i="17"/>
  <c r="BE36" i="17"/>
  <c r="BE25" i="17"/>
  <c r="BD36" i="17"/>
  <c r="BD25" i="17"/>
  <c r="BC36" i="17"/>
  <c r="BC25" i="17"/>
  <c r="BB36" i="17"/>
  <c r="BB25" i="17"/>
  <c r="BA36" i="17"/>
  <c r="BA25" i="17"/>
  <c r="AZ36" i="17"/>
  <c r="AZ25" i="17"/>
  <c r="AY36" i="17"/>
  <c r="AY25" i="17"/>
  <c r="AX36" i="17"/>
  <c r="AX25" i="17"/>
  <c r="AW36" i="17"/>
  <c r="AW25" i="17"/>
  <c r="AV36" i="17"/>
  <c r="AV25" i="17"/>
  <c r="AU36" i="17"/>
  <c r="AU25" i="17"/>
  <c r="AT36" i="17"/>
  <c r="AT19" i="17"/>
  <c r="AT25" i="17"/>
  <c r="AS36" i="17"/>
  <c r="AS25" i="17"/>
  <c r="AR36" i="17"/>
  <c r="AR25" i="17"/>
  <c r="AQ36" i="17"/>
  <c r="AQ25" i="17"/>
  <c r="AP36" i="17"/>
  <c r="AP25" i="17"/>
  <c r="AO36" i="17"/>
  <c r="AO25" i="17"/>
  <c r="AN36" i="17"/>
  <c r="AN25" i="17"/>
  <c r="AM36" i="17"/>
  <c r="AM25" i="17"/>
  <c r="AL36" i="17"/>
  <c r="AL25" i="17"/>
  <c r="AK36" i="17"/>
  <c r="AK25" i="17"/>
  <c r="AJ36" i="17"/>
  <c r="AJ25" i="17"/>
  <c r="AI36" i="17"/>
  <c r="AI25" i="17"/>
  <c r="AH36" i="17"/>
  <c r="AH19" i="17"/>
  <c r="AH25" i="17"/>
  <c r="AG36" i="17"/>
  <c r="AG25" i="17"/>
  <c r="AF36" i="17"/>
  <c r="AF25" i="17"/>
  <c r="AE36" i="17"/>
  <c r="AE25" i="17"/>
  <c r="AD36" i="17"/>
  <c r="AD25" i="17"/>
  <c r="AC36" i="17"/>
  <c r="AC25" i="17"/>
  <c r="AB36" i="17"/>
  <c r="AB25" i="17"/>
  <c r="AA36" i="17"/>
  <c r="AA25" i="17"/>
  <c r="Z36" i="17"/>
  <c r="Z25" i="17"/>
  <c r="Y36" i="17"/>
  <c r="Y25" i="17"/>
  <c r="X36" i="17"/>
  <c r="X25" i="17"/>
  <c r="W36" i="17"/>
  <c r="W25" i="17"/>
  <c r="V36" i="17"/>
  <c r="V25" i="17"/>
  <c r="U36" i="17"/>
  <c r="U25" i="17"/>
  <c r="T36" i="17"/>
  <c r="T25" i="17"/>
  <c r="S36" i="17"/>
  <c r="S25" i="17"/>
  <c r="R36" i="17"/>
  <c r="R25" i="17"/>
  <c r="Q36" i="17"/>
  <c r="Q25" i="17"/>
  <c r="P36" i="17"/>
  <c r="P25" i="17"/>
  <c r="O36" i="17"/>
  <c r="O25" i="17"/>
  <c r="N36" i="17"/>
  <c r="N25" i="17"/>
  <c r="M36" i="17"/>
  <c r="M25" i="17"/>
  <c r="L36" i="17"/>
  <c r="L25" i="17"/>
  <c r="K36" i="17"/>
  <c r="K19" i="17"/>
  <c r="K25" i="17"/>
  <c r="J36" i="17"/>
  <c r="J25" i="17"/>
  <c r="I36" i="17"/>
  <c r="I25" i="17"/>
  <c r="H36" i="17"/>
  <c r="H25" i="17"/>
  <c r="G36" i="17"/>
  <c r="G25" i="17"/>
  <c r="F36" i="17"/>
  <c r="F25" i="17"/>
  <c r="E36" i="17"/>
  <c r="E26" i="10"/>
  <c r="D36" i="17"/>
  <c r="D25" i="17"/>
  <c r="C25" i="17"/>
  <c r="C35" i="17"/>
  <c r="C36" i="17"/>
  <c r="IC40" i="17"/>
  <c r="IC8" i="20" s="1"/>
  <c r="HE40" i="17"/>
  <c r="HE8" i="20" s="1"/>
  <c r="GW40" i="17"/>
  <c r="GW8" i="20" s="1"/>
  <c r="N40" i="17"/>
  <c r="N8" i="20" s="1"/>
  <c r="M40" i="17"/>
  <c r="M8" i="20" s="1"/>
  <c r="L40" i="17"/>
  <c r="L8" i="20" s="1"/>
  <c r="K40" i="17"/>
  <c r="K8" i="20" s="1"/>
  <c r="J40" i="17"/>
  <c r="J8" i="20" s="1"/>
  <c r="I40" i="17"/>
  <c r="I8" i="20" s="1"/>
  <c r="H40" i="17"/>
  <c r="H8" i="20" s="1"/>
  <c r="G40" i="17"/>
  <c r="G8" i="20" s="1"/>
  <c r="F40" i="17"/>
  <c r="F8" i="20" s="1"/>
  <c r="E40" i="17"/>
  <c r="E8" i="20" s="1"/>
  <c r="D40" i="17"/>
  <c r="D8" i="20" s="1"/>
  <c r="C40" i="17"/>
  <c r="C13" i="19" s="1"/>
  <c r="B75" i="2"/>
  <c r="IA7" i="15" s="1"/>
  <c r="IA41" i="17" s="1"/>
  <c r="IA31" i="20" s="1"/>
  <c r="C7" i="10"/>
  <c r="C13" i="10" s="1"/>
  <c r="C5" i="22"/>
  <c r="IH29" i="20"/>
  <c r="IG29" i="20"/>
  <c r="IF29" i="20"/>
  <c r="IE29" i="20"/>
  <c r="ID29" i="20"/>
  <c r="IC29" i="20"/>
  <c r="IB29" i="20"/>
  <c r="IA29" i="20"/>
  <c r="HZ29" i="20"/>
  <c r="HY29" i="20"/>
  <c r="HX29" i="20"/>
  <c r="HW29" i="20"/>
  <c r="HV29" i="20"/>
  <c r="HU29" i="20"/>
  <c r="HT29" i="20"/>
  <c r="HS29" i="20"/>
  <c r="HR29" i="20"/>
  <c r="HQ29" i="20"/>
  <c r="HP29" i="20"/>
  <c r="HO29" i="20"/>
  <c r="HN29" i="20"/>
  <c r="HM29" i="20"/>
  <c r="HL29" i="20"/>
  <c r="HK29" i="20"/>
  <c r="HJ29" i="20"/>
  <c r="HI29" i="20"/>
  <c r="HH29" i="20"/>
  <c r="HG29" i="20"/>
  <c r="HF29" i="20"/>
  <c r="HE29" i="20"/>
  <c r="HD29" i="20"/>
  <c r="HC29" i="20"/>
  <c r="HB29" i="20"/>
  <c r="HA29" i="20"/>
  <c r="GZ29" i="20"/>
  <c r="GY29" i="20"/>
  <c r="GX29" i="20"/>
  <c r="GW29" i="20"/>
  <c r="GV29" i="20"/>
  <c r="GU29" i="20"/>
  <c r="GT29" i="20"/>
  <c r="GS29" i="20"/>
  <c r="GR29" i="20"/>
  <c r="GQ29" i="20"/>
  <c r="GP29" i="20"/>
  <c r="GO29" i="20"/>
  <c r="GN29" i="20"/>
  <c r="GM29" i="20"/>
  <c r="GL29" i="20"/>
  <c r="GK29" i="20"/>
  <c r="GJ29" i="20"/>
  <c r="GI29" i="20"/>
  <c r="GH29" i="20"/>
  <c r="GG29" i="20"/>
  <c r="GF29" i="20"/>
  <c r="GE29" i="20"/>
  <c r="GD29" i="20"/>
  <c r="GC29" i="20"/>
  <c r="GB29" i="20"/>
  <c r="GA29" i="20"/>
  <c r="IH6" i="16"/>
  <c r="IH9" i="16" s="1"/>
  <c r="IG6" i="16"/>
  <c r="IG9" i="16" s="1"/>
  <c r="IF6" i="16"/>
  <c r="IF9" i="16" s="1"/>
  <c r="IE6" i="16"/>
  <c r="IE9" i="16" s="1"/>
  <c r="ID6" i="16"/>
  <c r="ID9" i="16"/>
  <c r="IC6" i="16"/>
  <c r="IC9" i="16" s="1"/>
  <c r="IB6" i="16"/>
  <c r="IB9" i="16" s="1"/>
  <c r="IA6" i="16"/>
  <c r="IA9" i="16" s="1"/>
  <c r="HZ6" i="16"/>
  <c r="HZ9" i="16" s="1"/>
  <c r="HY6" i="16"/>
  <c r="HY9" i="16" s="1"/>
  <c r="HX6" i="16"/>
  <c r="HX9" i="16" s="1"/>
  <c r="HW6" i="16"/>
  <c r="HW9" i="16" s="1"/>
  <c r="HV6" i="16"/>
  <c r="HV9" i="16" s="1"/>
  <c r="HU6" i="16"/>
  <c r="HU9" i="16" s="1"/>
  <c r="HT6" i="16"/>
  <c r="HT9" i="16" s="1"/>
  <c r="HS6" i="16"/>
  <c r="HS9" i="16" s="1"/>
  <c r="HR6" i="16"/>
  <c r="HR9" i="16" s="1"/>
  <c r="HQ6" i="16"/>
  <c r="HQ9" i="16" s="1"/>
  <c r="HP6" i="16"/>
  <c r="HP9" i="16" s="1"/>
  <c r="HO6" i="16"/>
  <c r="HO9" i="16" s="1"/>
  <c r="HN6" i="16"/>
  <c r="HN9" i="16"/>
  <c r="HM6" i="16"/>
  <c r="HM9" i="16" s="1"/>
  <c r="HL6" i="16"/>
  <c r="HL9" i="16" s="1"/>
  <c r="HK6" i="16"/>
  <c r="HK9" i="16" s="1"/>
  <c r="HJ6" i="16"/>
  <c r="HJ9" i="16" s="1"/>
  <c r="HI6" i="16"/>
  <c r="HI9" i="16" s="1"/>
  <c r="HH6" i="16"/>
  <c r="HH9" i="16" s="1"/>
  <c r="HG6" i="16"/>
  <c r="HG9" i="16" s="1"/>
  <c r="HF6" i="16"/>
  <c r="HF9" i="16"/>
  <c r="HE6" i="16"/>
  <c r="HE9" i="16" s="1"/>
  <c r="HD6" i="16"/>
  <c r="HD9" i="16" s="1"/>
  <c r="HC6" i="16"/>
  <c r="HC9" i="16" s="1"/>
  <c r="HB6" i="16"/>
  <c r="HB9" i="16" s="1"/>
  <c r="HA6" i="16"/>
  <c r="HA9" i="16" s="1"/>
  <c r="GZ6" i="16"/>
  <c r="GZ9" i="16" s="1"/>
  <c r="GY6" i="16"/>
  <c r="GY9" i="16" s="1"/>
  <c r="GX6" i="16"/>
  <c r="GX9" i="16"/>
  <c r="GW6" i="16"/>
  <c r="GW9" i="16" s="1"/>
  <c r="GV6" i="16"/>
  <c r="GV9" i="16" s="1"/>
  <c r="GU6" i="16"/>
  <c r="GU9" i="16" s="1"/>
  <c r="GT6" i="16"/>
  <c r="GT9" i="16" s="1"/>
  <c r="GS6" i="16"/>
  <c r="GS9" i="16" s="1"/>
  <c r="GR6" i="16"/>
  <c r="GR9" i="16" s="1"/>
  <c r="GQ6" i="16"/>
  <c r="GQ9" i="16" s="1"/>
  <c r="GP6" i="16"/>
  <c r="GP9" i="16" s="1"/>
  <c r="GO6" i="16"/>
  <c r="GO9" i="16" s="1"/>
  <c r="GN6" i="16"/>
  <c r="GN9" i="16"/>
  <c r="GM6" i="16"/>
  <c r="GM9" i="16" s="1"/>
  <c r="GL6" i="16"/>
  <c r="GL9" i="16" s="1"/>
  <c r="GK6" i="16"/>
  <c r="GK9" i="16" s="1"/>
  <c r="GJ6" i="16"/>
  <c r="GJ9" i="16" s="1"/>
  <c r="GI6" i="16"/>
  <c r="GI9" i="16" s="1"/>
  <c r="GH6" i="16"/>
  <c r="GH9" i="16" s="1"/>
  <c r="GG6" i="16"/>
  <c r="GG9" i="16" s="1"/>
  <c r="GF6" i="16"/>
  <c r="GF9" i="16" s="1"/>
  <c r="GE6" i="16"/>
  <c r="GE9" i="16" s="1"/>
  <c r="GD6" i="16"/>
  <c r="GD9" i="16"/>
  <c r="GC6" i="16"/>
  <c r="GC9" i="16" s="1"/>
  <c r="GB6" i="16"/>
  <c r="GB9" i="16" s="1"/>
  <c r="GA6" i="16"/>
  <c r="GA9" i="16" s="1"/>
  <c r="II10" i="23"/>
  <c r="II11" i="23"/>
  <c r="II12" i="23"/>
  <c r="II7" i="23"/>
  <c r="HJ5" i="10"/>
  <c r="HI5" i="10"/>
  <c r="HH5" i="10"/>
  <c r="HG5" i="10"/>
  <c r="HF5" i="10"/>
  <c r="HE5" i="10"/>
  <c r="HD5" i="10"/>
  <c r="HC5" i="10"/>
  <c r="HB5" i="10"/>
  <c r="HA5" i="10"/>
  <c r="GZ5" i="10"/>
  <c r="GY5" i="10"/>
  <c r="GX5" i="10"/>
  <c r="GW5" i="10"/>
  <c r="GV5" i="10"/>
  <c r="GU5" i="10"/>
  <c r="GT5" i="10"/>
  <c r="GS5" i="10"/>
  <c r="GR5" i="10"/>
  <c r="GQ5" i="10"/>
  <c r="GP5" i="10"/>
  <c r="GO5" i="10"/>
  <c r="GN5" i="10"/>
  <c r="GM5" i="10"/>
  <c r="GL5" i="10"/>
  <c r="GK5" i="10"/>
  <c r="GJ5" i="10"/>
  <c r="GI5" i="10"/>
  <c r="GH5" i="10"/>
  <c r="GG5" i="10"/>
  <c r="GF5" i="10"/>
  <c r="GE5" i="10"/>
  <c r="GD5" i="10"/>
  <c r="GC5" i="10"/>
  <c r="GB5" i="10"/>
  <c r="GA5" i="10"/>
  <c r="IH5" i="10"/>
  <c r="IG5" i="10"/>
  <c r="IF5" i="10"/>
  <c r="IE5" i="10"/>
  <c r="ID5" i="10"/>
  <c r="IC5" i="10"/>
  <c r="IB5" i="10"/>
  <c r="IA5" i="10"/>
  <c r="HZ5" i="10"/>
  <c r="HY5" i="10"/>
  <c r="HX5" i="10"/>
  <c r="HW5" i="10"/>
  <c r="HV5" i="10"/>
  <c r="HU5" i="10"/>
  <c r="HT5" i="10"/>
  <c r="HS5" i="10"/>
  <c r="HR5" i="10"/>
  <c r="HQ5" i="10"/>
  <c r="HP5" i="10"/>
  <c r="HO5" i="10"/>
  <c r="HN5" i="10"/>
  <c r="HM5" i="10"/>
  <c r="HL5" i="10"/>
  <c r="HK5" i="10"/>
  <c r="C6" i="16"/>
  <c r="C9" i="16" s="1"/>
  <c r="G3" i="8"/>
  <c r="D2" i="42" s="1"/>
  <c r="C10" i="9"/>
  <c r="B10" i="9" s="1"/>
  <c r="C9" i="9"/>
  <c r="B9" i="9" s="1"/>
  <c r="C8" i="9"/>
  <c r="B8" i="9" s="1"/>
  <c r="C7" i="9"/>
  <c r="B7" i="9" s="1"/>
  <c r="L4" i="7"/>
  <c r="C5" i="47" s="1"/>
  <c r="M60" i="1"/>
  <c r="L5" i="7"/>
  <c r="C6" i="47" s="1"/>
  <c r="L6" i="7"/>
  <c r="L8" i="7"/>
  <c r="C9" i="47" s="1"/>
  <c r="L9" i="7"/>
  <c r="C10" i="47" s="1"/>
  <c r="L10" i="7"/>
  <c r="O10" i="7" s="1"/>
  <c r="E9" i="41" s="1"/>
  <c r="L11" i="7"/>
  <c r="L12" i="7"/>
  <c r="R12" i="7" s="1"/>
  <c r="L3" i="7"/>
  <c r="L15" i="7"/>
  <c r="B85" i="2"/>
  <c r="J12" i="7"/>
  <c r="J11" i="7"/>
  <c r="G11" i="7"/>
  <c r="C10" i="41" s="1"/>
  <c r="J15" i="7"/>
  <c r="J16" i="7"/>
  <c r="L16" i="7"/>
  <c r="FZ29" i="20"/>
  <c r="FY29" i="20"/>
  <c r="FX29" i="20"/>
  <c r="FW29" i="20"/>
  <c r="FV29" i="20"/>
  <c r="FU29" i="20"/>
  <c r="FT29" i="20"/>
  <c r="FS29" i="20"/>
  <c r="FR29" i="20"/>
  <c r="FQ29" i="20"/>
  <c r="FP29" i="20"/>
  <c r="FO29" i="20"/>
  <c r="FN29" i="20"/>
  <c r="FM29" i="20"/>
  <c r="FL29" i="20"/>
  <c r="FK29" i="20"/>
  <c r="FJ29" i="20"/>
  <c r="FI29" i="20"/>
  <c r="FH29" i="20"/>
  <c r="FG29" i="20"/>
  <c r="FF29" i="20"/>
  <c r="FE29" i="20"/>
  <c r="FD29" i="20"/>
  <c r="FC29" i="20"/>
  <c r="FB29" i="20"/>
  <c r="FA29" i="20"/>
  <c r="EZ29" i="20"/>
  <c r="EY29" i="20"/>
  <c r="EX29" i="20"/>
  <c r="EW29" i="20"/>
  <c r="EV29" i="20"/>
  <c r="EU29" i="20"/>
  <c r="ET29" i="20"/>
  <c r="ES29" i="20"/>
  <c r="ER29" i="20"/>
  <c r="EQ29" i="20"/>
  <c r="EP29" i="20"/>
  <c r="EO29" i="20"/>
  <c r="EN29" i="20"/>
  <c r="EM29" i="20"/>
  <c r="EL29" i="20"/>
  <c r="EK29" i="20"/>
  <c r="EJ29" i="20"/>
  <c r="EI29" i="20"/>
  <c r="EH29" i="20"/>
  <c r="EG29" i="20"/>
  <c r="EF29" i="20"/>
  <c r="EE29" i="20"/>
  <c r="ED29" i="20"/>
  <c r="EC29" i="20"/>
  <c r="EB29" i="20"/>
  <c r="EA29" i="20"/>
  <c r="DZ29" i="20"/>
  <c r="DY29" i="20"/>
  <c r="DX29" i="20"/>
  <c r="DW29" i="20"/>
  <c r="DV29" i="20"/>
  <c r="DU29" i="20"/>
  <c r="DT29" i="20"/>
  <c r="DS29" i="20"/>
  <c r="DR29" i="20"/>
  <c r="DQ29" i="20"/>
  <c r="DP29" i="20"/>
  <c r="DO29" i="20"/>
  <c r="DN29" i="20"/>
  <c r="DM29" i="20"/>
  <c r="DL29" i="20"/>
  <c r="DK29" i="20"/>
  <c r="DJ29" i="20"/>
  <c r="DI29" i="20"/>
  <c r="DH29" i="20"/>
  <c r="DG29" i="20"/>
  <c r="DF29" i="20"/>
  <c r="DE29" i="20"/>
  <c r="DD29" i="20"/>
  <c r="DC29" i="20"/>
  <c r="DB29" i="20"/>
  <c r="DA29" i="20"/>
  <c r="CZ29" i="20"/>
  <c r="CY29" i="20"/>
  <c r="CX29" i="20"/>
  <c r="CW29" i="20"/>
  <c r="CV29" i="20"/>
  <c r="CU29" i="20"/>
  <c r="CT29" i="20"/>
  <c r="CS29" i="20"/>
  <c r="CR29" i="20"/>
  <c r="CQ29" i="20"/>
  <c r="CP29" i="20"/>
  <c r="CO29" i="20"/>
  <c r="CN29" i="20"/>
  <c r="CM29" i="20"/>
  <c r="CL29" i="20"/>
  <c r="CK29" i="20"/>
  <c r="CJ29" i="20"/>
  <c r="CI29" i="20"/>
  <c r="CH29" i="20"/>
  <c r="CG29" i="20"/>
  <c r="CF29" i="20"/>
  <c r="CE29" i="20"/>
  <c r="CD29" i="20"/>
  <c r="CC29" i="20"/>
  <c r="CB29" i="20"/>
  <c r="CA29" i="20"/>
  <c r="BZ29" i="20"/>
  <c r="BY29" i="20"/>
  <c r="BX29" i="20"/>
  <c r="BW29" i="20"/>
  <c r="BV29" i="20"/>
  <c r="BU29" i="20"/>
  <c r="BT29" i="20"/>
  <c r="BS29" i="20"/>
  <c r="BR29" i="20"/>
  <c r="BQ29" i="20"/>
  <c r="BP29" i="20"/>
  <c r="BO29" i="20"/>
  <c r="BN29" i="20"/>
  <c r="BM29" i="20"/>
  <c r="BL29" i="20"/>
  <c r="BK29" i="20"/>
  <c r="BJ29" i="20"/>
  <c r="BI29" i="20"/>
  <c r="BH29" i="20"/>
  <c r="BG29" i="20"/>
  <c r="BF29" i="20"/>
  <c r="BE29" i="20"/>
  <c r="BD29" i="20"/>
  <c r="BC29" i="20"/>
  <c r="BB29" i="20"/>
  <c r="BA29" i="20"/>
  <c r="AZ29" i="20"/>
  <c r="AY29" i="20"/>
  <c r="AX29" i="20"/>
  <c r="AW29" i="20"/>
  <c r="AV29" i="20"/>
  <c r="AU29" i="20"/>
  <c r="AT29" i="20"/>
  <c r="AS29" i="20"/>
  <c r="AR29" i="20"/>
  <c r="AQ29" i="20"/>
  <c r="AP29" i="20"/>
  <c r="AO29" i="20"/>
  <c r="AN29" i="20"/>
  <c r="AM29" i="20"/>
  <c r="AL29" i="20"/>
  <c r="AK29" i="20"/>
  <c r="AJ29" i="20"/>
  <c r="AI29" i="20"/>
  <c r="AH29" i="20"/>
  <c r="AG29" i="20"/>
  <c r="AF29" i="20"/>
  <c r="AE29" i="20"/>
  <c r="AD29" i="20"/>
  <c r="AC29" i="20"/>
  <c r="AB29" i="20"/>
  <c r="AA29" i="20"/>
  <c r="Z29" i="20"/>
  <c r="Y29" i="20"/>
  <c r="X29" i="20"/>
  <c r="W29" i="20"/>
  <c r="V29" i="20"/>
  <c r="U29" i="20"/>
  <c r="T29" i="20"/>
  <c r="S29" i="20"/>
  <c r="R29" i="20"/>
  <c r="Q29" i="20"/>
  <c r="P29" i="20"/>
  <c r="O29" i="20"/>
  <c r="N29" i="20"/>
  <c r="M29" i="20"/>
  <c r="L29" i="20"/>
  <c r="K29" i="20"/>
  <c r="J29" i="20"/>
  <c r="I29" i="20"/>
  <c r="H29" i="20"/>
  <c r="G29" i="20"/>
  <c r="F29" i="20"/>
  <c r="E29" i="20"/>
  <c r="D29" i="20"/>
  <c r="C20" i="11"/>
  <c r="FZ7" i="18"/>
  <c r="FZ8" i="18" s="1"/>
  <c r="FY7" i="18"/>
  <c r="FY8" i="18" s="1"/>
  <c r="FX7" i="18"/>
  <c r="FX8" i="18" s="1"/>
  <c r="FW7" i="18"/>
  <c r="FW8" i="18" s="1"/>
  <c r="FV7" i="18"/>
  <c r="FV8" i="18" s="1"/>
  <c r="FU7" i="18"/>
  <c r="FU8" i="18" s="1"/>
  <c r="FT7" i="18"/>
  <c r="FS7" i="18"/>
  <c r="FS8" i="18" s="1"/>
  <c r="FR7" i="18"/>
  <c r="FR8" i="18" s="1"/>
  <c r="FQ7" i="18"/>
  <c r="FP7" i="18"/>
  <c r="FP8" i="18" s="1"/>
  <c r="FO7" i="18"/>
  <c r="FN7" i="18"/>
  <c r="FN8" i="18" s="1"/>
  <c r="FM7" i="18"/>
  <c r="FM8" i="18" s="1"/>
  <c r="FL7" i="18"/>
  <c r="FK7" i="18"/>
  <c r="FK8" i="18" s="1"/>
  <c r="FJ7" i="18"/>
  <c r="FJ8" i="18" s="1"/>
  <c r="FI7" i="18"/>
  <c r="FH7" i="18"/>
  <c r="FH8" i="18" s="1"/>
  <c r="FG7" i="18"/>
  <c r="FF7" i="18"/>
  <c r="FF8" i="18" s="1"/>
  <c r="FE7" i="18"/>
  <c r="FE8" i="18" s="1"/>
  <c r="FD7" i="18"/>
  <c r="FC7" i="18"/>
  <c r="FC8" i="18" s="1"/>
  <c r="FB7" i="18"/>
  <c r="FB8" i="18" s="1"/>
  <c r="FA7" i="18"/>
  <c r="EZ7" i="18"/>
  <c r="EZ8" i="18" s="1"/>
  <c r="EY7" i="18"/>
  <c r="EY8" i="18" s="1"/>
  <c r="EX7" i="18"/>
  <c r="EX8" i="18" s="1"/>
  <c r="EW7" i="18"/>
  <c r="EW8" i="18" s="1"/>
  <c r="EV7" i="18"/>
  <c r="EU7" i="18"/>
  <c r="EU8" i="18" s="1"/>
  <c r="ET7" i="18"/>
  <c r="ET8" i="18" s="1"/>
  <c r="ES7" i="18"/>
  <c r="ER7" i="18"/>
  <c r="EQ7" i="18"/>
  <c r="EP7" i="18"/>
  <c r="EP8" i="18" s="1"/>
  <c r="EO7" i="18"/>
  <c r="EO8" i="18" s="1"/>
  <c r="EN7" i="18"/>
  <c r="EN8" i="18" s="1"/>
  <c r="EM7" i="18"/>
  <c r="EM8" i="18" s="1"/>
  <c r="EL7" i="18"/>
  <c r="EL8" i="18" s="1"/>
  <c r="EK7" i="18"/>
  <c r="EK8" i="18" s="1"/>
  <c r="EJ7" i="18"/>
  <c r="EI7" i="18"/>
  <c r="EH7" i="18"/>
  <c r="EH8" i="18" s="1"/>
  <c r="EG7" i="18"/>
  <c r="EG8" i="18" s="1"/>
  <c r="EF7" i="18"/>
  <c r="EF8" i="18" s="1"/>
  <c r="EE7" i="18"/>
  <c r="EE8" i="18" s="1"/>
  <c r="ED7" i="18"/>
  <c r="ED8" i="18" s="1"/>
  <c r="EC7" i="18"/>
  <c r="EB7" i="18"/>
  <c r="EB8" i="18" s="1"/>
  <c r="EA7" i="18"/>
  <c r="DZ7" i="18"/>
  <c r="DZ8" i="18" s="1"/>
  <c r="DY7" i="18"/>
  <c r="DY8" i="18" s="1"/>
  <c r="DX7" i="18"/>
  <c r="DX8" i="18" s="1"/>
  <c r="DW7" i="18"/>
  <c r="DW8" i="18" s="1"/>
  <c r="DV7" i="18"/>
  <c r="DV8" i="18" s="1"/>
  <c r="DU7" i="18"/>
  <c r="DU8" i="18" s="1"/>
  <c r="DT7" i="18"/>
  <c r="DS7" i="18"/>
  <c r="DR7" i="18"/>
  <c r="DR8" i="18" s="1"/>
  <c r="DQ7" i="18"/>
  <c r="DQ8" i="18" s="1"/>
  <c r="DP7" i="18"/>
  <c r="DP8" i="18" s="1"/>
  <c r="DO7" i="18"/>
  <c r="DO8" i="18" s="1"/>
  <c r="DN7" i="18"/>
  <c r="DN8" i="18" s="1"/>
  <c r="DM7" i="18"/>
  <c r="DL7" i="18"/>
  <c r="DL8" i="18" s="1"/>
  <c r="DK7" i="18"/>
  <c r="DK8" i="18" s="1"/>
  <c r="DJ7" i="18"/>
  <c r="DJ8" i="18" s="1"/>
  <c r="DI7" i="18"/>
  <c r="DI8" i="18" s="1"/>
  <c r="DH7" i="18"/>
  <c r="DH8" i="18" s="1"/>
  <c r="DG7" i="18"/>
  <c r="DG8" i="18" s="1"/>
  <c r="DF7" i="18"/>
  <c r="DF8" i="18" s="1"/>
  <c r="DE7" i="18"/>
  <c r="DE8" i="18" s="1"/>
  <c r="DD7" i="18"/>
  <c r="DD8" i="18" s="1"/>
  <c r="DC7" i="18"/>
  <c r="DB7" i="18"/>
  <c r="DB8" i="18" s="1"/>
  <c r="DA7" i="18"/>
  <c r="DA8" i="18" s="1"/>
  <c r="CZ7" i="18"/>
  <c r="CZ8" i="18" s="1"/>
  <c r="CY7" i="18"/>
  <c r="CY8" i="18" s="1"/>
  <c r="CX7" i="18"/>
  <c r="CX8" i="18" s="1"/>
  <c r="CW7" i="18"/>
  <c r="CV7" i="18"/>
  <c r="CV8" i="18" s="1"/>
  <c r="CU7" i="18"/>
  <c r="CU8" i="18" s="1"/>
  <c r="CT7" i="18"/>
  <c r="CT8" i="18" s="1"/>
  <c r="CS7" i="18"/>
  <c r="CS8" i="18" s="1"/>
  <c r="CR7" i="18"/>
  <c r="CR8" i="18" s="1"/>
  <c r="CQ7" i="18"/>
  <c r="CP7" i="18"/>
  <c r="CP8" i="18" s="1"/>
  <c r="CO7" i="18"/>
  <c r="CO8" i="18" s="1"/>
  <c r="CN7" i="18"/>
  <c r="CM7" i="18"/>
  <c r="CL7" i="18"/>
  <c r="CL8" i="18" s="1"/>
  <c r="CK7" i="18"/>
  <c r="CK8" i="18" s="1"/>
  <c r="CJ7" i="18"/>
  <c r="CJ8" i="18" s="1"/>
  <c r="CI7" i="18"/>
  <c r="CI8" i="18" s="1"/>
  <c r="CH7" i="18"/>
  <c r="CH8" i="18" s="1"/>
  <c r="CG7" i="18"/>
  <c r="CF7" i="18"/>
  <c r="CF8" i="18" s="1"/>
  <c r="CE7" i="18"/>
  <c r="CE8" i="18" s="1"/>
  <c r="CD7" i="18"/>
  <c r="CD8" i="18" s="1"/>
  <c r="CC7" i="18"/>
  <c r="CC8" i="18" s="1"/>
  <c r="CB7" i="18"/>
  <c r="CB8" i="18" s="1"/>
  <c r="CA7" i="18"/>
  <c r="CA8" i="18" s="1"/>
  <c r="BZ7" i="18"/>
  <c r="BZ8" i="18" s="1"/>
  <c r="BY7" i="18"/>
  <c r="BY8" i="18" s="1"/>
  <c r="BX7" i="18"/>
  <c r="BX8" i="18" s="1"/>
  <c r="BW7" i="18"/>
  <c r="BV7" i="18"/>
  <c r="BV8" i="18" s="1"/>
  <c r="BU7" i="18"/>
  <c r="BU8" i="18" s="1"/>
  <c r="BT7" i="18"/>
  <c r="BT8" i="18" s="1"/>
  <c r="BS7" i="18"/>
  <c r="BS8" i="18" s="1"/>
  <c r="BR7" i="18"/>
  <c r="BR8" i="18" s="1"/>
  <c r="BQ7" i="18"/>
  <c r="BP7" i="18"/>
  <c r="BP8" i="18" s="1"/>
  <c r="BO7" i="18"/>
  <c r="BO8" i="18" s="1"/>
  <c r="BN7" i="18"/>
  <c r="BN8" i="18" s="1"/>
  <c r="BM7" i="18"/>
  <c r="BM8" i="18" s="1"/>
  <c r="BL7" i="18"/>
  <c r="BL8" i="18" s="1"/>
  <c r="BK7" i="18"/>
  <c r="BK8" i="18" s="1"/>
  <c r="BJ7" i="18"/>
  <c r="BJ8" i="18" s="1"/>
  <c r="BI7" i="18"/>
  <c r="BI8" i="18" s="1"/>
  <c r="BH7" i="18"/>
  <c r="BG7" i="18"/>
  <c r="BF7" i="18"/>
  <c r="BF8" i="18" s="1"/>
  <c r="BE7" i="18"/>
  <c r="BE8" i="18" s="1"/>
  <c r="BD7" i="18"/>
  <c r="BD8" i="18" s="1"/>
  <c r="BC7" i="18"/>
  <c r="BC8" i="18" s="1"/>
  <c r="BB7" i="18"/>
  <c r="BB8" i="18" s="1"/>
  <c r="BA7" i="18"/>
  <c r="AZ7" i="18"/>
  <c r="AZ8" i="18" s="1"/>
  <c r="AY7" i="18"/>
  <c r="AY8" i="18" s="1"/>
  <c r="AX7" i="18"/>
  <c r="AX8" i="18" s="1"/>
  <c r="AW7" i="18"/>
  <c r="AW8" i="18" s="1"/>
  <c r="AV7" i="18"/>
  <c r="AV8" i="18" s="1"/>
  <c r="AU7" i="18"/>
  <c r="AU8" i="18" s="1"/>
  <c r="AT7" i="18"/>
  <c r="AT8" i="18" s="1"/>
  <c r="AS7" i="18"/>
  <c r="AS8" i="18" s="1"/>
  <c r="AR7" i="18"/>
  <c r="AR8" i="18" s="1"/>
  <c r="AQ7" i="18"/>
  <c r="AP7" i="18"/>
  <c r="AP8" i="18" s="1"/>
  <c r="AO7" i="18"/>
  <c r="AN7" i="18"/>
  <c r="AN8" i="18" s="1"/>
  <c r="AM7" i="18"/>
  <c r="AM8" i="18" s="1"/>
  <c r="AL7" i="18"/>
  <c r="AL8" i="18" s="1"/>
  <c r="AK7" i="18"/>
  <c r="AJ7" i="18"/>
  <c r="AJ8" i="18" s="1"/>
  <c r="AI7" i="18"/>
  <c r="AI8" i="18" s="1"/>
  <c r="AH7" i="18"/>
  <c r="AH8" i="18" s="1"/>
  <c r="AG7" i="18"/>
  <c r="AG8" i="18" s="1"/>
  <c r="AF7" i="18"/>
  <c r="AF8" i="18" s="1"/>
  <c r="AE7" i="18"/>
  <c r="AE8" i="18" s="1"/>
  <c r="AD7" i="18"/>
  <c r="AD8" i="18" s="1"/>
  <c r="AC7" i="18"/>
  <c r="AC8" i="18" s="1"/>
  <c r="AB7" i="18"/>
  <c r="AA7" i="18"/>
  <c r="Z7" i="18"/>
  <c r="Z8" i="18" s="1"/>
  <c r="Y7" i="18"/>
  <c r="Y8" i="18" s="1"/>
  <c r="X7" i="18"/>
  <c r="X8" i="18" s="1"/>
  <c r="W7" i="18"/>
  <c r="W8" i="18" s="1"/>
  <c r="V7" i="18"/>
  <c r="V8" i="18" s="1"/>
  <c r="U7" i="18"/>
  <c r="T7" i="18"/>
  <c r="T8" i="18" s="1"/>
  <c r="S7" i="18"/>
  <c r="S8" i="18" s="1"/>
  <c r="R7" i="18"/>
  <c r="R8" i="18" s="1"/>
  <c r="Q7" i="18"/>
  <c r="Q8" i="18" s="1"/>
  <c r="P7" i="18"/>
  <c r="P8" i="18" s="1"/>
  <c r="O7" i="18"/>
  <c r="N7" i="18"/>
  <c r="N8" i="18" s="1"/>
  <c r="M7" i="18"/>
  <c r="M8" i="18" s="1"/>
  <c r="L7" i="18"/>
  <c r="L8" i="18" s="1"/>
  <c r="K7" i="18"/>
  <c r="J7" i="18"/>
  <c r="J8" i="18" s="1"/>
  <c r="I7" i="18"/>
  <c r="I8" i="18" s="1"/>
  <c r="H7" i="18"/>
  <c r="H8" i="18" s="1"/>
  <c r="G7" i="18"/>
  <c r="G8" i="18" s="1"/>
  <c r="F7" i="18"/>
  <c r="F8" i="18" s="1"/>
  <c r="E7" i="18"/>
  <c r="E8" i="18" s="1"/>
  <c r="D7" i="18"/>
  <c r="D8" i="18" s="1"/>
  <c r="C7" i="18"/>
  <c r="FZ9" i="18"/>
  <c r="FY9" i="18"/>
  <c r="FX9" i="18"/>
  <c r="FW9" i="18"/>
  <c r="FV9" i="18"/>
  <c r="FU9" i="18"/>
  <c r="FT9" i="18"/>
  <c r="FS9" i="18"/>
  <c r="FR9" i="18"/>
  <c r="FQ9" i="18"/>
  <c r="FP9" i="18"/>
  <c r="FO9" i="18"/>
  <c r="FN9" i="18"/>
  <c r="FM9" i="18"/>
  <c r="FL9" i="18"/>
  <c r="FK9" i="18"/>
  <c r="FJ9" i="18"/>
  <c r="FI9" i="18"/>
  <c r="FH9" i="18"/>
  <c r="FG9" i="18"/>
  <c r="FF9" i="18"/>
  <c r="FE9" i="18"/>
  <c r="FD9" i="18"/>
  <c r="FC9" i="18"/>
  <c r="FB9" i="18"/>
  <c r="FA9" i="18"/>
  <c r="EZ9" i="18"/>
  <c r="EY9" i="18"/>
  <c r="EX9" i="18"/>
  <c r="EW9" i="18"/>
  <c r="EV9" i="18"/>
  <c r="EU9" i="18"/>
  <c r="ET9" i="18"/>
  <c r="ES9" i="18"/>
  <c r="ER9" i="18"/>
  <c r="EQ9" i="18"/>
  <c r="EP9" i="18"/>
  <c r="EO9" i="18"/>
  <c r="EN9" i="18"/>
  <c r="EM9" i="18"/>
  <c r="EL9" i="18"/>
  <c r="EK9" i="18"/>
  <c r="EJ9" i="18"/>
  <c r="EI9" i="18"/>
  <c r="EH9" i="18"/>
  <c r="EG9" i="18"/>
  <c r="EF9" i="18"/>
  <c r="EE9" i="18"/>
  <c r="ED9" i="18"/>
  <c r="EC9" i="18"/>
  <c r="EB9" i="18"/>
  <c r="EA9" i="18"/>
  <c r="DZ9" i="18"/>
  <c r="DY9" i="18"/>
  <c r="DX9" i="18"/>
  <c r="DW9" i="18"/>
  <c r="DV9" i="18"/>
  <c r="DU9" i="18"/>
  <c r="DT9" i="18"/>
  <c r="DS9" i="18"/>
  <c r="DR9" i="18"/>
  <c r="DQ9" i="18"/>
  <c r="DP9" i="18"/>
  <c r="DO9" i="18"/>
  <c r="DN9" i="18"/>
  <c r="DM9" i="18"/>
  <c r="DL9" i="18"/>
  <c r="DK9" i="18"/>
  <c r="DJ9" i="18"/>
  <c r="DI9" i="18"/>
  <c r="DH9" i="18"/>
  <c r="DG9" i="18"/>
  <c r="DF9" i="18"/>
  <c r="DE9" i="18"/>
  <c r="DD9" i="18"/>
  <c r="DC9" i="18"/>
  <c r="DB9" i="18"/>
  <c r="DA9" i="18"/>
  <c r="CZ9" i="18"/>
  <c r="CY9" i="18"/>
  <c r="CX9" i="18"/>
  <c r="CW9" i="18"/>
  <c r="CV9" i="18"/>
  <c r="CU9" i="18"/>
  <c r="CT9" i="18"/>
  <c r="CS9" i="18"/>
  <c r="CR9" i="18"/>
  <c r="CQ9" i="18"/>
  <c r="CP9" i="18"/>
  <c r="CO9" i="18"/>
  <c r="CN9" i="18"/>
  <c r="CM9" i="18"/>
  <c r="CL9" i="18"/>
  <c r="CK9" i="18"/>
  <c r="CJ9" i="18"/>
  <c r="CI9" i="18"/>
  <c r="CH9" i="18"/>
  <c r="CG9" i="18"/>
  <c r="CF9" i="18"/>
  <c r="CE9" i="18"/>
  <c r="CD9" i="18"/>
  <c r="CC9" i="18"/>
  <c r="CB9" i="18"/>
  <c r="CA9" i="18"/>
  <c r="BZ9" i="18"/>
  <c r="BY9" i="18"/>
  <c r="BX9" i="18"/>
  <c r="BW9" i="18"/>
  <c r="BV9" i="18"/>
  <c r="BU9" i="18"/>
  <c r="BT9" i="18"/>
  <c r="BS9" i="18"/>
  <c r="BR9" i="18"/>
  <c r="BQ9" i="18"/>
  <c r="BP9" i="18"/>
  <c r="BO9" i="18"/>
  <c r="BN9" i="18"/>
  <c r="BM9" i="18"/>
  <c r="BL9" i="18"/>
  <c r="BK9" i="18"/>
  <c r="BJ9" i="18"/>
  <c r="BI9" i="18"/>
  <c r="BH9" i="18"/>
  <c r="BG9" i="18"/>
  <c r="BF9" i="18"/>
  <c r="BE9" i="18"/>
  <c r="BD9" i="18"/>
  <c r="BC9" i="18"/>
  <c r="BB9" i="18"/>
  <c r="BA9" i="18"/>
  <c r="AZ9" i="18"/>
  <c r="AY9" i="18"/>
  <c r="AX9" i="18"/>
  <c r="AW9" i="18"/>
  <c r="AV9" i="18"/>
  <c r="AU9" i="18"/>
  <c r="AT9" i="18"/>
  <c r="AS9" i="18"/>
  <c r="AR9" i="18"/>
  <c r="AQ9" i="18"/>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C8" i="18"/>
  <c r="D7" i="16"/>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AG7" i="16" s="1"/>
  <c r="AH7" i="16" s="1"/>
  <c r="AI7" i="16" s="1"/>
  <c r="AJ7" i="16" s="1"/>
  <c r="AK7" i="16" s="1"/>
  <c r="AL7" i="16" s="1"/>
  <c r="AM7" i="16" s="1"/>
  <c r="AN7" i="16" s="1"/>
  <c r="AO7" i="16" s="1"/>
  <c r="AP7" i="16" s="1"/>
  <c r="AQ7" i="16" s="1"/>
  <c r="AR7" i="16" s="1"/>
  <c r="AS7" i="16" s="1"/>
  <c r="AT7" i="16" s="1"/>
  <c r="AU7" i="16" s="1"/>
  <c r="AV7" i="16" s="1"/>
  <c r="AW7" i="16" s="1"/>
  <c r="AX7" i="16" s="1"/>
  <c r="AY7" i="16" s="1"/>
  <c r="AZ7" i="16" s="1"/>
  <c r="BA7" i="16" s="1"/>
  <c r="BB7" i="16" s="1"/>
  <c r="BC7" i="16" s="1"/>
  <c r="BD7" i="16" s="1"/>
  <c r="BE7" i="16" s="1"/>
  <c r="BF7" i="16" s="1"/>
  <c r="BG7" i="16" s="1"/>
  <c r="BH7" i="16" s="1"/>
  <c r="BI7" i="16" s="1"/>
  <c r="BJ7" i="16" s="1"/>
  <c r="BK7" i="16" s="1"/>
  <c r="BL7" i="16" s="1"/>
  <c r="BM7" i="16" s="1"/>
  <c r="BN7" i="16" s="1"/>
  <c r="BO7" i="16" s="1"/>
  <c r="BP7" i="16" s="1"/>
  <c r="BQ7" i="16" s="1"/>
  <c r="BR7" i="16" s="1"/>
  <c r="BS7" i="16" s="1"/>
  <c r="BT7" i="16" s="1"/>
  <c r="BU7" i="16" s="1"/>
  <c r="BV7" i="16" s="1"/>
  <c r="BW7" i="16" s="1"/>
  <c r="BX7" i="16" s="1"/>
  <c r="BY7" i="16" s="1"/>
  <c r="BZ7" i="16" s="1"/>
  <c r="CA7" i="16" s="1"/>
  <c r="CB7" i="16" s="1"/>
  <c r="CC7" i="16" s="1"/>
  <c r="CD7" i="16" s="1"/>
  <c r="CE7" i="16" s="1"/>
  <c r="CF7" i="16" s="1"/>
  <c r="CG7" i="16" s="1"/>
  <c r="CH7" i="16" s="1"/>
  <c r="CI7" i="16" s="1"/>
  <c r="CJ7" i="16" s="1"/>
  <c r="CK7" i="16" s="1"/>
  <c r="CL7" i="16" s="1"/>
  <c r="CM7" i="16" s="1"/>
  <c r="CN7" i="16" s="1"/>
  <c r="CO7" i="16" s="1"/>
  <c r="CP7" i="16" s="1"/>
  <c r="CQ7" i="16" s="1"/>
  <c r="CR7" i="16" s="1"/>
  <c r="CS7" i="16" s="1"/>
  <c r="CT7" i="16" s="1"/>
  <c r="CU7" i="16" s="1"/>
  <c r="CV7" i="16" s="1"/>
  <c r="CW7" i="16" s="1"/>
  <c r="CX7" i="16" s="1"/>
  <c r="CY7" i="16" s="1"/>
  <c r="CZ7" i="16" s="1"/>
  <c r="DA7" i="16" s="1"/>
  <c r="DB7" i="16" s="1"/>
  <c r="DC7" i="16" s="1"/>
  <c r="DD7" i="16" s="1"/>
  <c r="DE7" i="16" s="1"/>
  <c r="DF7" i="16" s="1"/>
  <c r="DG7" i="16" s="1"/>
  <c r="DH7" i="16" s="1"/>
  <c r="DI7" i="16" s="1"/>
  <c r="DJ7" i="16" s="1"/>
  <c r="DK7" i="16" s="1"/>
  <c r="DL7" i="16" s="1"/>
  <c r="DM7" i="16" s="1"/>
  <c r="DN7" i="16" s="1"/>
  <c r="DO7" i="16" s="1"/>
  <c r="DP7" i="16" s="1"/>
  <c r="DQ7" i="16" s="1"/>
  <c r="DR7" i="16" s="1"/>
  <c r="DS7" i="16" s="1"/>
  <c r="DT7" i="16" s="1"/>
  <c r="DU7" i="16" s="1"/>
  <c r="DV7" i="16" s="1"/>
  <c r="DW7" i="16" s="1"/>
  <c r="DX7" i="16" s="1"/>
  <c r="DY7" i="16" s="1"/>
  <c r="DZ7" i="16" s="1"/>
  <c r="EA7" i="16" s="1"/>
  <c r="EB7" i="16" s="1"/>
  <c r="EC7" i="16" s="1"/>
  <c r="ED7" i="16" s="1"/>
  <c r="EE7" i="16" s="1"/>
  <c r="EF7" i="16" s="1"/>
  <c r="EG7" i="16" s="1"/>
  <c r="EH7" i="16" s="1"/>
  <c r="EI7" i="16" s="1"/>
  <c r="EJ7" i="16" s="1"/>
  <c r="EK7" i="16" s="1"/>
  <c r="EL7" i="16" s="1"/>
  <c r="EM7" i="16" s="1"/>
  <c r="EN7" i="16" s="1"/>
  <c r="EO7" i="16" s="1"/>
  <c r="EP7" i="16" s="1"/>
  <c r="EQ7" i="16" s="1"/>
  <c r="ER7" i="16" s="1"/>
  <c r="ES7" i="16" s="1"/>
  <c r="ET7" i="16" s="1"/>
  <c r="EU7" i="16" s="1"/>
  <c r="EV7" i="16" s="1"/>
  <c r="EW7" i="16" s="1"/>
  <c r="EX7" i="16" s="1"/>
  <c r="EY7" i="16" s="1"/>
  <c r="EZ7" i="16" s="1"/>
  <c r="FA7" i="16" s="1"/>
  <c r="FB7" i="16" s="1"/>
  <c r="FC7" i="16" s="1"/>
  <c r="FD7" i="16" s="1"/>
  <c r="FE7" i="16" s="1"/>
  <c r="FF7" i="16" s="1"/>
  <c r="FG7" i="16" s="1"/>
  <c r="FH7" i="16" s="1"/>
  <c r="FI7" i="16" s="1"/>
  <c r="FJ7" i="16" s="1"/>
  <c r="FK7" i="16" s="1"/>
  <c r="FL7" i="16" s="1"/>
  <c r="FM7" i="16" s="1"/>
  <c r="FN7" i="16" s="1"/>
  <c r="FO7" i="16" s="1"/>
  <c r="FP7" i="16" s="1"/>
  <c r="FQ7" i="16" s="1"/>
  <c r="FR7" i="16" s="1"/>
  <c r="FS7" i="16" s="1"/>
  <c r="FT7" i="16" s="1"/>
  <c r="FU7" i="16" s="1"/>
  <c r="FV7" i="16" s="1"/>
  <c r="FW7" i="16" s="1"/>
  <c r="FX7" i="16" s="1"/>
  <c r="FY7" i="16" s="1"/>
  <c r="FZ7" i="16" s="1"/>
  <c r="GA7" i="16" s="1"/>
  <c r="GB7" i="16" s="1"/>
  <c r="FZ5" i="10"/>
  <c r="FY5" i="10"/>
  <c r="FX5" i="10"/>
  <c r="FW5" i="10"/>
  <c r="FV5" i="10"/>
  <c r="FU5" i="10"/>
  <c r="FT5" i="10"/>
  <c r="FS5" i="10"/>
  <c r="FR5" i="10"/>
  <c r="FQ5" i="10"/>
  <c r="FP5" i="10"/>
  <c r="FO5" i="10"/>
  <c r="FN5" i="10"/>
  <c r="FM5" i="10"/>
  <c r="FL5" i="10"/>
  <c r="FK5" i="10"/>
  <c r="FJ5" i="10"/>
  <c r="FI5" i="10"/>
  <c r="FH5" i="10"/>
  <c r="FG5" i="10"/>
  <c r="FF5" i="10"/>
  <c r="FE5" i="10"/>
  <c r="FD5" i="10"/>
  <c r="FC5" i="10"/>
  <c r="FB5" i="10"/>
  <c r="FA5" i="10"/>
  <c r="EZ5" i="10"/>
  <c r="EY5" i="10"/>
  <c r="EX5" i="10"/>
  <c r="EW5" i="10"/>
  <c r="EV5" i="10"/>
  <c r="EU5" i="10"/>
  <c r="ET5" i="10"/>
  <c r="ES5" i="10"/>
  <c r="ER5" i="10"/>
  <c r="EQ5" i="10"/>
  <c r="EP5" i="10"/>
  <c r="EO5" i="10"/>
  <c r="EN5" i="10"/>
  <c r="EM5" i="10"/>
  <c r="EL5" i="10"/>
  <c r="EK5" i="10"/>
  <c r="EJ5" i="10"/>
  <c r="EI5" i="10"/>
  <c r="EH5" i="10"/>
  <c r="EG5" i="10"/>
  <c r="EF5" i="10"/>
  <c r="EE5" i="10"/>
  <c r="ED5" i="10"/>
  <c r="EC5" i="10"/>
  <c r="EB5" i="10"/>
  <c r="EA5" i="10"/>
  <c r="DZ5" i="10"/>
  <c r="DY5" i="10"/>
  <c r="DX5" i="10"/>
  <c r="DW5" i="10"/>
  <c r="DV5" i="10"/>
  <c r="DU5" i="10"/>
  <c r="DT5" i="10"/>
  <c r="DS5" i="10"/>
  <c r="DR5" i="10"/>
  <c r="DQ5" i="10"/>
  <c r="DP5" i="10"/>
  <c r="DO5" i="10"/>
  <c r="DN5" i="10"/>
  <c r="DM5" i="10"/>
  <c r="DL5" i="10"/>
  <c r="DK5" i="10"/>
  <c r="DJ5" i="10"/>
  <c r="DI5" i="10"/>
  <c r="DH5" i="10"/>
  <c r="DG5" i="10"/>
  <c r="DF5" i="10"/>
  <c r="DE5" i="10"/>
  <c r="DD5" i="10"/>
  <c r="DC5" i="10"/>
  <c r="DB5" i="10"/>
  <c r="DA5" i="10"/>
  <c r="CZ5" i="10"/>
  <c r="CY5" i="10"/>
  <c r="CX5" i="10"/>
  <c r="CW5" i="10"/>
  <c r="CV5" i="10"/>
  <c r="CU5" i="10"/>
  <c r="CT5" i="10"/>
  <c r="CS5" i="10"/>
  <c r="CR5" i="10"/>
  <c r="CQ5" i="10"/>
  <c r="CP5" i="10"/>
  <c r="CO5" i="10"/>
  <c r="CN5" i="10"/>
  <c r="CM5" i="10"/>
  <c r="CL5" i="10"/>
  <c r="CK5" i="10"/>
  <c r="CJ5" i="10"/>
  <c r="CI5" i="10"/>
  <c r="CH5" i="10"/>
  <c r="CG5" i="10"/>
  <c r="CF5" i="10"/>
  <c r="CE5" i="10"/>
  <c r="CD5" i="10"/>
  <c r="CC5" i="10"/>
  <c r="CB5" i="10"/>
  <c r="CA5" i="10"/>
  <c r="BZ5" i="10"/>
  <c r="BY5" i="10"/>
  <c r="BX5" i="10"/>
  <c r="BW5" i="10"/>
  <c r="BV5" i="10"/>
  <c r="BU5" i="10"/>
  <c r="BT5" i="10"/>
  <c r="BS5" i="10"/>
  <c r="BR5" i="10"/>
  <c r="BQ5" i="10"/>
  <c r="BP5" i="10"/>
  <c r="BO5" i="10"/>
  <c r="BN5" i="10"/>
  <c r="BM5" i="10"/>
  <c r="BL5" i="10"/>
  <c r="BK5" i="10"/>
  <c r="BJ5" i="10"/>
  <c r="BI5" i="10"/>
  <c r="BH5" i="10"/>
  <c r="BG5" i="10"/>
  <c r="BF5" i="10"/>
  <c r="BE5" i="10"/>
  <c r="BD5" i="10"/>
  <c r="BC5" i="10"/>
  <c r="BB5" i="10"/>
  <c r="BA5" i="10"/>
  <c r="AZ5" i="10"/>
  <c r="AY5" i="10"/>
  <c r="AX5" i="10"/>
  <c r="AW5" i="10"/>
  <c r="AV5" i="10"/>
  <c r="AU5" i="10"/>
  <c r="AT5" i="10"/>
  <c r="AS5" i="10"/>
  <c r="AR5" i="10"/>
  <c r="AQ5" i="10"/>
  <c r="AP5" i="10"/>
  <c r="AO5" i="10"/>
  <c r="AN5" i="10"/>
  <c r="AM5" i="10"/>
  <c r="AL5" i="10"/>
  <c r="AK5" i="10"/>
  <c r="AJ5" i="10"/>
  <c r="AI5" i="10"/>
  <c r="AH5" i="10"/>
  <c r="AG5" i="10"/>
  <c r="AF5" i="10"/>
  <c r="AE5" i="10"/>
  <c r="AD5" i="10"/>
  <c r="AC5" i="10"/>
  <c r="AB5" i="10"/>
  <c r="AA5" i="10"/>
  <c r="Z5" i="10"/>
  <c r="Y5" i="10"/>
  <c r="X5" i="10"/>
  <c r="W5" i="10"/>
  <c r="V5" i="10"/>
  <c r="U5" i="10"/>
  <c r="N5" i="10"/>
  <c r="M5" i="10"/>
  <c r="L5" i="10"/>
  <c r="K5" i="10"/>
  <c r="J5" i="10"/>
  <c r="I5" i="10"/>
  <c r="H5" i="10"/>
  <c r="G5" i="10"/>
  <c r="F5" i="10"/>
  <c r="E5" i="10"/>
  <c r="D5" i="10"/>
  <c r="C5" i="10"/>
  <c r="L14" i="7"/>
  <c r="J14" i="7"/>
  <c r="L13" i="7"/>
  <c r="C11" i="47" s="1"/>
  <c r="J13" i="7"/>
  <c r="L17" i="7"/>
  <c r="C12" i="47" s="1"/>
  <c r="J17" i="7"/>
  <c r="J18" i="7"/>
  <c r="T5" i="10"/>
  <c r="P5" i="10"/>
  <c r="O5" i="10"/>
  <c r="R5" i="10"/>
  <c r="S5" i="10"/>
  <c r="Q5" i="10"/>
  <c r="K8" i="18"/>
  <c r="O8" i="18"/>
  <c r="U8" i="18"/>
  <c r="AA8" i="18"/>
  <c r="AB8" i="18"/>
  <c r="AK8" i="18"/>
  <c r="AO8" i="18"/>
  <c r="AQ8" i="18"/>
  <c r="BA8" i="18"/>
  <c r="BG8" i="18"/>
  <c r="BH8" i="18"/>
  <c r="BQ8" i="18"/>
  <c r="BW8" i="18"/>
  <c r="CG8" i="18"/>
  <c r="CM8" i="18"/>
  <c r="CN8" i="18"/>
  <c r="CQ8" i="18"/>
  <c r="CW8" i="18"/>
  <c r="DC8" i="18"/>
  <c r="DM8" i="18"/>
  <c r="DS8" i="18"/>
  <c r="DT8" i="18"/>
  <c r="EA8" i="18"/>
  <c r="EC8" i="18"/>
  <c r="EI8" i="18"/>
  <c r="EJ8" i="18"/>
  <c r="J10" i="7"/>
  <c r="B6" i="9"/>
  <c r="B5" i="9"/>
  <c r="B4" i="9"/>
  <c r="B3" i="9"/>
  <c r="B2" i="9"/>
  <c r="F2" i="9" s="1"/>
  <c r="G2" i="9" s="1"/>
  <c r="G7" i="2"/>
  <c r="G5" i="2"/>
  <c r="G8" i="2" s="1"/>
  <c r="J19" i="7"/>
  <c r="L19" i="7"/>
  <c r="J9" i="7"/>
  <c r="J8" i="7"/>
  <c r="J7" i="7"/>
  <c r="J6" i="7"/>
  <c r="J5" i="7"/>
  <c r="J4" i="7"/>
  <c r="J3" i="7"/>
  <c r="B20" i="2"/>
  <c r="B19" i="2"/>
  <c r="EQ8" i="18"/>
  <c r="ER8" i="18"/>
  <c r="P56" i="1"/>
  <c r="P55" i="1"/>
  <c r="P54" i="1"/>
  <c r="P53" i="1"/>
  <c r="P52" i="1"/>
  <c r="P51"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7" i="1"/>
  <c r="P6" i="1"/>
  <c r="P5" i="1"/>
  <c r="P4" i="1"/>
  <c r="P3" i="1"/>
  <c r="P2" i="1"/>
  <c r="H56" i="1"/>
  <c r="G56" i="1"/>
  <c r="F56" i="1"/>
  <c r="H55" i="1"/>
  <c r="G55" i="1"/>
  <c r="F55" i="1"/>
  <c r="H54" i="1"/>
  <c r="G54" i="1"/>
  <c r="F54" i="1"/>
  <c r="H53" i="1"/>
  <c r="G53" i="1"/>
  <c r="F53" i="1"/>
  <c r="H52" i="1"/>
  <c r="G52" i="1"/>
  <c r="F52" i="1"/>
  <c r="H51" i="1"/>
  <c r="G51" i="1"/>
  <c r="F51" i="1"/>
  <c r="H50" i="1"/>
  <c r="G50" i="1"/>
  <c r="F50" i="1"/>
  <c r="H49" i="1"/>
  <c r="G49" i="1"/>
  <c r="F49" i="1"/>
  <c r="H48" i="1"/>
  <c r="G48" i="1"/>
  <c r="F48" i="1"/>
  <c r="H47" i="1"/>
  <c r="G47" i="1"/>
  <c r="F47" i="1"/>
  <c r="H46" i="1"/>
  <c r="G46" i="1"/>
  <c r="F46" i="1"/>
  <c r="H45" i="1"/>
  <c r="G45" i="1"/>
  <c r="F45" i="1"/>
  <c r="H44" i="1"/>
  <c r="G44" i="1"/>
  <c r="F44" i="1"/>
  <c r="H43" i="1"/>
  <c r="G43" i="1"/>
  <c r="F43" i="1"/>
  <c r="H42" i="1"/>
  <c r="G42" i="1"/>
  <c r="F42" i="1"/>
  <c r="H41" i="1"/>
  <c r="G41" i="1"/>
  <c r="F41" i="1"/>
  <c r="H40" i="1"/>
  <c r="G40" i="1"/>
  <c r="F40" i="1"/>
  <c r="H39" i="1"/>
  <c r="G39" i="1"/>
  <c r="F39" i="1"/>
  <c r="H38" i="1"/>
  <c r="G38" i="1"/>
  <c r="F38" i="1"/>
  <c r="H37" i="1"/>
  <c r="G37" i="1"/>
  <c r="F37" i="1"/>
  <c r="H36" i="1"/>
  <c r="G36" i="1"/>
  <c r="F36" i="1"/>
  <c r="H35" i="1"/>
  <c r="G35" i="1"/>
  <c r="F35" i="1"/>
  <c r="H34" i="1"/>
  <c r="G34" i="1"/>
  <c r="F34" i="1"/>
  <c r="H33" i="1"/>
  <c r="G33" i="1"/>
  <c r="F33" i="1"/>
  <c r="H32" i="1"/>
  <c r="G32" i="1"/>
  <c r="F32" i="1"/>
  <c r="H31" i="1"/>
  <c r="G31" i="1"/>
  <c r="F31" i="1"/>
  <c r="H30" i="1"/>
  <c r="G30" i="1"/>
  <c r="F30" i="1"/>
  <c r="H29" i="1"/>
  <c r="G29" i="1"/>
  <c r="F29" i="1"/>
  <c r="H28" i="1"/>
  <c r="G28" i="1"/>
  <c r="F28" i="1"/>
  <c r="H27" i="1"/>
  <c r="G27" i="1"/>
  <c r="F27" i="1"/>
  <c r="H26" i="1"/>
  <c r="G26" i="1"/>
  <c r="F26" i="1"/>
  <c r="H25" i="1"/>
  <c r="G25" i="1"/>
  <c r="F25" i="1"/>
  <c r="H24" i="1"/>
  <c r="G24" i="1"/>
  <c r="F24" i="1"/>
  <c r="H23" i="1"/>
  <c r="G23" i="1"/>
  <c r="F23" i="1"/>
  <c r="H22" i="1"/>
  <c r="G22" i="1"/>
  <c r="F22" i="1"/>
  <c r="H21" i="1"/>
  <c r="G21" i="1"/>
  <c r="F21" i="1"/>
  <c r="H20" i="1"/>
  <c r="G20" i="1"/>
  <c r="F20" i="1"/>
  <c r="H19" i="1"/>
  <c r="G19" i="1"/>
  <c r="F19" i="1"/>
  <c r="H18" i="1"/>
  <c r="G18" i="1"/>
  <c r="F18" i="1"/>
  <c r="H17" i="1"/>
  <c r="G17" i="1"/>
  <c r="F17" i="1"/>
  <c r="H16" i="1"/>
  <c r="G16" i="1"/>
  <c r="F16" i="1"/>
  <c r="H15" i="1"/>
  <c r="G15" i="1"/>
  <c r="F15" i="1"/>
  <c r="H14" i="1"/>
  <c r="G14" i="1"/>
  <c r="F14" i="1"/>
  <c r="H13" i="1"/>
  <c r="G13" i="1"/>
  <c r="F13" i="1"/>
  <c r="H12" i="1"/>
  <c r="G12" i="1"/>
  <c r="F12" i="1"/>
  <c r="H11" i="1"/>
  <c r="G11" i="1"/>
  <c r="F11" i="1"/>
  <c r="H10" i="1"/>
  <c r="G10" i="1"/>
  <c r="F10" i="1"/>
  <c r="H9" i="1"/>
  <c r="G9" i="1"/>
  <c r="F9" i="1"/>
  <c r="H7" i="1"/>
  <c r="G7" i="1"/>
  <c r="F7" i="1"/>
  <c r="H6" i="1"/>
  <c r="G6" i="1"/>
  <c r="F6" i="1"/>
  <c r="H5" i="1"/>
  <c r="G5" i="1"/>
  <c r="F5" i="1"/>
  <c r="H4" i="1"/>
  <c r="G4" i="1"/>
  <c r="F4" i="1"/>
  <c r="H3" i="1"/>
  <c r="G3" i="1"/>
  <c r="F3" i="1"/>
  <c r="H2" i="1"/>
  <c r="G2" i="1"/>
  <c r="F2" i="1"/>
  <c r="L3" i="1"/>
  <c r="M3" i="1"/>
  <c r="L4" i="1"/>
  <c r="M4" i="1"/>
  <c r="L5" i="1"/>
  <c r="M5" i="1"/>
  <c r="L6" i="1"/>
  <c r="M6" i="1"/>
  <c r="L7" i="1"/>
  <c r="M7" i="1"/>
  <c r="L9" i="1"/>
  <c r="M9" i="1"/>
  <c r="L10" i="1"/>
  <c r="M10" i="1"/>
  <c r="L11" i="1"/>
  <c r="M11" i="1"/>
  <c r="L12" i="1"/>
  <c r="M12" i="1"/>
  <c r="L13" i="1"/>
  <c r="M13" i="1"/>
  <c r="L14" i="1"/>
  <c r="M14" i="1"/>
  <c r="L15" i="1"/>
  <c r="M15" i="1"/>
  <c r="L16" i="1"/>
  <c r="M16" i="1"/>
  <c r="L17" i="1"/>
  <c r="M17" i="1"/>
  <c r="L18" i="1"/>
  <c r="M18" i="1"/>
  <c r="L19" i="1"/>
  <c r="M19" i="1"/>
  <c r="L20" i="1"/>
  <c r="M20" i="1"/>
  <c r="L21" i="1"/>
  <c r="M21" i="1"/>
  <c r="L22" i="1"/>
  <c r="M22" i="1"/>
  <c r="L23" i="1"/>
  <c r="M23" i="1"/>
  <c r="L24" i="1"/>
  <c r="M24" i="1"/>
  <c r="L25" i="1"/>
  <c r="M25" i="1"/>
  <c r="L26" i="1"/>
  <c r="M26" i="1"/>
  <c r="L27" i="1"/>
  <c r="M27" i="1"/>
  <c r="L28" i="1"/>
  <c r="M28" i="1"/>
  <c r="L29" i="1"/>
  <c r="M29" i="1"/>
  <c r="L30" i="1"/>
  <c r="M30" i="1"/>
  <c r="L31" i="1"/>
  <c r="M31" i="1"/>
  <c r="L32" i="1"/>
  <c r="M32" i="1"/>
  <c r="L33" i="1"/>
  <c r="M33" i="1"/>
  <c r="L34" i="1"/>
  <c r="M34" i="1"/>
  <c r="L35" i="1"/>
  <c r="M35" i="1"/>
  <c r="L36" i="1"/>
  <c r="M36" i="1"/>
  <c r="L37" i="1"/>
  <c r="M37" i="1"/>
  <c r="L38" i="1"/>
  <c r="M38" i="1"/>
  <c r="L39" i="1"/>
  <c r="M39" i="1"/>
  <c r="L40" i="1"/>
  <c r="M40" i="1"/>
  <c r="L41" i="1"/>
  <c r="M41" i="1"/>
  <c r="L42" i="1"/>
  <c r="M42" i="1"/>
  <c r="L43" i="1"/>
  <c r="M43" i="1"/>
  <c r="L44" i="1"/>
  <c r="M44" i="1"/>
  <c r="L45" i="1"/>
  <c r="M45" i="1"/>
  <c r="L46" i="1"/>
  <c r="M46" i="1"/>
  <c r="L47" i="1"/>
  <c r="M47" i="1"/>
  <c r="L48" i="1"/>
  <c r="M48" i="1"/>
  <c r="L49" i="1"/>
  <c r="M49" i="1"/>
  <c r="L50" i="1"/>
  <c r="M50" i="1"/>
  <c r="L51" i="1"/>
  <c r="M51" i="1"/>
  <c r="L52" i="1"/>
  <c r="M52" i="1"/>
  <c r="L53" i="1"/>
  <c r="M53" i="1"/>
  <c r="L54" i="1"/>
  <c r="M54" i="1"/>
  <c r="L55" i="1"/>
  <c r="M55" i="1"/>
  <c r="L56" i="1"/>
  <c r="M56" i="1"/>
  <c r="M2" i="1"/>
  <c r="L2" i="1"/>
  <c r="A57" i="1"/>
  <c r="B8" i="1"/>
  <c r="L8" i="1" s="1"/>
  <c r="ES8" i="18"/>
  <c r="H8" i="1"/>
  <c r="EV8" i="18"/>
  <c r="FA8" i="18"/>
  <c r="FD8" i="18"/>
  <c r="FG8" i="18"/>
  <c r="FI8" i="18"/>
  <c r="FL8" i="18"/>
  <c r="FO8" i="18"/>
  <c r="FQ8" i="18"/>
  <c r="FT8" i="18"/>
  <c r="G6" i="7" l="1"/>
  <c r="C5" i="41" s="1"/>
  <c r="C7" i="47"/>
  <c r="R3" i="7"/>
  <c r="C4" i="47"/>
  <c r="R6" i="7"/>
  <c r="U23" i="7"/>
  <c r="E26" i="32"/>
  <c r="II26" i="10"/>
  <c r="K16" i="41"/>
  <c r="W23" i="7"/>
  <c r="M16" i="41"/>
  <c r="Y23" i="7"/>
  <c r="H17" i="2"/>
  <c r="G12" i="41"/>
  <c r="S24" i="7"/>
  <c r="K12" i="41"/>
  <c r="W24" i="7"/>
  <c r="M12" i="41"/>
  <c r="Y24" i="7"/>
  <c r="O6" i="7"/>
  <c r="E5" i="41" s="1"/>
  <c r="HA40" i="17"/>
  <c r="HA8" i="20" s="1"/>
  <c r="IG40" i="17"/>
  <c r="IG8" i="20" s="1"/>
  <c r="HI40" i="17"/>
  <c r="HI8" i="20" s="1"/>
  <c r="HM40" i="17"/>
  <c r="HM8" i="20" s="1"/>
  <c r="HQ40" i="17"/>
  <c r="HQ8" i="20" s="1"/>
  <c r="GO40" i="17"/>
  <c r="GO8" i="20" s="1"/>
  <c r="HU40" i="17"/>
  <c r="HU8" i="20" s="1"/>
  <c r="GS40" i="17"/>
  <c r="GS8" i="20" s="1"/>
  <c r="HY40" i="17"/>
  <c r="HY8" i="20" s="1"/>
  <c r="B15" i="2"/>
  <c r="EY7" i="15"/>
  <c r="EY41" i="17" s="1"/>
  <c r="EY31" i="20" s="1"/>
  <c r="I16" i="41"/>
  <c r="AC17" i="7"/>
  <c r="FS6" i="15"/>
  <c r="FW6" i="15"/>
  <c r="GM6" i="15"/>
  <c r="EM7" i="15"/>
  <c r="EM41" i="17" s="1"/>
  <c r="EM31" i="20" s="1"/>
  <c r="I18" i="41"/>
  <c r="AC19" i="7"/>
  <c r="P18" i="41" s="1"/>
  <c r="EQ7" i="15"/>
  <c r="EQ41" i="17" s="1"/>
  <c r="EQ31" i="20" s="1"/>
  <c r="I17" i="41"/>
  <c r="AC18" i="7"/>
  <c r="C28" i="17"/>
  <c r="C30" i="10"/>
  <c r="DW6" i="15"/>
  <c r="GY6" i="15"/>
  <c r="GA7" i="15"/>
  <c r="GA41" i="17" s="1"/>
  <c r="GA31" i="20" s="1"/>
  <c r="EE6" i="15"/>
  <c r="HO6" i="15"/>
  <c r="GE7" i="15"/>
  <c r="GE41" i="17" s="1"/>
  <c r="GE31" i="20" s="1"/>
  <c r="EI6" i="15"/>
  <c r="HS6" i="15"/>
  <c r="GU7" i="15"/>
  <c r="GU41" i="17" s="1"/>
  <c r="GU31" i="20" s="1"/>
  <c r="EQ6" i="15"/>
  <c r="IA6" i="15"/>
  <c r="IA8" i="15" s="1"/>
  <c r="HW7" i="15"/>
  <c r="HW41" i="17" s="1"/>
  <c r="HW31" i="20" s="1"/>
  <c r="FK6" i="15"/>
  <c r="EE7" i="15"/>
  <c r="EE41" i="17" s="1"/>
  <c r="EE31" i="20" s="1"/>
  <c r="D4" i="36"/>
  <c r="HS7" i="15"/>
  <c r="HS41" i="17" s="1"/>
  <c r="HS31" i="20" s="1"/>
  <c r="GM7" i="15"/>
  <c r="GM41" i="17" s="1"/>
  <c r="GM31" i="20" s="1"/>
  <c r="FG7" i="15"/>
  <c r="FG41" i="17" s="1"/>
  <c r="FG31" i="20" s="1"/>
  <c r="EA7" i="15"/>
  <c r="EA41" i="17" s="1"/>
  <c r="EA31" i="20" s="1"/>
  <c r="HK6" i="15"/>
  <c r="GE6" i="15"/>
  <c r="EY6" i="15"/>
  <c r="DS6" i="15"/>
  <c r="HO7" i="15"/>
  <c r="HO41" i="17" s="1"/>
  <c r="HO31" i="20" s="1"/>
  <c r="GI7" i="15"/>
  <c r="GI41" i="17" s="1"/>
  <c r="GI31" i="20" s="1"/>
  <c r="FC7" i="15"/>
  <c r="FC41" i="17" s="1"/>
  <c r="FC31" i="20" s="1"/>
  <c r="DW7" i="15"/>
  <c r="DW41" i="17" s="1"/>
  <c r="DW31" i="20" s="1"/>
  <c r="HG6" i="15"/>
  <c r="GA6" i="15"/>
  <c r="EU6" i="15"/>
  <c r="K36" i="33"/>
  <c r="FC6" i="15"/>
  <c r="GQ6" i="15"/>
  <c r="IE6" i="15"/>
  <c r="FK7" i="15"/>
  <c r="FK41" i="17" s="1"/>
  <c r="FK31" i="20" s="1"/>
  <c r="GY7" i="15"/>
  <c r="GY41" i="17" s="1"/>
  <c r="GY31" i="20" s="1"/>
  <c r="FG6" i="15"/>
  <c r="GU6" i="15"/>
  <c r="DS7" i="15"/>
  <c r="DS41" i="17" s="1"/>
  <c r="DS31" i="20" s="1"/>
  <c r="FO7" i="15"/>
  <c r="FO41" i="17" s="1"/>
  <c r="FO31" i="20" s="1"/>
  <c r="HC7" i="15"/>
  <c r="HC41" i="17" s="1"/>
  <c r="HC31" i="20" s="1"/>
  <c r="O30" i="30"/>
  <c r="N25" i="43"/>
  <c r="G30" i="30"/>
  <c r="F25" i="43"/>
  <c r="S19" i="30"/>
  <c r="R14" i="43"/>
  <c r="K19" i="30"/>
  <c r="J14" i="43"/>
  <c r="FS7" i="15"/>
  <c r="FS41" i="17" s="1"/>
  <c r="FS31" i="20" s="1"/>
  <c r="HG7" i="15"/>
  <c r="HG41" i="17" s="1"/>
  <c r="HG31" i="20" s="1"/>
  <c r="U25" i="43"/>
  <c r="V30" i="30"/>
  <c r="N30" i="30"/>
  <c r="M25" i="43"/>
  <c r="F30" i="30"/>
  <c r="E25" i="43"/>
  <c r="R19" i="30"/>
  <c r="Q14" i="43"/>
  <c r="J19" i="30"/>
  <c r="I14" i="43"/>
  <c r="EA6" i="15"/>
  <c r="FO6" i="15"/>
  <c r="HC6" i="15"/>
  <c r="EI7" i="15"/>
  <c r="EI41" i="17" s="1"/>
  <c r="EI31" i="20" s="1"/>
  <c r="FW7" i="15"/>
  <c r="FW41" i="17" s="1"/>
  <c r="FW31" i="20" s="1"/>
  <c r="HK7" i="15"/>
  <c r="HK41" i="17" s="1"/>
  <c r="HK31" i="20" s="1"/>
  <c r="E25" i="17"/>
  <c r="D9" i="10"/>
  <c r="E9" i="10" s="1"/>
  <c r="C34" i="10"/>
  <c r="C35" i="10"/>
  <c r="C19" i="30"/>
  <c r="B14" i="43"/>
  <c r="T30" i="30"/>
  <c r="S25" i="43"/>
  <c r="L30" i="30"/>
  <c r="K25" i="43"/>
  <c r="D30" i="30"/>
  <c r="C25" i="43"/>
  <c r="P19" i="30"/>
  <c r="O14" i="43"/>
  <c r="H19" i="30"/>
  <c r="G14" i="43"/>
  <c r="K4" i="8"/>
  <c r="F3" i="42" s="1"/>
  <c r="E3" i="42"/>
  <c r="E10" i="42" s="1"/>
  <c r="O10" i="40"/>
  <c r="P10" i="40" s="1"/>
  <c r="EM6" i="15"/>
  <c r="GI6" i="15"/>
  <c r="HW6" i="15"/>
  <c r="EU7" i="15"/>
  <c r="EU41" i="17" s="1"/>
  <c r="EU31" i="20" s="1"/>
  <c r="GQ7" i="15"/>
  <c r="GQ41" i="17" s="1"/>
  <c r="GQ31" i="20" s="1"/>
  <c r="IE7" i="15"/>
  <c r="IE41" i="17" s="1"/>
  <c r="IE31" i="20" s="1"/>
  <c r="O36" i="33"/>
  <c r="S36" i="33"/>
  <c r="R30" i="30"/>
  <c r="Q25" i="43"/>
  <c r="J30" i="30"/>
  <c r="I25" i="43"/>
  <c r="V19" i="30"/>
  <c r="U14" i="43"/>
  <c r="N19" i="30"/>
  <c r="M14" i="43"/>
  <c r="F19" i="30"/>
  <c r="E14" i="43"/>
  <c r="D13" i="25"/>
  <c r="B28" i="10" s="1"/>
  <c r="C28" i="10" s="1"/>
  <c r="C27" i="17" s="1"/>
  <c r="Q30" i="30"/>
  <c r="P25" i="43"/>
  <c r="I30" i="30"/>
  <c r="H25" i="43"/>
  <c r="U19" i="30"/>
  <c r="T14" i="43"/>
  <c r="M19" i="30"/>
  <c r="L14" i="43"/>
  <c r="E19" i="30"/>
  <c r="D14" i="43"/>
  <c r="F44" i="33"/>
  <c r="P30" i="30"/>
  <c r="O25" i="43"/>
  <c r="H30" i="30"/>
  <c r="G25" i="43"/>
  <c r="T19" i="30"/>
  <c r="S14" i="43"/>
  <c r="L19" i="30"/>
  <c r="K14" i="43"/>
  <c r="D19" i="30"/>
  <c r="C14" i="43"/>
  <c r="U30" i="30"/>
  <c r="T25" i="43"/>
  <c r="M30" i="30"/>
  <c r="L25" i="43"/>
  <c r="E30" i="30"/>
  <c r="D25" i="43"/>
  <c r="Q19" i="30"/>
  <c r="P14" i="43"/>
  <c r="I19" i="30"/>
  <c r="H14" i="43"/>
  <c r="H43" i="33"/>
  <c r="I43" i="33" s="1"/>
  <c r="J43" i="33" s="1"/>
  <c r="K43" i="33" s="1"/>
  <c r="L43" i="33" s="1"/>
  <c r="M43" i="33" s="1"/>
  <c r="N43" i="33" s="1"/>
  <c r="O43" i="33" s="1"/>
  <c r="P43" i="33" s="1"/>
  <c r="Q43" i="33" s="1"/>
  <c r="R43" i="33" s="1"/>
  <c r="S43" i="33" s="1"/>
  <c r="T43" i="33" s="1"/>
  <c r="U43" i="33" s="1"/>
  <c r="V43" i="33" s="1"/>
  <c r="W43" i="33" s="1"/>
  <c r="F19" i="33"/>
  <c r="F25" i="33" s="1"/>
  <c r="O12" i="40"/>
  <c r="P12" i="40" s="1"/>
  <c r="S30" i="30"/>
  <c r="R25" i="43"/>
  <c r="K30" i="30"/>
  <c r="J25" i="43"/>
  <c r="C30" i="30"/>
  <c r="B25" i="43"/>
  <c r="O19" i="30"/>
  <c r="N14" i="43"/>
  <c r="G19" i="30"/>
  <c r="F14" i="43"/>
  <c r="P36" i="33"/>
  <c r="O3" i="7"/>
  <c r="P3" i="7" s="1"/>
  <c r="F2" i="41" s="1"/>
  <c r="J20" i="7"/>
  <c r="S19" i="7"/>
  <c r="G18" i="41" s="1"/>
  <c r="U14" i="7"/>
  <c r="V14" i="7" s="1"/>
  <c r="J13" i="41" s="1"/>
  <c r="O9" i="7"/>
  <c r="E8" i="41" s="1"/>
  <c r="O5" i="7"/>
  <c r="E4" i="41" s="1"/>
  <c r="T15" i="7"/>
  <c r="H14" i="41" s="1"/>
  <c r="G3" i="7"/>
  <c r="G12" i="7"/>
  <c r="C11" i="41" s="1"/>
  <c r="G8" i="7"/>
  <c r="C7" i="41" s="1"/>
  <c r="S17" i="7"/>
  <c r="AB17" i="7" s="1"/>
  <c r="D12" i="47" s="1"/>
  <c r="U13" i="7"/>
  <c r="R11" i="7"/>
  <c r="G4" i="7"/>
  <c r="C3" i="41" s="1"/>
  <c r="AD14" i="7"/>
  <c r="Q13" i="41" s="1"/>
  <c r="U16" i="7"/>
  <c r="U15" i="7"/>
  <c r="G10" i="7"/>
  <c r="C9" i="41" s="1"/>
  <c r="G19" i="7"/>
  <c r="C18" i="41" s="1"/>
  <c r="O14" i="7"/>
  <c r="E13" i="41" s="1"/>
  <c r="G9" i="7"/>
  <c r="C8" i="41" s="1"/>
  <c r="R9" i="7"/>
  <c r="B16" i="2"/>
  <c r="H14" i="2"/>
  <c r="C10" i="8"/>
  <c r="D10" i="8" s="1"/>
  <c r="K3" i="8"/>
  <c r="F2" i="42" s="1"/>
  <c r="P10" i="7"/>
  <c r="F9" i="41" s="1"/>
  <c r="R4" i="7"/>
  <c r="O15" i="7"/>
  <c r="E14" i="41" s="1"/>
  <c r="R10" i="7"/>
  <c r="L7" i="7"/>
  <c r="C8" i="47" s="1"/>
  <c r="T14" i="7"/>
  <c r="H13" i="41" s="1"/>
  <c r="F4" i="9"/>
  <c r="G4" i="9" s="1"/>
  <c r="O4" i="7"/>
  <c r="E3" i="41" s="1"/>
  <c r="G15" i="7"/>
  <c r="C14" i="41" s="1"/>
  <c r="R15" i="7"/>
  <c r="T16" i="7"/>
  <c r="H15" i="41" s="1"/>
  <c r="G13" i="7"/>
  <c r="C12" i="41" s="1"/>
  <c r="R13" i="7"/>
  <c r="O13" i="7"/>
  <c r="E12" i="41" s="1"/>
  <c r="ET23" i="27"/>
  <c r="HF22" i="27"/>
  <c r="AG22" i="27"/>
  <c r="EV21" i="27"/>
  <c r="BN21" i="27"/>
  <c r="FQ20" i="27"/>
  <c r="CJ20" i="27"/>
  <c r="FZ19" i="27"/>
  <c r="DF19" i="27"/>
  <c r="AT19" i="27"/>
  <c r="ET18" i="27"/>
  <c r="CH18" i="27"/>
  <c r="V18" i="27"/>
  <c r="DJ17" i="27"/>
  <c r="AX17" i="27"/>
  <c r="DZ16" i="27"/>
  <c r="BN16" i="27"/>
  <c r="ED15" i="27"/>
  <c r="BR15" i="27"/>
  <c r="F15" i="27"/>
  <c r="BJ14" i="27"/>
  <c r="DB13" i="27"/>
  <c r="AP13" i="27"/>
  <c r="BV12" i="27"/>
  <c r="J12" i="27"/>
  <c r="AD11" i="27"/>
  <c r="AL10" i="27"/>
  <c r="AH9" i="27"/>
  <c r="AD8" i="27"/>
  <c r="Z7" i="27"/>
  <c r="V6" i="27"/>
  <c r="GP5" i="27"/>
  <c r="GL4" i="27"/>
  <c r="DZ4" i="27"/>
  <c r="BN4" i="27"/>
  <c r="IH40" i="17"/>
  <c r="IH8" i="20" s="1"/>
  <c r="ID40" i="17"/>
  <c r="ID8" i="20" s="1"/>
  <c r="HZ40" i="17"/>
  <c r="HZ8" i="20" s="1"/>
  <c r="HV40" i="17"/>
  <c r="HV8" i="20" s="1"/>
  <c r="HR40" i="17"/>
  <c r="HR8" i="20" s="1"/>
  <c r="HN40" i="17"/>
  <c r="HN8" i="20" s="1"/>
  <c r="HJ40" i="17"/>
  <c r="HJ8" i="20" s="1"/>
  <c r="HF40" i="17"/>
  <c r="HF8" i="20" s="1"/>
  <c r="HB40" i="17"/>
  <c r="HB8" i="20" s="1"/>
  <c r="GX40" i="17"/>
  <c r="GX8" i="20" s="1"/>
  <c r="GT40" i="17"/>
  <c r="GT8" i="20" s="1"/>
  <c r="GP40" i="17"/>
  <c r="GP8" i="20" s="1"/>
  <c r="DY23" i="27"/>
  <c r="CH22" i="27"/>
  <c r="GL21" i="27"/>
  <c r="DE21" i="27"/>
  <c r="X21" i="27"/>
  <c r="DZ20" i="27"/>
  <c r="AS20" i="27"/>
  <c r="EL19" i="27"/>
  <c r="BZ19" i="27"/>
  <c r="N19" i="27"/>
  <c r="DN18" i="27"/>
  <c r="BB18" i="27"/>
  <c r="EP17" i="27"/>
  <c r="CD17" i="27"/>
  <c r="R17" i="27"/>
  <c r="CT16" i="27"/>
  <c r="AH16" i="27"/>
  <c r="CX15" i="27"/>
  <c r="AL15" i="27"/>
  <c r="CP14" i="27"/>
  <c r="AD14" i="27"/>
  <c r="BV13" i="27"/>
  <c r="J13" i="27"/>
  <c r="AP12" i="27"/>
  <c r="BJ11" i="27"/>
  <c r="BR10" i="27"/>
  <c r="F10" i="27"/>
  <c r="IH8" i="27"/>
  <c r="ID7" i="27"/>
  <c r="HZ6" i="27"/>
  <c r="HV5" i="27"/>
  <c r="HR4" i="27"/>
  <c r="FF4" i="27"/>
  <c r="CT4" i="27"/>
  <c r="AH4" i="27"/>
  <c r="IF40" i="17"/>
  <c r="IF8" i="20" s="1"/>
  <c r="IB40" i="17"/>
  <c r="IB8" i="20" s="1"/>
  <c r="HX40" i="17"/>
  <c r="HX8" i="20" s="1"/>
  <c r="HT40" i="17"/>
  <c r="HT8" i="20" s="1"/>
  <c r="HP40" i="17"/>
  <c r="HP8" i="20" s="1"/>
  <c r="HL40" i="17"/>
  <c r="HL8" i="20" s="1"/>
  <c r="HH40" i="17"/>
  <c r="HH8" i="20" s="1"/>
  <c r="HD40" i="17"/>
  <c r="HD8" i="20" s="1"/>
  <c r="GZ40" i="17"/>
  <c r="GZ8" i="20" s="1"/>
  <c r="GV40" i="17"/>
  <c r="GV8" i="20" s="1"/>
  <c r="GR40" i="17"/>
  <c r="GR8" i="20" s="1"/>
  <c r="GN40" i="17"/>
  <c r="GN8" i="20" s="1"/>
  <c r="B22" i="2"/>
  <c r="C5" i="8" s="1"/>
  <c r="D5" i="8" s="1"/>
  <c r="B4" i="42" s="1"/>
  <c r="B13" i="2"/>
  <c r="B28" i="2" s="1"/>
  <c r="H15" i="2" s="1"/>
  <c r="R4" i="27"/>
  <c r="EP4" i="27"/>
  <c r="HF5" i="27"/>
  <c r="HN7" i="27"/>
  <c r="AX9" i="27"/>
  <c r="AT11" i="27"/>
  <c r="CL12" i="27"/>
  <c r="N14" i="27"/>
  <c r="V15" i="27"/>
  <c r="R16" i="27"/>
  <c r="EP16" i="27"/>
  <c r="DZ17" i="27"/>
  <c r="CX18" i="27"/>
  <c r="BJ19" i="27"/>
  <c r="X20" i="27"/>
  <c r="GL20" i="27"/>
  <c r="FQ21" i="27"/>
  <c r="BJ23" i="27"/>
  <c r="B10" i="37"/>
  <c r="B11" i="37" s="1"/>
  <c r="A9" i="37"/>
  <c r="H57" i="1"/>
  <c r="G17" i="7"/>
  <c r="C16" i="41" s="1"/>
  <c r="R14" i="7"/>
  <c r="G4" i="8"/>
  <c r="D3" i="42" s="1"/>
  <c r="GQ40" i="17"/>
  <c r="GQ8" i="20" s="1"/>
  <c r="GY40" i="17"/>
  <c r="GY8" i="20" s="1"/>
  <c r="HG40" i="17"/>
  <c r="HG8" i="20" s="1"/>
  <c r="HO40" i="17"/>
  <c r="HO8" i="20" s="1"/>
  <c r="HW40" i="17"/>
  <c r="HW8" i="20" s="1"/>
  <c r="IE40" i="17"/>
  <c r="IE8" i="20" s="1"/>
  <c r="AX4" i="27"/>
  <c r="FV4" i="27"/>
  <c r="F6" i="27"/>
  <c r="N8" i="27"/>
  <c r="V10" i="27"/>
  <c r="BZ11" i="27"/>
  <c r="Z13" i="27"/>
  <c r="AT14" i="27"/>
  <c r="BB15" i="27"/>
  <c r="AX16" i="27"/>
  <c r="AH17" i="27"/>
  <c r="F18" i="27"/>
  <c r="ED18" i="27"/>
  <c r="CP19" i="27"/>
  <c r="BN20" i="27"/>
  <c r="AS21" i="27"/>
  <c r="L22" i="27"/>
  <c r="HF23" i="27"/>
  <c r="G44" i="32"/>
  <c r="H44" i="32" s="1"/>
  <c r="K17" i="39"/>
  <c r="I17" i="40"/>
  <c r="L57" i="1"/>
  <c r="G19" i="32"/>
  <c r="H19" i="32"/>
  <c r="I19" i="32"/>
  <c r="J19" i="32"/>
  <c r="K19" i="32"/>
  <c r="L19" i="32"/>
  <c r="M19" i="32"/>
  <c r="N19" i="32"/>
  <c r="O19" i="32"/>
  <c r="P19" i="32"/>
  <c r="Q19" i="32"/>
  <c r="R19" i="32"/>
  <c r="CD4" i="27"/>
  <c r="HB4" i="27"/>
  <c r="HJ6" i="27"/>
  <c r="AT8" i="27"/>
  <c r="BB10" i="27"/>
  <c r="Z12" i="27"/>
  <c r="BF13" i="27"/>
  <c r="BZ14" i="27"/>
  <c r="CH15" i="27"/>
  <c r="CD16" i="27"/>
  <c r="BN17" i="27"/>
  <c r="AL18" i="27"/>
  <c r="FJ18" i="27"/>
  <c r="DV19" i="27"/>
  <c r="DE20" i="27"/>
  <c r="CJ21" i="27"/>
  <c r="BB22" i="27"/>
  <c r="P8" i="1"/>
  <c r="P57" i="1" s="1"/>
  <c r="O19" i="7"/>
  <c r="E18" i="41" s="1"/>
  <c r="R19" i="7"/>
  <c r="R17" i="7"/>
  <c r="X15" i="7"/>
  <c r="L14" i="41" s="1"/>
  <c r="F6" i="9"/>
  <c r="G6" i="9" s="1"/>
  <c r="GM40" i="17"/>
  <c r="GM8" i="20" s="1"/>
  <c r="GU40" i="17"/>
  <c r="GU8" i="20" s="1"/>
  <c r="HC40" i="17"/>
  <c r="HC8" i="20" s="1"/>
  <c r="HK40" i="17"/>
  <c r="HK8" i="20" s="1"/>
  <c r="HS40" i="17"/>
  <c r="HS8" i="20" s="1"/>
  <c r="IA40" i="17"/>
  <c r="IA8" i="20" s="1"/>
  <c r="DJ4" i="27"/>
  <c r="IH4" i="27"/>
  <c r="J7" i="27"/>
  <c r="R9" i="27"/>
  <c r="N11" i="27"/>
  <c r="BF12" i="27"/>
  <c r="CL13" i="27"/>
  <c r="DF14" i="27"/>
  <c r="DN15" i="27"/>
  <c r="DJ16" i="27"/>
  <c r="CT17" i="27"/>
  <c r="BR18" i="27"/>
  <c r="AD19" i="27"/>
  <c r="FE19" i="27"/>
  <c r="EV20" i="27"/>
  <c r="DZ21" i="27"/>
  <c r="ET22" i="27"/>
  <c r="F31" i="33"/>
  <c r="G25" i="33"/>
  <c r="H25" i="33" s="1"/>
  <c r="H31" i="33" s="1"/>
  <c r="D74" i="30"/>
  <c r="G45" i="32"/>
  <c r="J36" i="33"/>
  <c r="F16" i="33"/>
  <c r="O13" i="39"/>
  <c r="P13" i="39" s="1"/>
  <c r="O9" i="39"/>
  <c r="O6" i="39"/>
  <c r="P6" i="39" s="1"/>
  <c r="O5" i="39"/>
  <c r="P5" i="39" s="1"/>
  <c r="O9" i="40"/>
  <c r="P9" i="40" s="1"/>
  <c r="C33" i="10"/>
  <c r="C25" i="10"/>
  <c r="C22" i="10"/>
  <c r="C20" i="10"/>
  <c r="D20" i="10"/>
  <c r="C31" i="10"/>
  <c r="C27" i="10"/>
  <c r="C24" i="10"/>
  <c r="C21" i="10"/>
  <c r="D13" i="19"/>
  <c r="E13" i="19" s="1"/>
  <c r="F13" i="19" s="1"/>
  <c r="G13" i="19" s="1"/>
  <c r="H13" i="19" s="1"/>
  <c r="I13" i="19" s="1"/>
  <c r="J13" i="19" s="1"/>
  <c r="K13" i="19" s="1"/>
  <c r="L13" i="19" s="1"/>
  <c r="M13" i="19" s="1"/>
  <c r="N13" i="19" s="1"/>
  <c r="C29" i="20"/>
  <c r="C8" i="20"/>
  <c r="GC7" i="16"/>
  <c r="GD7" i="16" s="1"/>
  <c r="GB8" i="16"/>
  <c r="C25" i="11"/>
  <c r="C24" i="38" s="1"/>
  <c r="C26" i="11"/>
  <c r="C25" i="38" s="1"/>
  <c r="C30" i="11"/>
  <c r="C29" i="38" s="1"/>
  <c r="C33" i="11"/>
  <c r="C32" i="38" s="1"/>
  <c r="C19" i="38"/>
  <c r="C28" i="11"/>
  <c r="C27" i="38" s="1"/>
  <c r="C32" i="11"/>
  <c r="C31" i="38" s="1"/>
  <c r="C36" i="11"/>
  <c r="C35" i="38" s="1"/>
  <c r="C24" i="11"/>
  <c r="C23" i="38" s="1"/>
  <c r="C27" i="11"/>
  <c r="C26" i="38" s="1"/>
  <c r="C29" i="11"/>
  <c r="C28" i="38" s="1"/>
  <c r="C34" i="11"/>
  <c r="C33" i="38" s="1"/>
  <c r="C35" i="11"/>
  <c r="C34" i="38" s="1"/>
  <c r="C37" i="11"/>
  <c r="C36" i="38" s="1"/>
  <c r="C31" i="11"/>
  <c r="C30" i="38" s="1"/>
  <c r="Z17" i="7"/>
  <c r="N16" i="41" s="1"/>
  <c r="V17" i="7"/>
  <c r="J16" i="41" s="1"/>
  <c r="X17" i="7"/>
  <c r="L16" i="41" s="1"/>
  <c r="X16" i="7"/>
  <c r="L15" i="41" s="1"/>
  <c r="Z16" i="7"/>
  <c r="N15" i="41" s="1"/>
  <c r="S11" i="7"/>
  <c r="G10" i="41" s="1"/>
  <c r="Y11" i="7"/>
  <c r="M10" i="41" s="1"/>
  <c r="W11" i="7"/>
  <c r="K10" i="41" s="1"/>
  <c r="U11" i="7"/>
  <c r="DT6" i="15"/>
  <c r="DX6" i="15"/>
  <c r="EB6" i="15"/>
  <c r="EF6" i="15"/>
  <c r="EJ6" i="15"/>
  <c r="EN6" i="15"/>
  <c r="ER6" i="15"/>
  <c r="EV6" i="15"/>
  <c r="EZ6" i="15"/>
  <c r="FD6" i="15"/>
  <c r="FH6" i="15"/>
  <c r="FL6" i="15"/>
  <c r="FP6" i="15"/>
  <c r="FT6" i="15"/>
  <c r="FX6" i="15"/>
  <c r="GB6" i="15"/>
  <c r="GF6" i="15"/>
  <c r="GJ6" i="15"/>
  <c r="GN6" i="15"/>
  <c r="GR6" i="15"/>
  <c r="GV6" i="15"/>
  <c r="GZ6" i="15"/>
  <c r="HD6" i="15"/>
  <c r="HH6" i="15"/>
  <c r="HL6" i="15"/>
  <c r="HP6" i="15"/>
  <c r="HT6" i="15"/>
  <c r="HX6" i="15"/>
  <c r="IB6" i="15"/>
  <c r="IF6" i="15"/>
  <c r="DT7" i="15"/>
  <c r="DT41" i="17" s="1"/>
  <c r="DT31" i="20" s="1"/>
  <c r="DX7" i="15"/>
  <c r="DX41" i="17" s="1"/>
  <c r="DX31" i="20" s="1"/>
  <c r="EB7" i="15"/>
  <c r="EB41" i="17" s="1"/>
  <c r="EB31" i="20" s="1"/>
  <c r="EF7" i="15"/>
  <c r="EF41" i="17" s="1"/>
  <c r="EF31" i="20" s="1"/>
  <c r="EJ7" i="15"/>
  <c r="EJ41" i="17" s="1"/>
  <c r="EJ31" i="20" s="1"/>
  <c r="EN7" i="15"/>
  <c r="EN41" i="17" s="1"/>
  <c r="EN31" i="20" s="1"/>
  <c r="ER7" i="15"/>
  <c r="ER41" i="17" s="1"/>
  <c r="ER31" i="20" s="1"/>
  <c r="EV7" i="15"/>
  <c r="EV41" i="17" s="1"/>
  <c r="EV31" i="20" s="1"/>
  <c r="EZ7" i="15"/>
  <c r="EZ41" i="17" s="1"/>
  <c r="EZ31" i="20" s="1"/>
  <c r="FD7" i="15"/>
  <c r="FD41" i="17" s="1"/>
  <c r="FD31" i="20" s="1"/>
  <c r="FH7" i="15"/>
  <c r="FH41" i="17" s="1"/>
  <c r="FH31" i="20" s="1"/>
  <c r="FL7" i="15"/>
  <c r="FL41" i="17" s="1"/>
  <c r="FL31" i="20" s="1"/>
  <c r="FP7" i="15"/>
  <c r="FP41" i="17" s="1"/>
  <c r="FP31" i="20" s="1"/>
  <c r="FT7" i="15"/>
  <c r="FT41" i="17" s="1"/>
  <c r="FT31" i="20" s="1"/>
  <c r="FX7" i="15"/>
  <c r="FX41" i="17" s="1"/>
  <c r="FX31" i="20" s="1"/>
  <c r="GB7" i="15"/>
  <c r="GB41" i="17" s="1"/>
  <c r="GB31" i="20" s="1"/>
  <c r="GF7" i="15"/>
  <c r="GF41" i="17" s="1"/>
  <c r="GF31" i="20" s="1"/>
  <c r="GJ7" i="15"/>
  <c r="GJ41" i="17" s="1"/>
  <c r="GJ31" i="20" s="1"/>
  <c r="GN7" i="15"/>
  <c r="GN41" i="17" s="1"/>
  <c r="GN31" i="20" s="1"/>
  <c r="GR7" i="15"/>
  <c r="GR41" i="17" s="1"/>
  <c r="GR31" i="20" s="1"/>
  <c r="GV7" i="15"/>
  <c r="GV41" i="17" s="1"/>
  <c r="GV31" i="20" s="1"/>
  <c r="GZ7" i="15"/>
  <c r="GZ41" i="17" s="1"/>
  <c r="GZ31" i="20" s="1"/>
  <c r="HD7" i="15"/>
  <c r="HD41" i="17" s="1"/>
  <c r="HD31" i="20" s="1"/>
  <c r="HH7" i="15"/>
  <c r="HH41" i="17" s="1"/>
  <c r="HH31" i="20" s="1"/>
  <c r="HL7" i="15"/>
  <c r="HL41" i="17" s="1"/>
  <c r="HL31" i="20" s="1"/>
  <c r="HP7" i="15"/>
  <c r="HP41" i="17" s="1"/>
  <c r="HP31" i="20" s="1"/>
  <c r="HT7" i="15"/>
  <c r="HT41" i="17" s="1"/>
  <c r="HT31" i="20" s="1"/>
  <c r="HX7" i="15"/>
  <c r="HX41" i="17" s="1"/>
  <c r="HX31" i="20" s="1"/>
  <c r="IB7" i="15"/>
  <c r="IB41" i="17" s="1"/>
  <c r="IB31" i="20" s="1"/>
  <c r="IF7" i="15"/>
  <c r="IF41" i="17" s="1"/>
  <c r="IF31" i="20" s="1"/>
  <c r="Z13" i="7"/>
  <c r="N12" i="41" s="1"/>
  <c r="X13" i="7"/>
  <c r="L12" i="41" s="1"/>
  <c r="U12" i="7"/>
  <c r="S12" i="7"/>
  <c r="G11" i="41" s="1"/>
  <c r="Y12" i="7"/>
  <c r="M11" i="41" s="1"/>
  <c r="W12" i="7"/>
  <c r="K11" i="41" s="1"/>
  <c r="M8" i="1"/>
  <c r="M57" i="1" s="1"/>
  <c r="G5" i="7"/>
  <c r="C4" i="41" s="1"/>
  <c r="R8" i="7"/>
  <c r="C8" i="16"/>
  <c r="G8" i="1"/>
  <c r="G57" i="1" s="1"/>
  <c r="F8" i="1"/>
  <c r="F57" i="1" s="1"/>
  <c r="O8" i="7"/>
  <c r="E7" i="41" s="1"/>
  <c r="O17" i="7"/>
  <c r="E16" i="41" s="1"/>
  <c r="G14" i="7"/>
  <c r="C13" i="41" s="1"/>
  <c r="G16" i="7"/>
  <c r="C15" i="41" s="1"/>
  <c r="O11" i="7"/>
  <c r="E10" i="41" s="1"/>
  <c r="W10" i="7"/>
  <c r="K9" i="41" s="1"/>
  <c r="U10" i="7"/>
  <c r="S10" i="7"/>
  <c r="G9" i="41" s="1"/>
  <c r="Y10" i="7"/>
  <c r="M9" i="41" s="1"/>
  <c r="U4" i="7"/>
  <c r="W4" i="7"/>
  <c r="K3" i="41" s="1"/>
  <c r="Y4" i="7"/>
  <c r="M3" i="41" s="1"/>
  <c r="S4" i="7"/>
  <c r="G3" i="41" s="1"/>
  <c r="D7" i="10"/>
  <c r="DU6" i="15"/>
  <c r="DY6" i="15"/>
  <c r="EC6" i="15"/>
  <c r="EG6" i="15"/>
  <c r="EK6" i="15"/>
  <c r="EO6" i="15"/>
  <c r="ES6" i="15"/>
  <c r="EW6" i="15"/>
  <c r="FA6" i="15"/>
  <c r="FE6" i="15"/>
  <c r="FI6" i="15"/>
  <c r="FM6" i="15"/>
  <c r="FQ6" i="15"/>
  <c r="FU6" i="15"/>
  <c r="FY6" i="15"/>
  <c r="GC6" i="15"/>
  <c r="GG6" i="15"/>
  <c r="GK6" i="15"/>
  <c r="GO6" i="15"/>
  <c r="GS6" i="15"/>
  <c r="GW6" i="15"/>
  <c r="HA6" i="15"/>
  <c r="HE6" i="15"/>
  <c r="HI6" i="15"/>
  <c r="HM6" i="15"/>
  <c r="HQ6" i="15"/>
  <c r="HU6" i="15"/>
  <c r="HY6" i="15"/>
  <c r="IC6" i="15"/>
  <c r="IG6" i="15"/>
  <c r="DU7" i="15"/>
  <c r="DU41" i="17" s="1"/>
  <c r="DU31" i="20" s="1"/>
  <c r="DY7" i="15"/>
  <c r="DY41" i="17" s="1"/>
  <c r="DY31" i="20" s="1"/>
  <c r="EC7" i="15"/>
  <c r="EC41" i="17" s="1"/>
  <c r="EC31" i="20" s="1"/>
  <c r="EG7" i="15"/>
  <c r="EG41" i="17" s="1"/>
  <c r="EG31" i="20" s="1"/>
  <c r="EK7" i="15"/>
  <c r="EK41" i="17" s="1"/>
  <c r="EK31" i="20" s="1"/>
  <c r="EO7" i="15"/>
  <c r="EO41" i="17" s="1"/>
  <c r="EO31" i="20" s="1"/>
  <c r="ES7" i="15"/>
  <c r="ES41" i="17" s="1"/>
  <c r="ES31" i="20" s="1"/>
  <c r="EW7" i="15"/>
  <c r="EW41" i="17" s="1"/>
  <c r="EW31" i="20" s="1"/>
  <c r="FA7" i="15"/>
  <c r="FA41" i="17" s="1"/>
  <c r="FA31" i="20" s="1"/>
  <c r="FE7" i="15"/>
  <c r="FE41" i="17" s="1"/>
  <c r="FE31" i="20" s="1"/>
  <c r="FI7" i="15"/>
  <c r="FI41" i="17" s="1"/>
  <c r="FI31" i="20" s="1"/>
  <c r="FM7" i="15"/>
  <c r="FM41" i="17" s="1"/>
  <c r="FM31" i="20" s="1"/>
  <c r="FQ7" i="15"/>
  <c r="FQ41" i="17" s="1"/>
  <c r="FQ31" i="20" s="1"/>
  <c r="FU7" i="15"/>
  <c r="FU41" i="17" s="1"/>
  <c r="FU31" i="20" s="1"/>
  <c r="FY7" i="15"/>
  <c r="FY41" i="17" s="1"/>
  <c r="FY31" i="20" s="1"/>
  <c r="GC7" i="15"/>
  <c r="GC41" i="17" s="1"/>
  <c r="GC31" i="20" s="1"/>
  <c r="GG7" i="15"/>
  <c r="GG41" i="17" s="1"/>
  <c r="GG31" i="20" s="1"/>
  <c r="GK7" i="15"/>
  <c r="GK41" i="17" s="1"/>
  <c r="GK31" i="20" s="1"/>
  <c r="GO7" i="15"/>
  <c r="GO41" i="17" s="1"/>
  <c r="GO31" i="20" s="1"/>
  <c r="GS7" i="15"/>
  <c r="GS41" i="17" s="1"/>
  <c r="GS31" i="20" s="1"/>
  <c r="GW7" i="15"/>
  <c r="GW41" i="17" s="1"/>
  <c r="GW31" i="20" s="1"/>
  <c r="HA7" i="15"/>
  <c r="HA41" i="17" s="1"/>
  <c r="HA31" i="20" s="1"/>
  <c r="HE7" i="15"/>
  <c r="HE41" i="17" s="1"/>
  <c r="HE31" i="20" s="1"/>
  <c r="HI7" i="15"/>
  <c r="HI41" i="17" s="1"/>
  <c r="HI31" i="20" s="1"/>
  <c r="HM7" i="15"/>
  <c r="HM41" i="17" s="1"/>
  <c r="HM31" i="20" s="1"/>
  <c r="HQ7" i="15"/>
  <c r="HQ41" i="17" s="1"/>
  <c r="HQ31" i="20" s="1"/>
  <c r="HU7" i="15"/>
  <c r="HU41" i="17" s="1"/>
  <c r="HU31" i="20" s="1"/>
  <c r="HY7" i="15"/>
  <c r="HY41" i="17" s="1"/>
  <c r="HY31" i="20" s="1"/>
  <c r="IC7" i="15"/>
  <c r="IC41" i="17" s="1"/>
  <c r="IC31" i="20" s="1"/>
  <c r="IG7" i="15"/>
  <c r="IG41" i="17" s="1"/>
  <c r="IG31" i="20" s="1"/>
  <c r="V18" i="7"/>
  <c r="J17" i="41" s="1"/>
  <c r="X18" i="7"/>
  <c r="L17" i="41" s="1"/>
  <c r="Z18" i="7"/>
  <c r="N17" i="41" s="1"/>
  <c r="S8" i="7"/>
  <c r="G7" i="41" s="1"/>
  <c r="Y8" i="7"/>
  <c r="M7" i="41" s="1"/>
  <c r="W8" i="7"/>
  <c r="K7" i="41" s="1"/>
  <c r="U8" i="7"/>
  <c r="S5" i="7"/>
  <c r="G4" i="41" s="1"/>
  <c r="U5" i="7"/>
  <c r="W5" i="7"/>
  <c r="K4" i="41" s="1"/>
  <c r="Y5" i="7"/>
  <c r="M4" i="41" s="1"/>
  <c r="B57" i="1"/>
  <c r="R5" i="7"/>
  <c r="V19" i="7"/>
  <c r="J18" i="41" s="1"/>
  <c r="X19" i="7"/>
  <c r="L18" i="41" s="1"/>
  <c r="F3" i="9"/>
  <c r="G3" i="9" s="1"/>
  <c r="T13" i="7"/>
  <c r="H12" i="41" s="1"/>
  <c r="X14" i="7"/>
  <c r="L13" i="41" s="1"/>
  <c r="Z14" i="7"/>
  <c r="N13" i="41" s="1"/>
  <c r="D20" i="11"/>
  <c r="R16" i="7"/>
  <c r="O12" i="7"/>
  <c r="E11" i="41" s="1"/>
  <c r="O16" i="7"/>
  <c r="E15" i="41" s="1"/>
  <c r="U3" i="7"/>
  <c r="W3" i="7"/>
  <c r="K2" i="41" s="1"/>
  <c r="Y3" i="7"/>
  <c r="M2" i="41" s="1"/>
  <c r="S3" i="7"/>
  <c r="G2" i="41" s="1"/>
  <c r="U9" i="7"/>
  <c r="S9" i="7"/>
  <c r="G8" i="41" s="1"/>
  <c r="Y9" i="7"/>
  <c r="M8" i="41" s="1"/>
  <c r="W9" i="7"/>
  <c r="K8" i="41" s="1"/>
  <c r="U6" i="7"/>
  <c r="S6" i="7"/>
  <c r="G5" i="41" s="1"/>
  <c r="Y6" i="7"/>
  <c r="M5" i="41" s="1"/>
  <c r="W6" i="7"/>
  <c r="K5" i="41" s="1"/>
  <c r="GA8" i="16"/>
  <c r="DV6" i="15"/>
  <c r="DZ6" i="15"/>
  <c r="ED6" i="15"/>
  <c r="EH6" i="15"/>
  <c r="EL6" i="15"/>
  <c r="EP6" i="15"/>
  <c r="ET6" i="15"/>
  <c r="EX6" i="15"/>
  <c r="FB6" i="15"/>
  <c r="FF6" i="15"/>
  <c r="FJ6" i="15"/>
  <c r="FN6" i="15"/>
  <c r="FR6" i="15"/>
  <c r="FV6" i="15"/>
  <c r="FZ6" i="15"/>
  <c r="GD6" i="15"/>
  <c r="GH6" i="15"/>
  <c r="GL6" i="15"/>
  <c r="GP6" i="15"/>
  <c r="GT6" i="15"/>
  <c r="GX6" i="15"/>
  <c r="HB6" i="15"/>
  <c r="HF6" i="15"/>
  <c r="HJ6" i="15"/>
  <c r="HN6" i="15"/>
  <c r="HR6" i="15"/>
  <c r="HV6" i="15"/>
  <c r="HZ6" i="15"/>
  <c r="ID6" i="15"/>
  <c r="IH6" i="15"/>
  <c r="DV7" i="15"/>
  <c r="DV41" i="17" s="1"/>
  <c r="DV31" i="20" s="1"/>
  <c r="DZ7" i="15"/>
  <c r="DZ41" i="17" s="1"/>
  <c r="DZ31" i="20" s="1"/>
  <c r="ED7" i="15"/>
  <c r="ED41" i="17" s="1"/>
  <c r="ED31" i="20" s="1"/>
  <c r="EH7" i="15"/>
  <c r="EH41" i="17" s="1"/>
  <c r="EH31" i="20" s="1"/>
  <c r="EL7" i="15"/>
  <c r="EL41" i="17" s="1"/>
  <c r="EL31" i="20" s="1"/>
  <c r="EP7" i="15"/>
  <c r="EP41" i="17" s="1"/>
  <c r="EP31" i="20" s="1"/>
  <c r="ET7" i="15"/>
  <c r="ET41" i="17" s="1"/>
  <c r="ET31" i="20" s="1"/>
  <c r="EX7" i="15"/>
  <c r="EX41" i="17" s="1"/>
  <c r="EX31" i="20" s="1"/>
  <c r="FB7" i="15"/>
  <c r="FB41" i="17" s="1"/>
  <c r="FB31" i="20" s="1"/>
  <c r="FF7" i="15"/>
  <c r="FF41" i="17" s="1"/>
  <c r="FF31" i="20" s="1"/>
  <c r="FJ7" i="15"/>
  <c r="FJ41" i="17" s="1"/>
  <c r="FJ31" i="20" s="1"/>
  <c r="FN7" i="15"/>
  <c r="FN41" i="17" s="1"/>
  <c r="FN31" i="20" s="1"/>
  <c r="FR7" i="15"/>
  <c r="FR41" i="17" s="1"/>
  <c r="FR31" i="20" s="1"/>
  <c r="FV7" i="15"/>
  <c r="FV41" i="17" s="1"/>
  <c r="FV31" i="20" s="1"/>
  <c r="FZ7" i="15"/>
  <c r="FZ41" i="17" s="1"/>
  <c r="FZ31" i="20" s="1"/>
  <c r="GD7" i="15"/>
  <c r="GD41" i="17" s="1"/>
  <c r="GD31" i="20" s="1"/>
  <c r="GH7" i="15"/>
  <c r="GH41" i="17" s="1"/>
  <c r="GH31" i="20" s="1"/>
  <c r="GL7" i="15"/>
  <c r="GL41" i="17" s="1"/>
  <c r="GL31" i="20" s="1"/>
  <c r="GP7" i="15"/>
  <c r="GP41" i="17" s="1"/>
  <c r="GP31" i="20" s="1"/>
  <c r="GT7" i="15"/>
  <c r="GT41" i="17" s="1"/>
  <c r="GT31" i="20" s="1"/>
  <c r="GX7" i="15"/>
  <c r="GX41" i="17" s="1"/>
  <c r="GX31" i="20" s="1"/>
  <c r="HB7" i="15"/>
  <c r="HB41" i="17" s="1"/>
  <c r="HB31" i="20" s="1"/>
  <c r="HF7" i="15"/>
  <c r="HF41" i="17" s="1"/>
  <c r="HF31" i="20" s="1"/>
  <c r="HJ7" i="15"/>
  <c r="HJ41" i="17" s="1"/>
  <c r="HJ31" i="20" s="1"/>
  <c r="HN7" i="15"/>
  <c r="HN41" i="17" s="1"/>
  <c r="HN31" i="20" s="1"/>
  <c r="HR7" i="15"/>
  <c r="HR41" i="17" s="1"/>
  <c r="HR31" i="20" s="1"/>
  <c r="HV7" i="15"/>
  <c r="HV41" i="17" s="1"/>
  <c r="HV31" i="20" s="1"/>
  <c r="HZ7" i="15"/>
  <c r="HZ41" i="17" s="1"/>
  <c r="HZ31" i="20" s="1"/>
  <c r="ID7" i="15"/>
  <c r="ID41" i="17" s="1"/>
  <c r="ID31" i="20" s="1"/>
  <c r="IH7" i="15"/>
  <c r="IH41" i="17" s="1"/>
  <c r="IH31" i="20" s="1"/>
  <c r="C29" i="17"/>
  <c r="C19" i="10"/>
  <c r="II19" i="10" s="1"/>
  <c r="II6" i="23"/>
  <c r="F19" i="32"/>
  <c r="S19" i="32"/>
  <c r="FO19" i="17"/>
  <c r="T19" i="32"/>
  <c r="GA19" i="17"/>
  <c r="U19" i="32"/>
  <c r="GM19" i="17"/>
  <c r="V19" i="32"/>
  <c r="GY19" i="17"/>
  <c r="W19" i="32"/>
  <c r="HK19" i="17"/>
  <c r="X19" i="32"/>
  <c r="HW19" i="17"/>
  <c r="D34" i="10"/>
  <c r="F4" i="27"/>
  <c r="V4" i="27"/>
  <c r="AL4" i="27"/>
  <c r="BB4" i="27"/>
  <c r="BR4" i="27"/>
  <c r="CH4" i="27"/>
  <c r="CX4" i="27"/>
  <c r="DN4" i="27"/>
  <c r="ED4" i="27"/>
  <c r="ET4" i="27"/>
  <c r="FJ4" i="27"/>
  <c r="FZ4" i="27"/>
  <c r="GP4" i="27"/>
  <c r="HF4" i="27"/>
  <c r="HV4" i="27"/>
  <c r="F5" i="27"/>
  <c r="GT5" i="27"/>
  <c r="HJ5" i="27"/>
  <c r="HZ5" i="27"/>
  <c r="J6" i="27"/>
  <c r="Z6" i="27"/>
  <c r="HN6" i="27"/>
  <c r="ID6" i="27"/>
  <c r="N7" i="27"/>
  <c r="AD7" i="27"/>
  <c r="HR7" i="27"/>
  <c r="IH7" i="27"/>
  <c r="R8" i="27"/>
  <c r="AH8" i="27"/>
  <c r="AX8" i="27"/>
  <c r="F9" i="27"/>
  <c r="V9" i="27"/>
  <c r="AL9" i="27"/>
  <c r="BB9" i="27"/>
  <c r="J10" i="27"/>
  <c r="Z10" i="27"/>
  <c r="AP10" i="27"/>
  <c r="BF10" i="27"/>
  <c r="BV10" i="27"/>
  <c r="R11" i="27"/>
  <c r="AH11" i="27"/>
  <c r="AX11" i="27"/>
  <c r="BN11" i="27"/>
  <c r="CD11" i="27"/>
  <c r="N12" i="27"/>
  <c r="AD12" i="27"/>
  <c r="AT12" i="27"/>
  <c r="BJ12" i="27"/>
  <c r="BZ12" i="27"/>
  <c r="CP12" i="27"/>
  <c r="N13" i="27"/>
  <c r="AD13" i="27"/>
  <c r="AT13" i="27"/>
  <c r="BJ13" i="27"/>
  <c r="BZ13" i="27"/>
  <c r="CP13" i="27"/>
  <c r="DF13" i="27"/>
  <c r="R14" i="27"/>
  <c r="AH14" i="27"/>
  <c r="AX14" i="27"/>
  <c r="BN14" i="27"/>
  <c r="CD14" i="27"/>
  <c r="CT14" i="27"/>
  <c r="DJ14" i="27"/>
  <c r="J15" i="27"/>
  <c r="Z15" i="27"/>
  <c r="AP15" i="27"/>
  <c r="BF15" i="27"/>
  <c r="BV15" i="27"/>
  <c r="CL15" i="27"/>
  <c r="DB15" i="27"/>
  <c r="DR15" i="27"/>
  <c r="F16" i="27"/>
  <c r="V16" i="27"/>
  <c r="AL16" i="27"/>
  <c r="BB16" i="27"/>
  <c r="BR16" i="27"/>
  <c r="CH16" i="27"/>
  <c r="CX16" i="27"/>
  <c r="DN16" i="27"/>
  <c r="ED16" i="27"/>
  <c r="F17" i="27"/>
  <c r="V17" i="27"/>
  <c r="AL17" i="27"/>
  <c r="BB17" i="27"/>
  <c r="BR17" i="27"/>
  <c r="CH17" i="27"/>
  <c r="CX17" i="27"/>
  <c r="DN17" i="27"/>
  <c r="ED17" i="27"/>
  <c r="ET17" i="27"/>
  <c r="J18" i="27"/>
  <c r="Z18" i="27"/>
  <c r="AP18" i="27"/>
  <c r="BF18" i="27"/>
  <c r="BV18" i="27"/>
  <c r="CL18" i="27"/>
  <c r="DB18" i="27"/>
  <c r="DR18" i="27"/>
  <c r="EH18" i="27"/>
  <c r="EX18" i="27"/>
  <c r="FN18" i="27"/>
  <c r="R19" i="27"/>
  <c r="AH19" i="27"/>
  <c r="AX19" i="27"/>
  <c r="BN19" i="27"/>
  <c r="CD19" i="27"/>
  <c r="CT19" i="27"/>
  <c r="DJ19" i="27"/>
  <c r="DZ19" i="27"/>
  <c r="EP19" i="27"/>
  <c r="FJ19" i="27"/>
  <c r="H20" i="27"/>
  <c r="AC20" i="27"/>
  <c r="AX20" i="27"/>
  <c r="BT20" i="27"/>
  <c r="CO20" i="27"/>
  <c r="DJ20" i="27"/>
  <c r="EF20" i="27"/>
  <c r="FA20" i="27"/>
  <c r="FV20" i="27"/>
  <c r="H21" i="27"/>
  <c r="AC21" i="27"/>
  <c r="AX21" i="27"/>
  <c r="BT21" i="27"/>
  <c r="CO21" i="27"/>
  <c r="DJ21" i="27"/>
  <c r="EF21" i="27"/>
  <c r="FA21" i="27"/>
  <c r="FV21" i="27"/>
  <c r="GR21" i="27"/>
  <c r="Q22" i="27"/>
  <c r="AL22" i="27"/>
  <c r="BH22" i="27"/>
  <c r="CX22" i="27"/>
  <c r="FJ22" i="27"/>
  <c r="N23" i="27"/>
  <c r="BZ23" i="27"/>
  <c r="HX23" i="27"/>
  <c r="HT23" i="27"/>
  <c r="HW23" i="27"/>
  <c r="HS23" i="27"/>
  <c r="HO23" i="27"/>
  <c r="HK23" i="27"/>
  <c r="HG23" i="27"/>
  <c r="HC23" i="27"/>
  <c r="GY23" i="27"/>
  <c r="GU23" i="27"/>
  <c r="GQ23" i="27"/>
  <c r="GM23" i="27"/>
  <c r="GI23" i="27"/>
  <c r="GE23" i="27"/>
  <c r="GA23" i="27"/>
  <c r="FW23" i="27"/>
  <c r="FS23" i="27"/>
  <c r="FO23" i="27"/>
  <c r="FK23" i="27"/>
  <c r="FG23" i="27"/>
  <c r="FC23" i="27"/>
  <c r="EY23" i="27"/>
  <c r="EU23" i="27"/>
  <c r="EQ23" i="27"/>
  <c r="EM23" i="27"/>
  <c r="EI23" i="27"/>
  <c r="EE23" i="27"/>
  <c r="EA23" i="27"/>
  <c r="DW23" i="27"/>
  <c r="DS23" i="27"/>
  <c r="DO23" i="27"/>
  <c r="HV23" i="27"/>
  <c r="HP23" i="27"/>
  <c r="HJ23" i="27"/>
  <c r="HE23" i="27"/>
  <c r="GZ23" i="27"/>
  <c r="GT23" i="27"/>
  <c r="GO23" i="27"/>
  <c r="GJ23" i="27"/>
  <c r="GD23" i="27"/>
  <c r="FY23" i="27"/>
  <c r="FT23" i="27"/>
  <c r="FN23" i="27"/>
  <c r="FI23" i="27"/>
  <c r="FD23" i="27"/>
  <c r="EX23" i="27"/>
  <c r="ES23" i="27"/>
  <c r="EN23" i="27"/>
  <c r="EH23" i="27"/>
  <c r="EC23" i="27"/>
  <c r="DX23" i="27"/>
  <c r="DR23" i="27"/>
  <c r="DM23" i="27"/>
  <c r="DI23" i="27"/>
  <c r="DE23" i="27"/>
  <c r="DA23" i="27"/>
  <c r="CW23" i="27"/>
  <c r="CS23" i="27"/>
  <c r="CO23" i="27"/>
  <c r="CK23" i="27"/>
  <c r="CG23" i="27"/>
  <c r="CC23" i="27"/>
  <c r="BY23" i="27"/>
  <c r="BU23" i="27"/>
  <c r="BQ23" i="27"/>
  <c r="BM23" i="27"/>
  <c r="BI23" i="27"/>
  <c r="BE23" i="27"/>
  <c r="BA23" i="27"/>
  <c r="AW23" i="27"/>
  <c r="AS23" i="27"/>
  <c r="AO23" i="27"/>
  <c r="AK23" i="27"/>
  <c r="AG23" i="27"/>
  <c r="AC23" i="27"/>
  <c r="Y23" i="27"/>
  <c r="U23" i="27"/>
  <c r="Q23" i="27"/>
  <c r="M23" i="27"/>
  <c r="I23" i="27"/>
  <c r="E23" i="27"/>
  <c r="HI22" i="27"/>
  <c r="HE22" i="27"/>
  <c r="HA22" i="27"/>
  <c r="GW22" i="27"/>
  <c r="GS22" i="27"/>
  <c r="GO22" i="27"/>
  <c r="GK22" i="27"/>
  <c r="GG22" i="27"/>
  <c r="GC22" i="27"/>
  <c r="FY22" i="27"/>
  <c r="FU22" i="27"/>
  <c r="FQ22" i="27"/>
  <c r="FM22" i="27"/>
  <c r="FI22" i="27"/>
  <c r="FE22" i="27"/>
  <c r="FA22" i="27"/>
  <c r="EW22" i="27"/>
  <c r="ES22" i="27"/>
  <c r="EO22" i="27"/>
  <c r="EK22" i="27"/>
  <c r="EG22" i="27"/>
  <c r="EC22" i="27"/>
  <c r="DY22" i="27"/>
  <c r="DU22" i="27"/>
  <c r="DQ22" i="27"/>
  <c r="DM22" i="27"/>
  <c r="DI22" i="27"/>
  <c r="DE22" i="27"/>
  <c r="DA22" i="27"/>
  <c r="CW22" i="27"/>
  <c r="CS22" i="27"/>
  <c r="CO22" i="27"/>
  <c r="CK22" i="27"/>
  <c r="CG22" i="27"/>
  <c r="CC22" i="27"/>
  <c r="BY22" i="27"/>
  <c r="BU22" i="27"/>
  <c r="HU23" i="27"/>
  <c r="HN23" i="27"/>
  <c r="HI23" i="27"/>
  <c r="HD23" i="27"/>
  <c r="GX23" i="27"/>
  <c r="GS23" i="27"/>
  <c r="GN23" i="27"/>
  <c r="GH23" i="27"/>
  <c r="GC23" i="27"/>
  <c r="FX23" i="27"/>
  <c r="FR23" i="27"/>
  <c r="FM23" i="27"/>
  <c r="FH23" i="27"/>
  <c r="FB23" i="27"/>
  <c r="EW23" i="27"/>
  <c r="ER23" i="27"/>
  <c r="EL23" i="27"/>
  <c r="EG23" i="27"/>
  <c r="EB23" i="27"/>
  <c r="DV23" i="27"/>
  <c r="DQ23" i="27"/>
  <c r="DL23" i="27"/>
  <c r="DH23" i="27"/>
  <c r="DD23" i="27"/>
  <c r="CZ23" i="27"/>
  <c r="CV23" i="27"/>
  <c r="CR23" i="27"/>
  <c r="CN23" i="27"/>
  <c r="CJ23" i="27"/>
  <c r="CF23" i="27"/>
  <c r="CB23" i="27"/>
  <c r="BX23" i="27"/>
  <c r="BT23" i="27"/>
  <c r="BP23" i="27"/>
  <c r="BL23" i="27"/>
  <c r="BH23" i="27"/>
  <c r="BD23" i="27"/>
  <c r="AZ23" i="27"/>
  <c r="AV23" i="27"/>
  <c r="AR23" i="27"/>
  <c r="AN23" i="27"/>
  <c r="AJ23" i="27"/>
  <c r="AF23" i="27"/>
  <c r="AB23" i="27"/>
  <c r="X23" i="27"/>
  <c r="T23" i="27"/>
  <c r="P23" i="27"/>
  <c r="L23" i="27"/>
  <c r="H23" i="27"/>
  <c r="HL22" i="27"/>
  <c r="HH22" i="27"/>
  <c r="HD22" i="27"/>
  <c r="GZ22" i="27"/>
  <c r="GV22" i="27"/>
  <c r="GR22" i="27"/>
  <c r="GN22" i="27"/>
  <c r="GJ22" i="27"/>
  <c r="GF22" i="27"/>
  <c r="GB22" i="27"/>
  <c r="FX22" i="27"/>
  <c r="FT22" i="27"/>
  <c r="FP22" i="27"/>
  <c r="FL22" i="27"/>
  <c r="FH22" i="27"/>
  <c r="FD22" i="27"/>
  <c r="EZ22" i="27"/>
  <c r="EV22" i="27"/>
  <c r="ER22" i="27"/>
  <c r="EN22" i="27"/>
  <c r="EJ22" i="27"/>
  <c r="EF22" i="27"/>
  <c r="EB22" i="27"/>
  <c r="DX22" i="27"/>
  <c r="DT22" i="27"/>
  <c r="DP22" i="27"/>
  <c r="DL22" i="27"/>
  <c r="DH22" i="27"/>
  <c r="DD22" i="27"/>
  <c r="CZ22" i="27"/>
  <c r="CV22" i="27"/>
  <c r="CR22" i="27"/>
  <c r="CN22" i="27"/>
  <c r="CJ22" i="27"/>
  <c r="CF22" i="27"/>
  <c r="CB22" i="27"/>
  <c r="BX22" i="27"/>
  <c r="BT22" i="27"/>
  <c r="HR23" i="27"/>
  <c r="HM23" i="27"/>
  <c r="HH23" i="27"/>
  <c r="HB23" i="27"/>
  <c r="GW23" i="27"/>
  <c r="GR23" i="27"/>
  <c r="GL23" i="27"/>
  <c r="GG23" i="27"/>
  <c r="GB23" i="27"/>
  <c r="FV23" i="27"/>
  <c r="FQ23" i="27"/>
  <c r="FL23" i="27"/>
  <c r="FF23" i="27"/>
  <c r="FA23" i="27"/>
  <c r="EV23" i="27"/>
  <c r="EP23" i="27"/>
  <c r="EK23" i="27"/>
  <c r="EF23" i="27"/>
  <c r="DZ23" i="27"/>
  <c r="DU23" i="27"/>
  <c r="DP23" i="27"/>
  <c r="DK23" i="27"/>
  <c r="DG23" i="27"/>
  <c r="DC23" i="27"/>
  <c r="CY23" i="27"/>
  <c r="CU23" i="27"/>
  <c r="CQ23" i="27"/>
  <c r="CM23" i="27"/>
  <c r="CI23" i="27"/>
  <c r="CE23" i="27"/>
  <c r="CA23" i="27"/>
  <c r="BW23" i="27"/>
  <c r="BS23" i="27"/>
  <c r="BO23" i="27"/>
  <c r="BK23" i="27"/>
  <c r="BG23" i="27"/>
  <c r="BC23" i="27"/>
  <c r="AY23" i="27"/>
  <c r="AU23" i="27"/>
  <c r="AQ23" i="27"/>
  <c r="AM23" i="27"/>
  <c r="AI23" i="27"/>
  <c r="AE23" i="27"/>
  <c r="AA23" i="27"/>
  <c r="W23" i="27"/>
  <c r="S23" i="27"/>
  <c r="O23" i="27"/>
  <c r="K23" i="27"/>
  <c r="G23" i="27"/>
  <c r="HK22" i="27"/>
  <c r="HG22" i="27"/>
  <c r="HC22" i="27"/>
  <c r="GY22" i="27"/>
  <c r="GU22" i="27"/>
  <c r="GQ22" i="27"/>
  <c r="GM22" i="27"/>
  <c r="GI22" i="27"/>
  <c r="GE22" i="27"/>
  <c r="GA22" i="27"/>
  <c r="FW22" i="27"/>
  <c r="FS22" i="27"/>
  <c r="FO22" i="27"/>
  <c r="FK22" i="27"/>
  <c r="FG22" i="27"/>
  <c r="FC22" i="27"/>
  <c r="EY22" i="27"/>
  <c r="EU22" i="27"/>
  <c r="EQ22" i="27"/>
  <c r="EM22" i="27"/>
  <c r="EI22" i="27"/>
  <c r="EE22" i="27"/>
  <c r="EA22" i="27"/>
  <c r="DW22" i="27"/>
  <c r="DS22" i="27"/>
  <c r="DO22" i="27"/>
  <c r="DK22" i="27"/>
  <c r="DG22" i="27"/>
  <c r="DC22" i="27"/>
  <c r="CY22" i="27"/>
  <c r="CU22" i="27"/>
  <c r="CQ22" i="27"/>
  <c r="CM22" i="27"/>
  <c r="CI22" i="27"/>
  <c r="CE22" i="27"/>
  <c r="CA22" i="27"/>
  <c r="BW22" i="27"/>
  <c r="BS22" i="27"/>
  <c r="BO22" i="27"/>
  <c r="BK22" i="27"/>
  <c r="BG22" i="27"/>
  <c r="BC22" i="27"/>
  <c r="AY22" i="27"/>
  <c r="AU22" i="27"/>
  <c r="AQ22" i="27"/>
  <c r="AM22" i="27"/>
  <c r="AI22" i="27"/>
  <c r="AE22" i="27"/>
  <c r="AA22" i="27"/>
  <c r="W22" i="27"/>
  <c r="S22" i="27"/>
  <c r="O22" i="27"/>
  <c r="K22" i="27"/>
  <c r="G22" i="27"/>
  <c r="GY21" i="27"/>
  <c r="GU21" i="27"/>
  <c r="GQ21" i="27"/>
  <c r="GM21" i="27"/>
  <c r="GI21" i="27"/>
  <c r="GE21" i="27"/>
  <c r="GA21" i="27"/>
  <c r="FW21" i="27"/>
  <c r="FS21" i="27"/>
  <c r="FO21" i="27"/>
  <c r="FK21" i="27"/>
  <c r="FG21" i="27"/>
  <c r="FC21" i="27"/>
  <c r="EY21" i="27"/>
  <c r="EU21" i="27"/>
  <c r="EQ21" i="27"/>
  <c r="EM21" i="27"/>
  <c r="EI21" i="27"/>
  <c r="EE21" i="27"/>
  <c r="EA21" i="27"/>
  <c r="DW21" i="27"/>
  <c r="DS21" i="27"/>
  <c r="DO21" i="27"/>
  <c r="DK21" i="27"/>
  <c r="DG21" i="27"/>
  <c r="DC21" i="27"/>
  <c r="CY21" i="27"/>
  <c r="CU21" i="27"/>
  <c r="CQ21" i="27"/>
  <c r="CM21" i="27"/>
  <c r="CI21" i="27"/>
  <c r="CE21" i="27"/>
  <c r="CA21" i="27"/>
  <c r="BW21" i="27"/>
  <c r="BS21" i="27"/>
  <c r="BO21" i="27"/>
  <c r="BK21" i="27"/>
  <c r="BG21" i="27"/>
  <c r="BC21" i="27"/>
  <c r="AY21" i="27"/>
  <c r="AU21" i="27"/>
  <c r="AQ21" i="27"/>
  <c r="AM21" i="27"/>
  <c r="AI21" i="27"/>
  <c r="AE21" i="27"/>
  <c r="AA21" i="27"/>
  <c r="W21" i="27"/>
  <c r="S21" i="27"/>
  <c r="O21" i="27"/>
  <c r="K21" i="27"/>
  <c r="G21" i="27"/>
  <c r="GM20" i="27"/>
  <c r="GI20" i="27"/>
  <c r="GE20" i="27"/>
  <c r="GA20" i="27"/>
  <c r="FW20" i="27"/>
  <c r="FS20" i="27"/>
  <c r="FO20" i="27"/>
  <c r="FK20" i="27"/>
  <c r="FG20" i="27"/>
  <c r="FC20" i="27"/>
  <c r="EY20" i="27"/>
  <c r="EU20" i="27"/>
  <c r="EQ20" i="27"/>
  <c r="EM20" i="27"/>
  <c r="EI20" i="27"/>
  <c r="EE20" i="27"/>
  <c r="EA20" i="27"/>
  <c r="DW20" i="27"/>
  <c r="DS20" i="27"/>
  <c r="DO20" i="27"/>
  <c r="DK20" i="27"/>
  <c r="DG20" i="27"/>
  <c r="DC20" i="27"/>
  <c r="CY20" i="27"/>
  <c r="CU20" i="27"/>
  <c r="CQ20" i="27"/>
  <c r="CM20" i="27"/>
  <c r="CI20" i="27"/>
  <c r="CE20" i="27"/>
  <c r="CA20" i="27"/>
  <c r="BW20" i="27"/>
  <c r="BS20" i="27"/>
  <c r="BO20" i="27"/>
  <c r="BK20" i="27"/>
  <c r="BG20" i="27"/>
  <c r="BC20" i="27"/>
  <c r="AY20" i="27"/>
  <c r="AU20" i="27"/>
  <c r="AQ20" i="27"/>
  <c r="AM20" i="27"/>
  <c r="AI20" i="27"/>
  <c r="AE20" i="27"/>
  <c r="AA20" i="27"/>
  <c r="W20" i="27"/>
  <c r="S20" i="27"/>
  <c r="O20" i="27"/>
  <c r="K20" i="27"/>
  <c r="G20" i="27"/>
  <c r="GA19" i="27"/>
  <c r="FW19" i="27"/>
  <c r="FS19" i="27"/>
  <c r="FO19" i="27"/>
  <c r="FK19" i="27"/>
  <c r="FG19" i="27"/>
  <c r="FC19" i="27"/>
  <c r="EY19" i="27"/>
  <c r="EU19" i="27"/>
  <c r="HA23" i="27"/>
  <c r="GF23" i="27"/>
  <c r="FJ23" i="27"/>
  <c r="EO23" i="27"/>
  <c r="DT23" i="27"/>
  <c r="DB23" i="27"/>
  <c r="CL23" i="27"/>
  <c r="BV23" i="27"/>
  <c r="BF23" i="27"/>
  <c r="AP23" i="27"/>
  <c r="Z23" i="27"/>
  <c r="J23" i="27"/>
  <c r="HB22" i="27"/>
  <c r="GL22" i="27"/>
  <c r="FV22" i="27"/>
  <c r="FF22" i="27"/>
  <c r="EP22" i="27"/>
  <c r="DZ22" i="27"/>
  <c r="DJ22" i="27"/>
  <c r="CT22" i="27"/>
  <c r="CD22" i="27"/>
  <c r="BQ22" i="27"/>
  <c r="BL22" i="27"/>
  <c r="BF22" i="27"/>
  <c r="BA22" i="27"/>
  <c r="AV22" i="27"/>
  <c r="AP22" i="27"/>
  <c r="AK22" i="27"/>
  <c r="AF22" i="27"/>
  <c r="Z22" i="27"/>
  <c r="U22" i="27"/>
  <c r="P22" i="27"/>
  <c r="J22" i="27"/>
  <c r="E22" i="27"/>
  <c r="GV21" i="27"/>
  <c r="GP21" i="27"/>
  <c r="GK21" i="27"/>
  <c r="GF21" i="27"/>
  <c r="FZ21" i="27"/>
  <c r="FU21" i="27"/>
  <c r="FP21" i="27"/>
  <c r="FJ21" i="27"/>
  <c r="FE21" i="27"/>
  <c r="EZ21" i="27"/>
  <c r="ET21" i="27"/>
  <c r="EO21" i="27"/>
  <c r="EJ21" i="27"/>
  <c r="ED21" i="27"/>
  <c r="DY21" i="27"/>
  <c r="DT21" i="27"/>
  <c r="DN21" i="27"/>
  <c r="DI21" i="27"/>
  <c r="DD21" i="27"/>
  <c r="CX21" i="27"/>
  <c r="CS21" i="27"/>
  <c r="CN21" i="27"/>
  <c r="CH21" i="27"/>
  <c r="CC21" i="27"/>
  <c r="BX21" i="27"/>
  <c r="BR21" i="27"/>
  <c r="BM21" i="27"/>
  <c r="BH21" i="27"/>
  <c r="BB21" i="27"/>
  <c r="AW21" i="27"/>
  <c r="AR21" i="27"/>
  <c r="AL21" i="27"/>
  <c r="AG21" i="27"/>
  <c r="AB21" i="27"/>
  <c r="V21" i="27"/>
  <c r="Q21" i="27"/>
  <c r="L21" i="27"/>
  <c r="F21" i="27"/>
  <c r="GK20" i="27"/>
  <c r="GF20" i="27"/>
  <c r="FZ20" i="27"/>
  <c r="FU20" i="27"/>
  <c r="FP20" i="27"/>
  <c r="FJ20" i="27"/>
  <c r="FE20" i="27"/>
  <c r="EZ20" i="27"/>
  <c r="ET20" i="27"/>
  <c r="EO20" i="27"/>
  <c r="EJ20" i="27"/>
  <c r="ED20" i="27"/>
  <c r="DY20" i="27"/>
  <c r="DT20" i="27"/>
  <c r="DN20" i="27"/>
  <c r="DI20" i="27"/>
  <c r="DD20" i="27"/>
  <c r="CX20" i="27"/>
  <c r="CS20" i="27"/>
  <c r="CN20" i="27"/>
  <c r="CH20" i="27"/>
  <c r="CC20" i="27"/>
  <c r="BX20" i="27"/>
  <c r="BR20" i="27"/>
  <c r="BM20" i="27"/>
  <c r="BH20" i="27"/>
  <c r="BB20" i="27"/>
  <c r="AW20" i="27"/>
  <c r="AR20" i="27"/>
  <c r="AL20" i="27"/>
  <c r="AG20" i="27"/>
  <c r="AB20" i="27"/>
  <c r="V20" i="27"/>
  <c r="Q20" i="27"/>
  <c r="L20" i="27"/>
  <c r="F20" i="27"/>
  <c r="FY19" i="27"/>
  <c r="FT19" i="27"/>
  <c r="FN19" i="27"/>
  <c r="FI19" i="27"/>
  <c r="FD19" i="27"/>
  <c r="EX19" i="27"/>
  <c r="ES19" i="27"/>
  <c r="EO19" i="27"/>
  <c r="EK19" i="27"/>
  <c r="EG19" i="27"/>
  <c r="EC19" i="27"/>
  <c r="DY19" i="27"/>
  <c r="DU19" i="27"/>
  <c r="DQ19" i="27"/>
  <c r="DM19" i="27"/>
  <c r="DI19" i="27"/>
  <c r="DE19" i="27"/>
  <c r="DA19" i="27"/>
  <c r="CW19" i="27"/>
  <c r="CS19" i="27"/>
  <c r="CO19" i="27"/>
  <c r="CK19" i="27"/>
  <c r="CG19" i="27"/>
  <c r="CC19" i="27"/>
  <c r="BY19" i="27"/>
  <c r="BU19" i="27"/>
  <c r="BQ19" i="27"/>
  <c r="BM19" i="27"/>
  <c r="BI19" i="27"/>
  <c r="BE19" i="27"/>
  <c r="BA19" i="27"/>
  <c r="AW19" i="27"/>
  <c r="AS19" i="27"/>
  <c r="AO19" i="27"/>
  <c r="AK19" i="27"/>
  <c r="AG19" i="27"/>
  <c r="AC19" i="27"/>
  <c r="Y19" i="27"/>
  <c r="U19" i="27"/>
  <c r="Q19" i="27"/>
  <c r="M19" i="27"/>
  <c r="I19" i="27"/>
  <c r="E19" i="27"/>
  <c r="FM18" i="27"/>
  <c r="FI18" i="27"/>
  <c r="FE18" i="27"/>
  <c r="FA18" i="27"/>
  <c r="EW18" i="27"/>
  <c r="ES18" i="27"/>
  <c r="EO18" i="27"/>
  <c r="EK18" i="27"/>
  <c r="EG18" i="27"/>
  <c r="EC18" i="27"/>
  <c r="DY18" i="27"/>
  <c r="DU18" i="27"/>
  <c r="DQ18" i="27"/>
  <c r="DM18" i="27"/>
  <c r="DI18" i="27"/>
  <c r="DE18" i="27"/>
  <c r="DA18" i="27"/>
  <c r="CW18" i="27"/>
  <c r="CS18" i="27"/>
  <c r="CO18" i="27"/>
  <c r="CK18" i="27"/>
  <c r="CG18" i="27"/>
  <c r="CC18" i="27"/>
  <c r="BY18" i="27"/>
  <c r="BU18" i="27"/>
  <c r="BQ18" i="27"/>
  <c r="BM18" i="27"/>
  <c r="BI18" i="27"/>
  <c r="BE18" i="27"/>
  <c r="BA18" i="27"/>
  <c r="AW18" i="27"/>
  <c r="AS18" i="27"/>
  <c r="AO18" i="27"/>
  <c r="AK18" i="27"/>
  <c r="AG18" i="27"/>
  <c r="AC18" i="27"/>
  <c r="Y18" i="27"/>
  <c r="U18" i="27"/>
  <c r="Q18" i="27"/>
  <c r="M18" i="27"/>
  <c r="I18" i="27"/>
  <c r="E18" i="27"/>
  <c r="FA17" i="27"/>
  <c r="EW17" i="27"/>
  <c r="ES17" i="27"/>
  <c r="EO17" i="27"/>
  <c r="EK17" i="27"/>
  <c r="EG17" i="27"/>
  <c r="EC17" i="27"/>
  <c r="DY17" i="27"/>
  <c r="DU17" i="27"/>
  <c r="DQ17" i="27"/>
  <c r="DM17" i="27"/>
  <c r="DI17" i="27"/>
  <c r="DE17" i="27"/>
  <c r="DA17" i="27"/>
  <c r="CW17" i="27"/>
  <c r="CS17" i="27"/>
  <c r="CO17" i="27"/>
  <c r="CK17" i="27"/>
  <c r="CG17" i="27"/>
  <c r="CC17" i="27"/>
  <c r="BY17" i="27"/>
  <c r="BU17" i="27"/>
  <c r="BQ17" i="27"/>
  <c r="BM17" i="27"/>
  <c r="BI17" i="27"/>
  <c r="BE17" i="27"/>
  <c r="BA17" i="27"/>
  <c r="AW17" i="27"/>
  <c r="AS17" i="27"/>
  <c r="AO17" i="27"/>
  <c r="AK17" i="27"/>
  <c r="AG17" i="27"/>
  <c r="AC17" i="27"/>
  <c r="Y17" i="27"/>
  <c r="U17" i="27"/>
  <c r="Q17" i="27"/>
  <c r="M17" i="27"/>
  <c r="I17" i="27"/>
  <c r="E17" i="27"/>
  <c r="EO16" i="27"/>
  <c r="EK16" i="27"/>
  <c r="EG16" i="27"/>
  <c r="EC16" i="27"/>
  <c r="DY16" i="27"/>
  <c r="DU16" i="27"/>
  <c r="DQ16" i="27"/>
  <c r="DM16" i="27"/>
  <c r="DI16" i="27"/>
  <c r="DE16" i="27"/>
  <c r="DA16" i="27"/>
  <c r="CW16" i="27"/>
  <c r="CS16" i="27"/>
  <c r="CO16" i="27"/>
  <c r="CK16" i="27"/>
  <c r="CG16" i="27"/>
  <c r="CC16" i="27"/>
  <c r="BY16" i="27"/>
  <c r="BU16" i="27"/>
  <c r="BQ16" i="27"/>
  <c r="BM16" i="27"/>
  <c r="BI16" i="27"/>
  <c r="BE16" i="27"/>
  <c r="BA16" i="27"/>
  <c r="AW16" i="27"/>
  <c r="AS16" i="27"/>
  <c r="AO16" i="27"/>
  <c r="AK16" i="27"/>
  <c r="AG16" i="27"/>
  <c r="AC16" i="27"/>
  <c r="Y16" i="27"/>
  <c r="U16" i="27"/>
  <c r="Q16" i="27"/>
  <c r="M16" i="27"/>
  <c r="I16" i="27"/>
  <c r="E16" i="27"/>
  <c r="EC15" i="27"/>
  <c r="DY15" i="27"/>
  <c r="DU15" i="27"/>
  <c r="DQ15" i="27"/>
  <c r="DM15" i="27"/>
  <c r="DI15" i="27"/>
  <c r="DE15" i="27"/>
  <c r="DA15" i="27"/>
  <c r="CW15" i="27"/>
  <c r="CS15" i="27"/>
  <c r="CO15" i="27"/>
  <c r="CK15" i="27"/>
  <c r="CG15" i="27"/>
  <c r="CC15" i="27"/>
  <c r="BY15" i="27"/>
  <c r="BU15" i="27"/>
  <c r="BQ15" i="27"/>
  <c r="BM15" i="27"/>
  <c r="BI15" i="27"/>
  <c r="BE15" i="27"/>
  <c r="BA15" i="27"/>
  <c r="AW15" i="27"/>
  <c r="AS15" i="27"/>
  <c r="AO15" i="27"/>
  <c r="AK15" i="27"/>
  <c r="AG15" i="27"/>
  <c r="AC15" i="27"/>
  <c r="Y15" i="27"/>
  <c r="U15" i="27"/>
  <c r="Q15" i="27"/>
  <c r="M15" i="27"/>
  <c r="I15" i="27"/>
  <c r="E15" i="27"/>
  <c r="DQ14" i="27"/>
  <c r="DM14" i="27"/>
  <c r="DI14" i="27"/>
  <c r="DE14" i="27"/>
  <c r="DA14" i="27"/>
  <c r="CW14" i="27"/>
  <c r="CS14" i="27"/>
  <c r="CO14" i="27"/>
  <c r="CK14" i="27"/>
  <c r="CG14" i="27"/>
  <c r="CC14" i="27"/>
  <c r="BY14" i="27"/>
  <c r="BU14" i="27"/>
  <c r="BQ14" i="27"/>
  <c r="BM14" i="27"/>
  <c r="BI14" i="27"/>
  <c r="BE14" i="27"/>
  <c r="BA14" i="27"/>
  <c r="AW14" i="27"/>
  <c r="AS14" i="27"/>
  <c r="AO14" i="27"/>
  <c r="AK14" i="27"/>
  <c r="AG14" i="27"/>
  <c r="AC14" i="27"/>
  <c r="Y14" i="27"/>
  <c r="U14" i="27"/>
  <c r="Q14" i="27"/>
  <c r="M14" i="27"/>
  <c r="I14" i="27"/>
  <c r="E14" i="27"/>
  <c r="DE13" i="27"/>
  <c r="DA13" i="27"/>
  <c r="CW13" i="27"/>
  <c r="CS13" i="27"/>
  <c r="CO13" i="27"/>
  <c r="CK13" i="27"/>
  <c r="CG13" i="27"/>
  <c r="CC13" i="27"/>
  <c r="BY13" i="27"/>
  <c r="BU13" i="27"/>
  <c r="BQ13" i="27"/>
  <c r="BM13" i="27"/>
  <c r="BI13" i="27"/>
  <c r="BE13" i="27"/>
  <c r="BA13" i="27"/>
  <c r="AW13" i="27"/>
  <c r="AS13" i="27"/>
  <c r="AO13" i="27"/>
  <c r="AK13" i="27"/>
  <c r="AG13" i="27"/>
  <c r="AC13" i="27"/>
  <c r="Y13" i="27"/>
  <c r="U13" i="27"/>
  <c r="Q13" i="27"/>
  <c r="M13" i="27"/>
  <c r="I13" i="27"/>
  <c r="E13" i="27"/>
  <c r="CS12" i="27"/>
  <c r="CO12" i="27"/>
  <c r="CK12" i="27"/>
  <c r="CG12" i="27"/>
  <c r="CC12" i="27"/>
  <c r="BY12" i="27"/>
  <c r="BU12" i="27"/>
  <c r="BQ12" i="27"/>
  <c r="BM12" i="27"/>
  <c r="BI12" i="27"/>
  <c r="BE12" i="27"/>
  <c r="BA12" i="27"/>
  <c r="AW12" i="27"/>
  <c r="AS12" i="27"/>
  <c r="AO12" i="27"/>
  <c r="AK12" i="27"/>
  <c r="AG12" i="27"/>
  <c r="AC12" i="27"/>
  <c r="Y12" i="27"/>
  <c r="U12" i="27"/>
  <c r="Q12" i="27"/>
  <c r="M12" i="27"/>
  <c r="I12" i="27"/>
  <c r="E12" i="27"/>
  <c r="CG11" i="27"/>
  <c r="CC11" i="27"/>
  <c r="BY11" i="27"/>
  <c r="BU11" i="27"/>
  <c r="BQ11" i="27"/>
  <c r="BM11" i="27"/>
  <c r="BI11" i="27"/>
  <c r="BE11" i="27"/>
  <c r="BA11" i="27"/>
  <c r="AW11" i="27"/>
  <c r="AS11" i="27"/>
  <c r="AO11" i="27"/>
  <c r="AK11" i="27"/>
  <c r="AG11" i="27"/>
  <c r="AC11" i="27"/>
  <c r="Y11" i="27"/>
  <c r="U11" i="27"/>
  <c r="Q11" i="27"/>
  <c r="M11" i="27"/>
  <c r="I11" i="27"/>
  <c r="E11" i="27"/>
  <c r="BU10" i="27"/>
  <c r="BQ10" i="27"/>
  <c r="BM10" i="27"/>
  <c r="BI10" i="27"/>
  <c r="BE10" i="27"/>
  <c r="BA10" i="27"/>
  <c r="AW10" i="27"/>
  <c r="AS10" i="27"/>
  <c r="AO10" i="27"/>
  <c r="AK10" i="27"/>
  <c r="AG10" i="27"/>
  <c r="AC10" i="27"/>
  <c r="Y10" i="27"/>
  <c r="U10" i="27"/>
  <c r="Q10" i="27"/>
  <c r="M10" i="27"/>
  <c r="I10" i="27"/>
  <c r="E10" i="27"/>
  <c r="BI9" i="27"/>
  <c r="BE9" i="27"/>
  <c r="BA9" i="27"/>
  <c r="AW9" i="27"/>
  <c r="AS9" i="27"/>
  <c r="AO9" i="27"/>
  <c r="AK9" i="27"/>
  <c r="AG9" i="27"/>
  <c r="AC9" i="27"/>
  <c r="Y9" i="27"/>
  <c r="U9" i="27"/>
  <c r="Q9" i="27"/>
  <c r="M9" i="27"/>
  <c r="I9" i="27"/>
  <c r="E9" i="27"/>
  <c r="IG8" i="27"/>
  <c r="IC8" i="27"/>
  <c r="HY8" i="27"/>
  <c r="AW8" i="27"/>
  <c r="AS8" i="27"/>
  <c r="AO8" i="27"/>
  <c r="AK8" i="27"/>
  <c r="AG8" i="27"/>
  <c r="AC8" i="27"/>
  <c r="Y8" i="27"/>
  <c r="U8" i="27"/>
  <c r="Q8" i="27"/>
  <c r="M8" i="27"/>
  <c r="I8" i="27"/>
  <c r="E8" i="27"/>
  <c r="IG7" i="27"/>
  <c r="IC7" i="27"/>
  <c r="HY7" i="27"/>
  <c r="HU7" i="27"/>
  <c r="HQ7" i="27"/>
  <c r="HM7" i="27"/>
  <c r="AK7" i="27"/>
  <c r="AG7" i="27"/>
  <c r="AC7" i="27"/>
  <c r="Y7" i="27"/>
  <c r="U7" i="27"/>
  <c r="Q7" i="27"/>
  <c r="M7" i="27"/>
  <c r="I7" i="27"/>
  <c r="E7" i="27"/>
  <c r="IG6" i="27"/>
  <c r="IC6" i="27"/>
  <c r="HY6" i="27"/>
  <c r="HU6" i="27"/>
  <c r="HQ6" i="27"/>
  <c r="HM6" i="27"/>
  <c r="HI6" i="27"/>
  <c r="HE6" i="27"/>
  <c r="HA6" i="27"/>
  <c r="Y6" i="27"/>
  <c r="U6" i="27"/>
  <c r="Q6" i="27"/>
  <c r="M6" i="27"/>
  <c r="I6" i="27"/>
  <c r="E6" i="27"/>
  <c r="IG5" i="27"/>
  <c r="IC5" i="27"/>
  <c r="HY5" i="27"/>
  <c r="HU5" i="27"/>
  <c r="HQ5" i="27"/>
  <c r="HM5" i="27"/>
  <c r="HI5" i="27"/>
  <c r="HE5" i="27"/>
  <c r="HA5" i="27"/>
  <c r="GW5" i="27"/>
  <c r="GS5" i="27"/>
  <c r="GO5" i="27"/>
  <c r="M5" i="27"/>
  <c r="I5" i="27"/>
  <c r="E5" i="27"/>
  <c r="IG4" i="27"/>
  <c r="IC4" i="27"/>
  <c r="HY4" i="27"/>
  <c r="HU4" i="27"/>
  <c r="HQ4" i="27"/>
  <c r="HM4" i="27"/>
  <c r="HI4" i="27"/>
  <c r="HE4" i="27"/>
  <c r="HA4" i="27"/>
  <c r="GW4" i="27"/>
  <c r="GS4" i="27"/>
  <c r="GO4" i="27"/>
  <c r="GK4" i="27"/>
  <c r="GG4" i="27"/>
  <c r="GC4" i="27"/>
  <c r="FY4" i="27"/>
  <c r="FU4" i="27"/>
  <c r="FQ4" i="27"/>
  <c r="FM4" i="27"/>
  <c r="FI4" i="27"/>
  <c r="FE4" i="27"/>
  <c r="FA4" i="27"/>
  <c r="EW4" i="27"/>
  <c r="ES4" i="27"/>
  <c r="EO4" i="27"/>
  <c r="EK4" i="27"/>
  <c r="EG4" i="27"/>
  <c r="EC4" i="27"/>
  <c r="DY4" i="27"/>
  <c r="DU4" i="27"/>
  <c r="DQ4" i="27"/>
  <c r="DM4" i="27"/>
  <c r="DI4" i="27"/>
  <c r="DE4" i="27"/>
  <c r="DA4" i="27"/>
  <c r="CW4" i="27"/>
  <c r="CS4" i="27"/>
  <c r="CO4" i="27"/>
  <c r="CK4" i="27"/>
  <c r="CG4" i="27"/>
  <c r="CC4" i="27"/>
  <c r="BY4" i="27"/>
  <c r="BU4" i="27"/>
  <c r="BQ4" i="27"/>
  <c r="BM4" i="27"/>
  <c r="BI4" i="27"/>
  <c r="BE4" i="27"/>
  <c r="BA4" i="27"/>
  <c r="AW4" i="27"/>
  <c r="AS4" i="27"/>
  <c r="AO4" i="27"/>
  <c r="AK4" i="27"/>
  <c r="AG4" i="27"/>
  <c r="AC4" i="27"/>
  <c r="Y4" i="27"/>
  <c r="U4" i="27"/>
  <c r="Q4" i="27"/>
  <c r="M4" i="27"/>
  <c r="I4" i="27"/>
  <c r="E4" i="27"/>
  <c r="HQ23" i="27"/>
  <c r="GV23" i="27"/>
  <c r="FZ23" i="27"/>
  <c r="FE23" i="27"/>
  <c r="EJ23" i="27"/>
  <c r="DN23" i="27"/>
  <c r="CX23" i="27"/>
  <c r="CH23" i="27"/>
  <c r="BR23" i="27"/>
  <c r="BB23" i="27"/>
  <c r="AL23" i="27"/>
  <c r="V23" i="27"/>
  <c r="F23" i="27"/>
  <c r="GX22" i="27"/>
  <c r="GH22" i="27"/>
  <c r="FR22" i="27"/>
  <c r="FB22" i="27"/>
  <c r="EL22" i="27"/>
  <c r="DV22" i="27"/>
  <c r="DF22" i="27"/>
  <c r="CP22" i="27"/>
  <c r="BZ22" i="27"/>
  <c r="BP22" i="27"/>
  <c r="BJ22" i="27"/>
  <c r="BE22" i="27"/>
  <c r="AZ22" i="27"/>
  <c r="AT22" i="27"/>
  <c r="AO22" i="27"/>
  <c r="AJ22" i="27"/>
  <c r="AD22" i="27"/>
  <c r="Y22" i="27"/>
  <c r="T22" i="27"/>
  <c r="N22" i="27"/>
  <c r="I22" i="27"/>
  <c r="GZ21" i="27"/>
  <c r="GT21" i="27"/>
  <c r="GO21" i="27"/>
  <c r="GJ21" i="27"/>
  <c r="GD21" i="27"/>
  <c r="FY21" i="27"/>
  <c r="FT21" i="27"/>
  <c r="FN21" i="27"/>
  <c r="FI21" i="27"/>
  <c r="FD21" i="27"/>
  <c r="EX21" i="27"/>
  <c r="ES21" i="27"/>
  <c r="EN21" i="27"/>
  <c r="EH21" i="27"/>
  <c r="EC21" i="27"/>
  <c r="DX21" i="27"/>
  <c r="DR21" i="27"/>
  <c r="DM21" i="27"/>
  <c r="DH21" i="27"/>
  <c r="DB21" i="27"/>
  <c r="CW21" i="27"/>
  <c r="CR21" i="27"/>
  <c r="CL21" i="27"/>
  <c r="CG21" i="27"/>
  <c r="CB21" i="27"/>
  <c r="BV21" i="27"/>
  <c r="BQ21" i="27"/>
  <c r="BL21" i="27"/>
  <c r="BF21" i="27"/>
  <c r="BA21" i="27"/>
  <c r="AV21" i="27"/>
  <c r="AP21" i="27"/>
  <c r="AK21" i="27"/>
  <c r="AF21" i="27"/>
  <c r="Z21" i="27"/>
  <c r="U21" i="27"/>
  <c r="P21" i="27"/>
  <c r="J21" i="27"/>
  <c r="E21" i="27"/>
  <c r="GJ20" i="27"/>
  <c r="GD20" i="27"/>
  <c r="FY20" i="27"/>
  <c r="FT20" i="27"/>
  <c r="FN20" i="27"/>
  <c r="FI20" i="27"/>
  <c r="FD20" i="27"/>
  <c r="EX20" i="27"/>
  <c r="ES20" i="27"/>
  <c r="EN20" i="27"/>
  <c r="EH20" i="27"/>
  <c r="EC20" i="27"/>
  <c r="DX20" i="27"/>
  <c r="DR20" i="27"/>
  <c r="DM20" i="27"/>
  <c r="DH20" i="27"/>
  <c r="DB20" i="27"/>
  <c r="CW20" i="27"/>
  <c r="CR20" i="27"/>
  <c r="CL20" i="27"/>
  <c r="CG20" i="27"/>
  <c r="CB20" i="27"/>
  <c r="BV20" i="27"/>
  <c r="BQ20" i="27"/>
  <c r="BL20" i="27"/>
  <c r="BF20" i="27"/>
  <c r="BA20" i="27"/>
  <c r="AV20" i="27"/>
  <c r="AP20" i="27"/>
  <c r="AK20" i="27"/>
  <c r="AF20" i="27"/>
  <c r="Z20" i="27"/>
  <c r="U20" i="27"/>
  <c r="P20" i="27"/>
  <c r="J20" i="27"/>
  <c r="E20" i="27"/>
  <c r="FX19" i="27"/>
  <c r="FR19" i="27"/>
  <c r="FM19" i="27"/>
  <c r="FH19" i="27"/>
  <c r="FB19" i="27"/>
  <c r="EW19" i="27"/>
  <c r="ER19" i="27"/>
  <c r="EN19" i="27"/>
  <c r="EJ19" i="27"/>
  <c r="EF19" i="27"/>
  <c r="EB19" i="27"/>
  <c r="DX19" i="27"/>
  <c r="DT19" i="27"/>
  <c r="DP19" i="27"/>
  <c r="DL19" i="27"/>
  <c r="DH19" i="27"/>
  <c r="DD19" i="27"/>
  <c r="CZ19" i="27"/>
  <c r="CV19" i="27"/>
  <c r="CR19" i="27"/>
  <c r="CN19" i="27"/>
  <c r="CJ19" i="27"/>
  <c r="CF19" i="27"/>
  <c r="CB19" i="27"/>
  <c r="BX19" i="27"/>
  <c r="BT19" i="27"/>
  <c r="BP19" i="27"/>
  <c r="BL19" i="27"/>
  <c r="BH19" i="27"/>
  <c r="BD19" i="27"/>
  <c r="AZ19" i="27"/>
  <c r="AV19" i="27"/>
  <c r="AR19" i="27"/>
  <c r="AN19" i="27"/>
  <c r="AJ19" i="27"/>
  <c r="AF19" i="27"/>
  <c r="AB19" i="27"/>
  <c r="X19" i="27"/>
  <c r="T19" i="27"/>
  <c r="P19" i="27"/>
  <c r="L19" i="27"/>
  <c r="H19" i="27"/>
  <c r="FP18" i="27"/>
  <c r="FL18" i="27"/>
  <c r="FH18" i="27"/>
  <c r="FD18" i="27"/>
  <c r="EZ18" i="27"/>
  <c r="EV18" i="27"/>
  <c r="ER18" i="27"/>
  <c r="EN18" i="27"/>
  <c r="EJ18" i="27"/>
  <c r="EF18" i="27"/>
  <c r="EB18" i="27"/>
  <c r="DX18" i="27"/>
  <c r="DT18" i="27"/>
  <c r="DP18" i="27"/>
  <c r="DL18" i="27"/>
  <c r="DH18" i="27"/>
  <c r="DD18" i="27"/>
  <c r="CZ18" i="27"/>
  <c r="CV18" i="27"/>
  <c r="CR18" i="27"/>
  <c r="CN18" i="27"/>
  <c r="CJ18" i="27"/>
  <c r="CF18" i="27"/>
  <c r="CB18" i="27"/>
  <c r="BX18" i="27"/>
  <c r="BT18" i="27"/>
  <c r="BP18" i="27"/>
  <c r="BL18" i="27"/>
  <c r="BH18" i="27"/>
  <c r="BD18" i="27"/>
  <c r="AZ18" i="27"/>
  <c r="AV18" i="27"/>
  <c r="AR18" i="27"/>
  <c r="AN18" i="27"/>
  <c r="AJ18" i="27"/>
  <c r="AF18" i="27"/>
  <c r="AB18" i="27"/>
  <c r="X18" i="27"/>
  <c r="T18" i="27"/>
  <c r="P18" i="27"/>
  <c r="L18" i="27"/>
  <c r="H18" i="27"/>
  <c r="FD17" i="27"/>
  <c r="EZ17" i="27"/>
  <c r="EV17" i="27"/>
  <c r="ER17" i="27"/>
  <c r="EN17" i="27"/>
  <c r="EJ17" i="27"/>
  <c r="EF17" i="27"/>
  <c r="EB17" i="27"/>
  <c r="DX17" i="27"/>
  <c r="DT17" i="27"/>
  <c r="DP17" i="27"/>
  <c r="DL17" i="27"/>
  <c r="DH17" i="27"/>
  <c r="DD17" i="27"/>
  <c r="CZ17" i="27"/>
  <c r="CV17" i="27"/>
  <c r="CR17" i="27"/>
  <c r="CN17" i="27"/>
  <c r="CJ17" i="27"/>
  <c r="CF17" i="27"/>
  <c r="CB17" i="27"/>
  <c r="BX17" i="27"/>
  <c r="BT17" i="27"/>
  <c r="BP17" i="27"/>
  <c r="BL17" i="27"/>
  <c r="BH17" i="27"/>
  <c r="BD17" i="27"/>
  <c r="AZ17" i="27"/>
  <c r="AV17" i="27"/>
  <c r="AR17" i="27"/>
  <c r="AN17" i="27"/>
  <c r="AJ17" i="27"/>
  <c r="AF17" i="27"/>
  <c r="AB17" i="27"/>
  <c r="X17" i="27"/>
  <c r="T17" i="27"/>
  <c r="P17" i="27"/>
  <c r="L17" i="27"/>
  <c r="H17" i="27"/>
  <c r="ER16" i="27"/>
  <c r="EN16" i="27"/>
  <c r="EJ16" i="27"/>
  <c r="EF16" i="27"/>
  <c r="EB16" i="27"/>
  <c r="DX16" i="27"/>
  <c r="DT16" i="27"/>
  <c r="DP16" i="27"/>
  <c r="DL16" i="27"/>
  <c r="DH16" i="27"/>
  <c r="DD16" i="27"/>
  <c r="CZ16" i="27"/>
  <c r="CV16" i="27"/>
  <c r="CR16" i="27"/>
  <c r="CN16" i="27"/>
  <c r="CJ16" i="27"/>
  <c r="CF16" i="27"/>
  <c r="CB16" i="27"/>
  <c r="BX16" i="27"/>
  <c r="BT16" i="27"/>
  <c r="BP16" i="27"/>
  <c r="BL16" i="27"/>
  <c r="BH16" i="27"/>
  <c r="BD16" i="27"/>
  <c r="AZ16" i="27"/>
  <c r="AV16" i="27"/>
  <c r="AR16" i="27"/>
  <c r="AN16" i="27"/>
  <c r="AJ16" i="27"/>
  <c r="AF16" i="27"/>
  <c r="AB16" i="27"/>
  <c r="X16" i="27"/>
  <c r="T16" i="27"/>
  <c r="P16" i="27"/>
  <c r="L16" i="27"/>
  <c r="H16" i="27"/>
  <c r="EF15" i="27"/>
  <c r="EB15" i="27"/>
  <c r="DX15" i="27"/>
  <c r="DT15" i="27"/>
  <c r="DP15" i="27"/>
  <c r="DL15" i="27"/>
  <c r="DH15" i="27"/>
  <c r="DD15" i="27"/>
  <c r="CZ15" i="27"/>
  <c r="CV15" i="27"/>
  <c r="CR15" i="27"/>
  <c r="CN15" i="27"/>
  <c r="CJ15" i="27"/>
  <c r="CF15" i="27"/>
  <c r="CB15" i="27"/>
  <c r="BX15" i="27"/>
  <c r="BT15" i="27"/>
  <c r="BP15" i="27"/>
  <c r="BL15" i="27"/>
  <c r="BH15" i="27"/>
  <c r="BD15" i="27"/>
  <c r="AZ15" i="27"/>
  <c r="AV15" i="27"/>
  <c r="AR15" i="27"/>
  <c r="AN15" i="27"/>
  <c r="AJ15" i="27"/>
  <c r="AF15" i="27"/>
  <c r="AB15" i="27"/>
  <c r="X15" i="27"/>
  <c r="T15" i="27"/>
  <c r="P15" i="27"/>
  <c r="L15" i="27"/>
  <c r="H15" i="27"/>
  <c r="DT14" i="27"/>
  <c r="DP14" i="27"/>
  <c r="DL14" i="27"/>
  <c r="DH14" i="27"/>
  <c r="DD14" i="27"/>
  <c r="CZ14" i="27"/>
  <c r="CV14" i="27"/>
  <c r="CR14" i="27"/>
  <c r="CN14" i="27"/>
  <c r="CJ14" i="27"/>
  <c r="CF14" i="27"/>
  <c r="CB14" i="27"/>
  <c r="BX14" i="27"/>
  <c r="BT14" i="27"/>
  <c r="BP14" i="27"/>
  <c r="BL14" i="27"/>
  <c r="BH14" i="27"/>
  <c r="BD14" i="27"/>
  <c r="AZ14" i="27"/>
  <c r="AV14" i="27"/>
  <c r="AR14" i="27"/>
  <c r="AN14" i="27"/>
  <c r="AJ14" i="27"/>
  <c r="AF14" i="27"/>
  <c r="AB14" i="27"/>
  <c r="X14" i="27"/>
  <c r="T14" i="27"/>
  <c r="P14" i="27"/>
  <c r="L14" i="27"/>
  <c r="H14" i="27"/>
  <c r="DH13" i="27"/>
  <c r="DD13" i="27"/>
  <c r="CZ13" i="27"/>
  <c r="CV13" i="27"/>
  <c r="CR13" i="27"/>
  <c r="CN13" i="27"/>
  <c r="CJ13" i="27"/>
  <c r="CF13" i="27"/>
  <c r="CB13" i="27"/>
  <c r="BX13" i="27"/>
  <c r="BT13" i="27"/>
  <c r="BP13" i="27"/>
  <c r="BL13" i="27"/>
  <c r="BH13" i="27"/>
  <c r="BD13" i="27"/>
  <c r="AZ13" i="27"/>
  <c r="AV13" i="27"/>
  <c r="AR13" i="27"/>
  <c r="AN13" i="27"/>
  <c r="AJ13" i="27"/>
  <c r="AF13" i="27"/>
  <c r="AB13" i="27"/>
  <c r="X13" i="27"/>
  <c r="T13" i="27"/>
  <c r="P13" i="27"/>
  <c r="L13" i="27"/>
  <c r="H13" i="27"/>
  <c r="CV12" i="27"/>
  <c r="CR12" i="27"/>
  <c r="CN12" i="27"/>
  <c r="CJ12" i="27"/>
  <c r="CF12" i="27"/>
  <c r="CB12" i="27"/>
  <c r="BX12" i="27"/>
  <c r="BT12" i="27"/>
  <c r="BP12" i="27"/>
  <c r="BL12" i="27"/>
  <c r="BH12" i="27"/>
  <c r="BD12" i="27"/>
  <c r="AZ12" i="27"/>
  <c r="AV12" i="27"/>
  <c r="AR12" i="27"/>
  <c r="AN12" i="27"/>
  <c r="AJ12" i="27"/>
  <c r="AF12" i="27"/>
  <c r="AB12" i="27"/>
  <c r="X12" i="27"/>
  <c r="T12" i="27"/>
  <c r="P12" i="27"/>
  <c r="L12" i="27"/>
  <c r="H12" i="27"/>
  <c r="CJ11" i="27"/>
  <c r="CF11" i="27"/>
  <c r="CB11" i="27"/>
  <c r="BX11" i="27"/>
  <c r="BT11" i="27"/>
  <c r="BP11" i="27"/>
  <c r="BL11" i="27"/>
  <c r="BH11" i="27"/>
  <c r="BD11" i="27"/>
  <c r="AZ11" i="27"/>
  <c r="AV11" i="27"/>
  <c r="AR11" i="27"/>
  <c r="AN11" i="27"/>
  <c r="AJ11" i="27"/>
  <c r="AF11" i="27"/>
  <c r="AB11" i="27"/>
  <c r="X11" i="27"/>
  <c r="T11" i="27"/>
  <c r="P11" i="27"/>
  <c r="L11" i="27"/>
  <c r="H11" i="27"/>
  <c r="BX10" i="27"/>
  <c r="BT10" i="27"/>
  <c r="BP10" i="27"/>
  <c r="BL10" i="27"/>
  <c r="BH10" i="27"/>
  <c r="BD10" i="27"/>
  <c r="AZ10" i="27"/>
  <c r="AV10" i="27"/>
  <c r="AR10" i="27"/>
  <c r="AN10" i="27"/>
  <c r="AJ10" i="27"/>
  <c r="AF10" i="27"/>
  <c r="AB10" i="27"/>
  <c r="X10" i="27"/>
  <c r="T10" i="27"/>
  <c r="P10" i="27"/>
  <c r="L10" i="27"/>
  <c r="H10" i="27"/>
  <c r="BL9" i="27"/>
  <c r="BH9" i="27"/>
  <c r="BD9" i="27"/>
  <c r="AZ9" i="27"/>
  <c r="AV9" i="27"/>
  <c r="AR9" i="27"/>
  <c r="AN9" i="27"/>
  <c r="AJ9" i="27"/>
  <c r="AF9" i="27"/>
  <c r="AB9" i="27"/>
  <c r="X9" i="27"/>
  <c r="T9" i="27"/>
  <c r="P9" i="27"/>
  <c r="L9" i="27"/>
  <c r="H9" i="27"/>
  <c r="IJ8" i="27"/>
  <c r="IF8" i="27"/>
  <c r="IB8" i="27"/>
  <c r="AZ8" i="27"/>
  <c r="AV8" i="27"/>
  <c r="AR8" i="27"/>
  <c r="AN8" i="27"/>
  <c r="AJ8" i="27"/>
  <c r="AF8" i="27"/>
  <c r="AB8" i="27"/>
  <c r="X8" i="27"/>
  <c r="T8" i="27"/>
  <c r="P8" i="27"/>
  <c r="L8" i="27"/>
  <c r="H8" i="27"/>
  <c r="IJ7" i="27"/>
  <c r="IF7" i="27"/>
  <c r="IB7" i="27"/>
  <c r="HX7" i="27"/>
  <c r="HT7" i="27"/>
  <c r="HP7" i="27"/>
  <c r="AN7" i="27"/>
  <c r="AJ7" i="27"/>
  <c r="AF7" i="27"/>
  <c r="AB7" i="27"/>
  <c r="X7" i="27"/>
  <c r="T7" i="27"/>
  <c r="P7" i="27"/>
  <c r="L7" i="27"/>
  <c r="H7" i="27"/>
  <c r="IJ6" i="27"/>
  <c r="IF6" i="27"/>
  <c r="IB6" i="27"/>
  <c r="HX6" i="27"/>
  <c r="HT6" i="27"/>
  <c r="HP6" i="27"/>
  <c r="HL6" i="27"/>
  <c r="HH6" i="27"/>
  <c r="HD6" i="27"/>
  <c r="AB6" i="27"/>
  <c r="X6" i="27"/>
  <c r="T6" i="27"/>
  <c r="P6" i="27"/>
  <c r="L6" i="27"/>
  <c r="H6" i="27"/>
  <c r="IJ5" i="27"/>
  <c r="IF5" i="27"/>
  <c r="IB5" i="27"/>
  <c r="HX5" i="27"/>
  <c r="HT5" i="27"/>
  <c r="HP5" i="27"/>
  <c r="HL5" i="27"/>
  <c r="HH5" i="27"/>
  <c r="HD5" i="27"/>
  <c r="GZ5" i="27"/>
  <c r="GV5" i="27"/>
  <c r="GR5" i="27"/>
  <c r="P5" i="27"/>
  <c r="L5" i="27"/>
  <c r="H5" i="27"/>
  <c r="IJ4" i="27"/>
  <c r="IF4" i="27"/>
  <c r="IB4" i="27"/>
  <c r="HX4" i="27"/>
  <c r="HT4" i="27"/>
  <c r="HP4" i="27"/>
  <c r="HL4" i="27"/>
  <c r="HH4" i="27"/>
  <c r="HD4" i="27"/>
  <c r="GZ4" i="27"/>
  <c r="GV4" i="27"/>
  <c r="GR4" i="27"/>
  <c r="GN4" i="27"/>
  <c r="GJ4" i="27"/>
  <c r="GF4" i="27"/>
  <c r="GB4" i="27"/>
  <c r="FX4" i="27"/>
  <c r="FT4" i="27"/>
  <c r="FP4" i="27"/>
  <c r="FL4" i="27"/>
  <c r="FH4" i="27"/>
  <c r="FD4" i="27"/>
  <c r="EZ4" i="27"/>
  <c r="EV4" i="27"/>
  <c r="ER4" i="27"/>
  <c r="EN4" i="27"/>
  <c r="EJ4" i="27"/>
  <c r="EF4" i="27"/>
  <c r="EB4" i="27"/>
  <c r="DX4" i="27"/>
  <c r="DT4" i="27"/>
  <c r="DP4" i="27"/>
  <c r="DL4" i="27"/>
  <c r="DH4" i="27"/>
  <c r="DD4" i="27"/>
  <c r="CZ4" i="27"/>
  <c r="CV4" i="27"/>
  <c r="CR4" i="27"/>
  <c r="CN4" i="27"/>
  <c r="CJ4" i="27"/>
  <c r="CF4" i="27"/>
  <c r="CB4" i="27"/>
  <c r="BX4" i="27"/>
  <c r="BT4" i="27"/>
  <c r="BP4" i="27"/>
  <c r="BL4" i="27"/>
  <c r="BH4" i="27"/>
  <c r="BD4" i="27"/>
  <c r="AZ4" i="27"/>
  <c r="AV4" i="27"/>
  <c r="AR4" i="27"/>
  <c r="AN4" i="27"/>
  <c r="AJ4" i="27"/>
  <c r="AF4" i="27"/>
  <c r="AB4" i="27"/>
  <c r="X4" i="27"/>
  <c r="T4" i="27"/>
  <c r="P4" i="27"/>
  <c r="L4" i="27"/>
  <c r="H4" i="27"/>
  <c r="HL23" i="27"/>
  <c r="GP23" i="27"/>
  <c r="FU23" i="27"/>
  <c r="EZ23" i="27"/>
  <c r="ED23" i="27"/>
  <c r="DJ23" i="27"/>
  <c r="CT23" i="27"/>
  <c r="CD23" i="27"/>
  <c r="BN23" i="27"/>
  <c r="AX23" i="27"/>
  <c r="AH23" i="27"/>
  <c r="R23" i="27"/>
  <c r="HJ22" i="27"/>
  <c r="GT22" i="27"/>
  <c r="GD22" i="27"/>
  <c r="FN22" i="27"/>
  <c r="EX22" i="27"/>
  <c r="EH22" i="27"/>
  <c r="DR22" i="27"/>
  <c r="DB22" i="27"/>
  <c r="CL22" i="27"/>
  <c r="BV22" i="27"/>
  <c r="BN22" i="27"/>
  <c r="BI22" i="27"/>
  <c r="BD22" i="27"/>
  <c r="AX22" i="27"/>
  <c r="AS22" i="27"/>
  <c r="AN22" i="27"/>
  <c r="AH22" i="27"/>
  <c r="AC22" i="27"/>
  <c r="X22" i="27"/>
  <c r="R22" i="27"/>
  <c r="M22" i="27"/>
  <c r="H22" i="27"/>
  <c r="GX21" i="27"/>
  <c r="GS21" i="27"/>
  <c r="GN21" i="27"/>
  <c r="GH21" i="27"/>
  <c r="GC21" i="27"/>
  <c r="FX21" i="27"/>
  <c r="FR21" i="27"/>
  <c r="FM21" i="27"/>
  <c r="FH21" i="27"/>
  <c r="FB21" i="27"/>
  <c r="EW21" i="27"/>
  <c r="ER21" i="27"/>
  <c r="EL21" i="27"/>
  <c r="EG21" i="27"/>
  <c r="EB21" i="27"/>
  <c r="DV21" i="27"/>
  <c r="DQ21" i="27"/>
  <c r="DL21" i="27"/>
  <c r="DF21" i="27"/>
  <c r="DA21" i="27"/>
  <c r="CV21" i="27"/>
  <c r="CP21" i="27"/>
  <c r="CK21" i="27"/>
  <c r="CF21" i="27"/>
  <c r="BZ21" i="27"/>
  <c r="BU21" i="27"/>
  <c r="BP21" i="27"/>
  <c r="BJ21" i="27"/>
  <c r="BE21" i="27"/>
  <c r="AZ21" i="27"/>
  <c r="AT21" i="27"/>
  <c r="AO21" i="27"/>
  <c r="AJ21" i="27"/>
  <c r="AD21" i="27"/>
  <c r="Y21" i="27"/>
  <c r="T21" i="27"/>
  <c r="N21" i="27"/>
  <c r="I21" i="27"/>
  <c r="GN20" i="27"/>
  <c r="GH20" i="27"/>
  <c r="GC20" i="27"/>
  <c r="FX20" i="27"/>
  <c r="FR20" i="27"/>
  <c r="FM20" i="27"/>
  <c r="FH20" i="27"/>
  <c r="FB20" i="27"/>
  <c r="EW20" i="27"/>
  <c r="ER20" i="27"/>
  <c r="EL20" i="27"/>
  <c r="EG20" i="27"/>
  <c r="EB20" i="27"/>
  <c r="DV20" i="27"/>
  <c r="DQ20" i="27"/>
  <c r="DL20" i="27"/>
  <c r="DF20" i="27"/>
  <c r="DA20" i="27"/>
  <c r="CV20" i="27"/>
  <c r="CP20" i="27"/>
  <c r="CK20" i="27"/>
  <c r="CF20" i="27"/>
  <c r="BZ20" i="27"/>
  <c r="BU20" i="27"/>
  <c r="BP20" i="27"/>
  <c r="BJ20" i="27"/>
  <c r="BE20" i="27"/>
  <c r="AZ20" i="27"/>
  <c r="AT20" i="27"/>
  <c r="AO20" i="27"/>
  <c r="AJ20" i="27"/>
  <c r="AD20" i="27"/>
  <c r="Y20" i="27"/>
  <c r="T20" i="27"/>
  <c r="N20" i="27"/>
  <c r="I20" i="27"/>
  <c r="GB19" i="27"/>
  <c r="FV19" i="27"/>
  <c r="FQ19" i="27"/>
  <c r="FL19" i="27"/>
  <c r="FF19" i="27"/>
  <c r="FA19" i="27"/>
  <c r="EV19" i="27"/>
  <c r="EQ19" i="27"/>
  <c r="EM19" i="27"/>
  <c r="EI19" i="27"/>
  <c r="EE19" i="27"/>
  <c r="EA19" i="27"/>
  <c r="DW19" i="27"/>
  <c r="DS19" i="27"/>
  <c r="DO19" i="27"/>
  <c r="DK19" i="27"/>
  <c r="DG19" i="27"/>
  <c r="DC19" i="27"/>
  <c r="CY19" i="27"/>
  <c r="CU19" i="27"/>
  <c r="CQ19" i="27"/>
  <c r="CM19" i="27"/>
  <c r="CI19" i="27"/>
  <c r="CE19" i="27"/>
  <c r="CA19" i="27"/>
  <c r="BW19" i="27"/>
  <c r="BS19" i="27"/>
  <c r="BO19" i="27"/>
  <c r="BK19" i="27"/>
  <c r="BG19" i="27"/>
  <c r="BC19" i="27"/>
  <c r="AY19" i="27"/>
  <c r="AU19" i="27"/>
  <c r="AQ19" i="27"/>
  <c r="AM19" i="27"/>
  <c r="AI19" i="27"/>
  <c r="AE19" i="27"/>
  <c r="AA19" i="27"/>
  <c r="W19" i="27"/>
  <c r="S19" i="27"/>
  <c r="O19" i="27"/>
  <c r="K19" i="27"/>
  <c r="G19" i="27"/>
  <c r="FO18" i="27"/>
  <c r="FK18" i="27"/>
  <c r="FG18" i="27"/>
  <c r="FC18" i="27"/>
  <c r="EY18" i="27"/>
  <c r="EU18" i="27"/>
  <c r="EQ18" i="27"/>
  <c r="EM18" i="27"/>
  <c r="EI18" i="27"/>
  <c r="EE18" i="27"/>
  <c r="EA18" i="27"/>
  <c r="DW18" i="27"/>
  <c r="DS18" i="27"/>
  <c r="DO18" i="27"/>
  <c r="DK18" i="27"/>
  <c r="DG18" i="27"/>
  <c r="DC18" i="27"/>
  <c r="CY18" i="27"/>
  <c r="CU18" i="27"/>
  <c r="CQ18" i="27"/>
  <c r="CM18" i="27"/>
  <c r="CI18" i="27"/>
  <c r="CE18" i="27"/>
  <c r="CA18" i="27"/>
  <c r="BW18" i="27"/>
  <c r="BS18" i="27"/>
  <c r="BO18" i="27"/>
  <c r="BK18" i="27"/>
  <c r="BG18" i="27"/>
  <c r="BC18" i="27"/>
  <c r="AY18" i="27"/>
  <c r="AU18" i="27"/>
  <c r="AQ18" i="27"/>
  <c r="AM18" i="27"/>
  <c r="AI18" i="27"/>
  <c r="AE18" i="27"/>
  <c r="AA18" i="27"/>
  <c r="W18" i="27"/>
  <c r="S18" i="27"/>
  <c r="O18" i="27"/>
  <c r="K18" i="27"/>
  <c r="G18" i="27"/>
  <c r="FC17" i="27"/>
  <c r="EY17" i="27"/>
  <c r="EU17" i="27"/>
  <c r="EQ17" i="27"/>
  <c r="EM17" i="27"/>
  <c r="EI17" i="27"/>
  <c r="EE17" i="27"/>
  <c r="EA17" i="27"/>
  <c r="DW17" i="27"/>
  <c r="DS17" i="27"/>
  <c r="DO17" i="27"/>
  <c r="DK17" i="27"/>
  <c r="DG17" i="27"/>
  <c r="DC17" i="27"/>
  <c r="CY17" i="27"/>
  <c r="CU17" i="27"/>
  <c r="CQ17" i="27"/>
  <c r="CM17" i="27"/>
  <c r="CI17" i="27"/>
  <c r="CE17" i="27"/>
  <c r="CA17" i="27"/>
  <c r="BW17" i="27"/>
  <c r="BS17" i="27"/>
  <c r="BO17" i="27"/>
  <c r="BK17" i="27"/>
  <c r="BG17" i="27"/>
  <c r="BC17" i="27"/>
  <c r="AY17" i="27"/>
  <c r="AU17" i="27"/>
  <c r="AQ17" i="27"/>
  <c r="AM17" i="27"/>
  <c r="AI17" i="27"/>
  <c r="AE17" i="27"/>
  <c r="AA17" i="27"/>
  <c r="W17" i="27"/>
  <c r="S17" i="27"/>
  <c r="O17" i="27"/>
  <c r="K17" i="27"/>
  <c r="G17" i="27"/>
  <c r="EQ16" i="27"/>
  <c r="EM16" i="27"/>
  <c r="EI16" i="27"/>
  <c r="EE16" i="27"/>
  <c r="EA16" i="27"/>
  <c r="DW16" i="27"/>
  <c r="DS16" i="27"/>
  <c r="DO16" i="27"/>
  <c r="DK16" i="27"/>
  <c r="DG16" i="27"/>
  <c r="DC16" i="27"/>
  <c r="CY16" i="27"/>
  <c r="CU16" i="27"/>
  <c r="CQ16" i="27"/>
  <c r="CM16" i="27"/>
  <c r="CI16" i="27"/>
  <c r="CE16" i="27"/>
  <c r="CA16" i="27"/>
  <c r="BW16" i="27"/>
  <c r="BS16" i="27"/>
  <c r="BO16" i="27"/>
  <c r="BK16" i="27"/>
  <c r="BG16" i="27"/>
  <c r="BC16" i="27"/>
  <c r="AY16" i="27"/>
  <c r="AU16" i="27"/>
  <c r="AQ16" i="27"/>
  <c r="AM16" i="27"/>
  <c r="AI16" i="27"/>
  <c r="AE16" i="27"/>
  <c r="AA16" i="27"/>
  <c r="W16" i="27"/>
  <c r="S16" i="27"/>
  <c r="O16" i="27"/>
  <c r="K16" i="27"/>
  <c r="G16" i="27"/>
  <c r="EE15" i="27"/>
  <c r="EA15" i="27"/>
  <c r="DW15" i="27"/>
  <c r="DS15" i="27"/>
  <c r="DO15" i="27"/>
  <c r="DK15" i="27"/>
  <c r="DG15" i="27"/>
  <c r="DC15" i="27"/>
  <c r="CY15" i="27"/>
  <c r="CU15" i="27"/>
  <c r="CQ15" i="27"/>
  <c r="CM15" i="27"/>
  <c r="CI15" i="27"/>
  <c r="CE15" i="27"/>
  <c r="CA15" i="27"/>
  <c r="BW15" i="27"/>
  <c r="BS15" i="27"/>
  <c r="BO15" i="27"/>
  <c r="BK15" i="27"/>
  <c r="BG15" i="27"/>
  <c r="BC15" i="27"/>
  <c r="AY15" i="27"/>
  <c r="AU15" i="27"/>
  <c r="AQ15" i="27"/>
  <c r="AM15" i="27"/>
  <c r="AI15" i="27"/>
  <c r="AE15" i="27"/>
  <c r="AA15" i="27"/>
  <c r="W15" i="27"/>
  <c r="S15" i="27"/>
  <c r="O15" i="27"/>
  <c r="K15" i="27"/>
  <c r="G15" i="27"/>
  <c r="DS14" i="27"/>
  <c r="DO14" i="27"/>
  <c r="DK14" i="27"/>
  <c r="DG14" i="27"/>
  <c r="DC14" i="27"/>
  <c r="CY14" i="27"/>
  <c r="CU14" i="27"/>
  <c r="CQ14" i="27"/>
  <c r="CM14" i="27"/>
  <c r="CI14" i="27"/>
  <c r="CE14" i="27"/>
  <c r="CA14" i="27"/>
  <c r="BW14" i="27"/>
  <c r="BS14" i="27"/>
  <c r="BO14" i="27"/>
  <c r="BK14" i="27"/>
  <c r="BG14" i="27"/>
  <c r="BC14" i="27"/>
  <c r="AY14" i="27"/>
  <c r="AU14" i="27"/>
  <c r="AQ14" i="27"/>
  <c r="AM14" i="27"/>
  <c r="AI14" i="27"/>
  <c r="AE14" i="27"/>
  <c r="AA14" i="27"/>
  <c r="W14" i="27"/>
  <c r="S14" i="27"/>
  <c r="O14" i="27"/>
  <c r="K14" i="27"/>
  <c r="G14" i="27"/>
  <c r="DG13" i="27"/>
  <c r="DC13" i="27"/>
  <c r="CY13" i="27"/>
  <c r="CU13" i="27"/>
  <c r="CQ13" i="27"/>
  <c r="CM13" i="27"/>
  <c r="CI13" i="27"/>
  <c r="CE13" i="27"/>
  <c r="CA13" i="27"/>
  <c r="BW13" i="27"/>
  <c r="BS13" i="27"/>
  <c r="BO13" i="27"/>
  <c r="BK13" i="27"/>
  <c r="BG13" i="27"/>
  <c r="BC13" i="27"/>
  <c r="AY13" i="27"/>
  <c r="AU13" i="27"/>
  <c r="AQ13" i="27"/>
  <c r="AM13" i="27"/>
  <c r="AI13" i="27"/>
  <c r="AE13" i="27"/>
  <c r="AA13" i="27"/>
  <c r="W13" i="27"/>
  <c r="S13" i="27"/>
  <c r="O13" i="27"/>
  <c r="K13" i="27"/>
  <c r="G13" i="27"/>
  <c r="CU12" i="27"/>
  <c r="CQ12" i="27"/>
  <c r="CM12" i="27"/>
  <c r="CI12" i="27"/>
  <c r="CE12" i="27"/>
  <c r="CA12" i="27"/>
  <c r="BW12" i="27"/>
  <c r="BS12" i="27"/>
  <c r="BO12" i="27"/>
  <c r="BK12" i="27"/>
  <c r="BG12" i="27"/>
  <c r="BC12" i="27"/>
  <c r="AY12" i="27"/>
  <c r="AU12" i="27"/>
  <c r="AQ12" i="27"/>
  <c r="AM12" i="27"/>
  <c r="AI12" i="27"/>
  <c r="AE12" i="27"/>
  <c r="AA12" i="27"/>
  <c r="W12" i="27"/>
  <c r="S12" i="27"/>
  <c r="O12" i="27"/>
  <c r="K12" i="27"/>
  <c r="G12" i="27"/>
  <c r="CI11" i="27"/>
  <c r="CE11" i="27"/>
  <c r="CA11" i="27"/>
  <c r="BW11" i="27"/>
  <c r="BS11" i="27"/>
  <c r="BO11" i="27"/>
  <c r="BK11" i="27"/>
  <c r="BG11" i="27"/>
  <c r="BC11" i="27"/>
  <c r="AY11" i="27"/>
  <c r="AU11" i="27"/>
  <c r="AQ11" i="27"/>
  <c r="AM11" i="27"/>
  <c r="AI11" i="27"/>
  <c r="AE11" i="27"/>
  <c r="AA11" i="27"/>
  <c r="W11" i="27"/>
  <c r="S11" i="27"/>
  <c r="O11" i="27"/>
  <c r="K11" i="27"/>
  <c r="G11" i="27"/>
  <c r="BW10" i="27"/>
  <c r="BS10" i="27"/>
  <c r="BO10" i="27"/>
  <c r="BK10" i="27"/>
  <c r="BG10" i="27"/>
  <c r="BC10" i="27"/>
  <c r="AY10" i="27"/>
  <c r="AU10" i="27"/>
  <c r="AQ10" i="27"/>
  <c r="AM10" i="27"/>
  <c r="AI10" i="27"/>
  <c r="AE10" i="27"/>
  <c r="AA10" i="27"/>
  <c r="W10" i="27"/>
  <c r="S10" i="27"/>
  <c r="O10" i="27"/>
  <c r="K10" i="27"/>
  <c r="G10" i="27"/>
  <c r="BK9" i="27"/>
  <c r="BG9" i="27"/>
  <c r="BC9" i="27"/>
  <c r="AY9" i="27"/>
  <c r="AU9" i="27"/>
  <c r="AQ9" i="27"/>
  <c r="AM9" i="27"/>
  <c r="AI9" i="27"/>
  <c r="AE9" i="27"/>
  <c r="AA9" i="27"/>
  <c r="W9" i="27"/>
  <c r="S9" i="27"/>
  <c r="O9" i="27"/>
  <c r="K9" i="27"/>
  <c r="G9" i="27"/>
  <c r="II8" i="27"/>
  <c r="IE8" i="27"/>
  <c r="IA8" i="27"/>
  <c r="AY8" i="27"/>
  <c r="AU8" i="27"/>
  <c r="AQ8" i="27"/>
  <c r="AM8" i="27"/>
  <c r="AI8" i="27"/>
  <c r="AE8" i="27"/>
  <c r="AA8" i="27"/>
  <c r="W8" i="27"/>
  <c r="S8" i="27"/>
  <c r="O8" i="27"/>
  <c r="K8" i="27"/>
  <c r="G8" i="27"/>
  <c r="II7" i="27"/>
  <c r="IE7" i="27"/>
  <c r="IA7" i="27"/>
  <c r="HW7" i="27"/>
  <c r="HS7" i="27"/>
  <c r="HO7" i="27"/>
  <c r="AM7" i="27"/>
  <c r="AI7" i="27"/>
  <c r="AE7" i="27"/>
  <c r="AA7" i="27"/>
  <c r="W7" i="27"/>
  <c r="S7" i="27"/>
  <c r="O7" i="27"/>
  <c r="K7" i="27"/>
  <c r="G7" i="27"/>
  <c r="II6" i="27"/>
  <c r="IE6" i="27"/>
  <c r="IA6" i="27"/>
  <c r="HW6" i="27"/>
  <c r="HS6" i="27"/>
  <c r="HO6" i="27"/>
  <c r="HK6" i="27"/>
  <c r="HG6" i="27"/>
  <c r="HC6" i="27"/>
  <c r="AA6" i="27"/>
  <c r="W6" i="27"/>
  <c r="S6" i="27"/>
  <c r="O6" i="27"/>
  <c r="K6" i="27"/>
  <c r="G6" i="27"/>
  <c r="II5" i="27"/>
  <c r="IE5" i="27"/>
  <c r="IA5" i="27"/>
  <c r="HW5" i="27"/>
  <c r="HS5" i="27"/>
  <c r="HO5" i="27"/>
  <c r="HK5" i="27"/>
  <c r="HG5" i="27"/>
  <c r="HC5" i="27"/>
  <c r="GY5" i="27"/>
  <c r="GU5" i="27"/>
  <c r="GQ5" i="27"/>
  <c r="O5" i="27"/>
  <c r="K5" i="27"/>
  <c r="G5" i="27"/>
  <c r="II4" i="27"/>
  <c r="IE4" i="27"/>
  <c r="IA4" i="27"/>
  <c r="HW4" i="27"/>
  <c r="HS4" i="27"/>
  <c r="HO4" i="27"/>
  <c r="HK4" i="27"/>
  <c r="HG4" i="27"/>
  <c r="HC4" i="27"/>
  <c r="GY4" i="27"/>
  <c r="GU4" i="27"/>
  <c r="GQ4" i="27"/>
  <c r="GM4" i="27"/>
  <c r="GI4" i="27"/>
  <c r="GE4" i="27"/>
  <c r="GA4" i="27"/>
  <c r="FW4" i="27"/>
  <c r="FS4" i="27"/>
  <c r="FO4" i="27"/>
  <c r="FK4" i="27"/>
  <c r="FG4" i="27"/>
  <c r="FC4" i="27"/>
  <c r="EY4" i="27"/>
  <c r="EU4" i="27"/>
  <c r="EQ4" i="27"/>
  <c r="EM4" i="27"/>
  <c r="EI4" i="27"/>
  <c r="EE4" i="27"/>
  <c r="EA4" i="27"/>
  <c r="DW4" i="27"/>
  <c r="DS4" i="27"/>
  <c r="DO4" i="27"/>
  <c r="DK4" i="27"/>
  <c r="DG4" i="27"/>
  <c r="DC4" i="27"/>
  <c r="CY4" i="27"/>
  <c r="CU4" i="27"/>
  <c r="CQ4" i="27"/>
  <c r="CM4" i="27"/>
  <c r="CI4" i="27"/>
  <c r="CE4" i="27"/>
  <c r="CA4" i="27"/>
  <c r="BW4" i="27"/>
  <c r="BS4" i="27"/>
  <c r="BO4" i="27"/>
  <c r="BK4" i="27"/>
  <c r="BG4" i="27"/>
  <c r="BC4" i="27"/>
  <c r="AY4" i="27"/>
  <c r="AU4" i="27"/>
  <c r="AQ4" i="27"/>
  <c r="AM4" i="27"/>
  <c r="AI4" i="27"/>
  <c r="AE4" i="27"/>
  <c r="AA4" i="27"/>
  <c r="W4" i="27"/>
  <c r="S4" i="27"/>
  <c r="O4" i="27"/>
  <c r="K4" i="27"/>
  <c r="G4" i="27"/>
  <c r="J4" i="27"/>
  <c r="Z4" i="27"/>
  <c r="AP4" i="27"/>
  <c r="BF4" i="27"/>
  <c r="BV4" i="27"/>
  <c r="CL4" i="27"/>
  <c r="DB4" i="27"/>
  <c r="DR4" i="27"/>
  <c r="EH4" i="27"/>
  <c r="EX4" i="27"/>
  <c r="FN4" i="27"/>
  <c r="GD4" i="27"/>
  <c r="GT4" i="27"/>
  <c r="HJ4" i="27"/>
  <c r="HZ4" i="27"/>
  <c r="J5" i="27"/>
  <c r="GX5" i="27"/>
  <c r="HN5" i="27"/>
  <c r="ID5" i="27"/>
  <c r="N6" i="27"/>
  <c r="HB6" i="27"/>
  <c r="HR6" i="27"/>
  <c r="IH6" i="27"/>
  <c r="R7" i="27"/>
  <c r="AH7" i="27"/>
  <c r="HV7" i="27"/>
  <c r="F8" i="27"/>
  <c r="V8" i="27"/>
  <c r="AL8" i="27"/>
  <c r="HZ8" i="27"/>
  <c r="J9" i="27"/>
  <c r="Z9" i="27"/>
  <c r="AP9" i="27"/>
  <c r="BF9" i="27"/>
  <c r="N10" i="27"/>
  <c r="AD10" i="27"/>
  <c r="AT10" i="27"/>
  <c r="BJ10" i="27"/>
  <c r="F11" i="27"/>
  <c r="V11" i="27"/>
  <c r="AL11" i="27"/>
  <c r="BB11" i="27"/>
  <c r="BR11" i="27"/>
  <c r="CH11" i="27"/>
  <c r="R12" i="27"/>
  <c r="AH12" i="27"/>
  <c r="AX12" i="27"/>
  <c r="BN12" i="27"/>
  <c r="CD12" i="27"/>
  <c r="CT12" i="27"/>
  <c r="R13" i="27"/>
  <c r="AH13" i="27"/>
  <c r="AX13" i="27"/>
  <c r="BN13" i="27"/>
  <c r="CD13" i="27"/>
  <c r="CT13" i="27"/>
  <c r="F14" i="27"/>
  <c r="V14" i="27"/>
  <c r="AL14" i="27"/>
  <c r="BB14" i="27"/>
  <c r="BR14" i="27"/>
  <c r="CH14" i="27"/>
  <c r="CX14" i="27"/>
  <c r="DN14" i="27"/>
  <c r="N15" i="27"/>
  <c r="AD15" i="27"/>
  <c r="AT15" i="27"/>
  <c r="BJ15" i="27"/>
  <c r="BZ15" i="27"/>
  <c r="CP15" i="27"/>
  <c r="DF15" i="27"/>
  <c r="DV15" i="27"/>
  <c r="J16" i="27"/>
  <c r="Z16" i="27"/>
  <c r="AP16" i="27"/>
  <c r="BF16" i="27"/>
  <c r="BV16" i="27"/>
  <c r="CL16" i="27"/>
  <c r="DB16" i="27"/>
  <c r="DR16" i="27"/>
  <c r="EH16" i="27"/>
  <c r="J17" i="27"/>
  <c r="Z17" i="27"/>
  <c r="AP17" i="27"/>
  <c r="BF17" i="27"/>
  <c r="BV17" i="27"/>
  <c r="CL17" i="27"/>
  <c r="DB17" i="27"/>
  <c r="DR17" i="27"/>
  <c r="EH17" i="27"/>
  <c r="EX17" i="27"/>
  <c r="N18" i="27"/>
  <c r="AD18" i="27"/>
  <c r="AT18" i="27"/>
  <c r="BJ18" i="27"/>
  <c r="BZ18" i="27"/>
  <c r="CP18" i="27"/>
  <c r="DF18" i="27"/>
  <c r="DV18" i="27"/>
  <c r="EL18" i="27"/>
  <c r="FB18" i="27"/>
  <c r="F19" i="27"/>
  <c r="V19" i="27"/>
  <c r="AL19" i="27"/>
  <c r="BB19" i="27"/>
  <c r="BR19" i="27"/>
  <c r="CH19" i="27"/>
  <c r="CX19" i="27"/>
  <c r="DN19" i="27"/>
  <c r="ED19" i="27"/>
  <c r="ET19" i="27"/>
  <c r="FP19" i="27"/>
  <c r="M20" i="27"/>
  <c r="AH20" i="27"/>
  <c r="BD20" i="27"/>
  <c r="BY20" i="27"/>
  <c r="CT20" i="27"/>
  <c r="DP20" i="27"/>
  <c r="EK20" i="27"/>
  <c r="FF20" i="27"/>
  <c r="GB20" i="27"/>
  <c r="M21" i="27"/>
  <c r="AH21" i="27"/>
  <c r="BD21" i="27"/>
  <c r="BY21" i="27"/>
  <c r="CT21" i="27"/>
  <c r="DP21" i="27"/>
  <c r="EK21" i="27"/>
  <c r="FF21" i="27"/>
  <c r="GB21" i="27"/>
  <c r="GW21" i="27"/>
  <c r="V22" i="27"/>
  <c r="AR22" i="27"/>
  <c r="BM22" i="27"/>
  <c r="DN22" i="27"/>
  <c r="FZ22" i="27"/>
  <c r="AD23" i="27"/>
  <c r="CP23" i="27"/>
  <c r="FP23" i="27"/>
  <c r="N4" i="27"/>
  <c r="AD4" i="27"/>
  <c r="AT4" i="27"/>
  <c r="BJ4" i="27"/>
  <c r="BZ4" i="27"/>
  <c r="CP4" i="27"/>
  <c r="DF4" i="27"/>
  <c r="DV4" i="27"/>
  <c r="EL4" i="27"/>
  <c r="FB4" i="27"/>
  <c r="FR4" i="27"/>
  <c r="GH4" i="27"/>
  <c r="GX4" i="27"/>
  <c r="HN4" i="27"/>
  <c r="ID4" i="27"/>
  <c r="N5" i="27"/>
  <c r="HB5" i="27"/>
  <c r="HR5" i="27"/>
  <c r="IH5" i="27"/>
  <c r="R6" i="27"/>
  <c r="HF6" i="27"/>
  <c r="HV6" i="27"/>
  <c r="F7" i="27"/>
  <c r="V7" i="27"/>
  <c r="AL7" i="27"/>
  <c r="HZ7" i="27"/>
  <c r="J8" i="27"/>
  <c r="Z8" i="27"/>
  <c r="AP8" i="27"/>
  <c r="ID8" i="27"/>
  <c r="N9" i="27"/>
  <c r="AD9" i="27"/>
  <c r="AT9" i="27"/>
  <c r="BJ9" i="27"/>
  <c r="R10" i="27"/>
  <c r="AH10" i="27"/>
  <c r="AX10" i="27"/>
  <c r="BN10" i="27"/>
  <c r="J11" i="27"/>
  <c r="Z11" i="27"/>
  <c r="AP11" i="27"/>
  <c r="BF11" i="27"/>
  <c r="BV11" i="27"/>
  <c r="F12" i="27"/>
  <c r="V12" i="27"/>
  <c r="AL12" i="27"/>
  <c r="BB12" i="27"/>
  <c r="BR12" i="27"/>
  <c r="CH12" i="27"/>
  <c r="F13" i="27"/>
  <c r="V13" i="27"/>
  <c r="AL13" i="27"/>
  <c r="BB13" i="27"/>
  <c r="BR13" i="27"/>
  <c r="CH13" i="27"/>
  <c r="CX13" i="27"/>
  <c r="J14" i="27"/>
  <c r="Z14" i="27"/>
  <c r="AP14" i="27"/>
  <c r="BF14" i="27"/>
  <c r="BV14" i="27"/>
  <c r="CL14" i="27"/>
  <c r="DB14" i="27"/>
  <c r="DR14" i="27"/>
  <c r="R15" i="27"/>
  <c r="AH15" i="27"/>
  <c r="AX15" i="27"/>
  <c r="BN15" i="27"/>
  <c r="CD15" i="27"/>
  <c r="CT15" i="27"/>
  <c r="DJ15" i="27"/>
  <c r="DZ15" i="27"/>
  <c r="N16" i="27"/>
  <c r="AD16" i="27"/>
  <c r="AT16" i="27"/>
  <c r="BJ16" i="27"/>
  <c r="BZ16" i="27"/>
  <c r="CP16" i="27"/>
  <c r="DF16" i="27"/>
  <c r="DV16" i="27"/>
  <c r="EL16" i="27"/>
  <c r="N17" i="27"/>
  <c r="AD17" i="27"/>
  <c r="AT17" i="27"/>
  <c r="BJ17" i="27"/>
  <c r="BZ17" i="27"/>
  <c r="CP17" i="27"/>
  <c r="DF17" i="27"/>
  <c r="DV17" i="27"/>
  <c r="EL17" i="27"/>
  <c r="FB17" i="27"/>
  <c r="R18" i="27"/>
  <c r="AH18" i="27"/>
  <c r="AX18" i="27"/>
  <c r="BN18" i="27"/>
  <c r="CD18" i="27"/>
  <c r="CT18" i="27"/>
  <c r="DJ18" i="27"/>
  <c r="DZ18" i="27"/>
  <c r="EP18" i="27"/>
  <c r="FF18" i="27"/>
  <c r="J19" i="27"/>
  <c r="Z19" i="27"/>
  <c r="AP19" i="27"/>
  <c r="BF19" i="27"/>
  <c r="BV19" i="27"/>
  <c r="CL19" i="27"/>
  <c r="DB19" i="27"/>
  <c r="DR19" i="27"/>
  <c r="EH19" i="27"/>
  <c r="EZ19" i="27"/>
  <c r="FU19" i="27"/>
  <c r="R20" i="27"/>
  <c r="AN20" i="27"/>
  <c r="BI20" i="27"/>
  <c r="CD20" i="27"/>
  <c r="CZ20" i="27"/>
  <c r="DU20" i="27"/>
  <c r="EP20" i="27"/>
  <c r="FL20" i="27"/>
  <c r="GG20" i="27"/>
  <c r="R21" i="27"/>
  <c r="AN21" i="27"/>
  <c r="BI21" i="27"/>
  <c r="CD21" i="27"/>
  <c r="CZ21" i="27"/>
  <c r="DU21" i="27"/>
  <c r="EP21" i="27"/>
  <c r="FL21" i="27"/>
  <c r="GG21" i="27"/>
  <c r="F22" i="27"/>
  <c r="AB22" i="27"/>
  <c r="AW22" i="27"/>
  <c r="BR22" i="27"/>
  <c r="ED22" i="27"/>
  <c r="GP22" i="27"/>
  <c r="AT23" i="27"/>
  <c r="DF23" i="27"/>
  <c r="GK23" i="27"/>
  <c r="B18" i="2"/>
  <c r="I36" i="33"/>
  <c r="F24" i="33"/>
  <c r="H36" i="33"/>
  <c r="G36" i="33"/>
  <c r="G42" i="33" s="1"/>
  <c r="W36" i="33"/>
  <c r="U36" i="33"/>
  <c r="R36" i="33"/>
  <c r="Q36" i="33"/>
  <c r="N36" i="33"/>
  <c r="Z36" i="33"/>
  <c r="V36" i="33"/>
  <c r="B6" i="35"/>
  <c r="A7" i="35"/>
  <c r="A8" i="35" s="1"/>
  <c r="A9" i="35" s="1"/>
  <c r="C81" i="30"/>
  <c r="J9" i="37" s="1"/>
  <c r="G43" i="32"/>
  <c r="M36" i="33"/>
  <c r="Y36" i="33"/>
  <c r="X36" i="33"/>
  <c r="G308" i="37"/>
  <c r="E308" i="37"/>
  <c r="F308" i="37"/>
  <c r="E73" i="30"/>
  <c r="A10" i="37"/>
  <c r="AD19" i="7"/>
  <c r="Q18" i="41" s="1"/>
  <c r="AD15" i="7"/>
  <c r="Q14" i="41" s="1"/>
  <c r="AE18" i="7"/>
  <c r="AE14" i="7"/>
  <c r="R13" i="41" s="1"/>
  <c r="AB14" i="7"/>
  <c r="O13" i="41" s="1"/>
  <c r="AF19" i="7"/>
  <c r="S18" i="41" s="1"/>
  <c r="AB13" i="7"/>
  <c r="I17" i="39"/>
  <c r="AB16" i="7"/>
  <c r="O15" i="41" s="1"/>
  <c r="AF18" i="7"/>
  <c r="AE17" i="7"/>
  <c r="AE13" i="7"/>
  <c r="AD18" i="7"/>
  <c r="AF17" i="7"/>
  <c r="AE16" i="7"/>
  <c r="R15" i="41" s="1"/>
  <c r="AD17" i="7"/>
  <c r="AD16" i="7"/>
  <c r="Q15" i="41" s="1"/>
  <c r="AD13" i="7"/>
  <c r="O14" i="39"/>
  <c r="P14" i="39" s="1"/>
  <c r="O10" i="39"/>
  <c r="P10" i="39" s="1"/>
  <c r="O7" i="39"/>
  <c r="P7" i="39" s="1"/>
  <c r="O15" i="40"/>
  <c r="P15" i="40" s="1"/>
  <c r="O13" i="40"/>
  <c r="P13" i="40" s="1"/>
  <c r="O8" i="40"/>
  <c r="P8" i="40" s="1"/>
  <c r="P11" i="40"/>
  <c r="O16" i="39"/>
  <c r="P16" i="39" s="1"/>
  <c r="O8" i="39"/>
  <c r="P8" i="39" s="1"/>
  <c r="O16" i="40"/>
  <c r="P16" i="40" s="1"/>
  <c r="L17" i="40"/>
  <c r="O5" i="40"/>
  <c r="C40" i="30"/>
  <c r="O11" i="39"/>
  <c r="P11" i="39" s="1"/>
  <c r="P9" i="39"/>
  <c r="L17" i="39"/>
  <c r="O15" i="39"/>
  <c r="P15" i="39" s="1"/>
  <c r="O12" i="39"/>
  <c r="P12" i="39" s="1"/>
  <c r="K5" i="35"/>
  <c r="K6" i="35"/>
  <c r="J20" i="37"/>
  <c r="J21" i="37"/>
  <c r="J22" i="37"/>
  <c r="J23" i="37"/>
  <c r="J24" i="37"/>
  <c r="J25" i="37"/>
  <c r="J26" i="37"/>
  <c r="J27" i="37"/>
  <c r="J28" i="37"/>
  <c r="J29" i="37"/>
  <c r="J30" i="37"/>
  <c r="J31" i="37"/>
  <c r="AA36" i="33"/>
  <c r="AC36" i="33"/>
  <c r="AB36" i="33"/>
  <c r="F5" i="9"/>
  <c r="G5" i="9" s="1"/>
  <c r="AE19" i="7"/>
  <c r="R18" i="41" s="1"/>
  <c r="Z19" i="7"/>
  <c r="N18" i="41" s="1"/>
  <c r="AE15" i="7"/>
  <c r="R14" i="41" s="1"/>
  <c r="Z15" i="7"/>
  <c r="N14" i="41" s="1"/>
  <c r="AB15" i="7"/>
  <c r="O14" i="41" s="1"/>
  <c r="P5" i="40"/>
  <c r="O7" i="40"/>
  <c r="P7" i="40" s="1"/>
  <c r="K17" i="40"/>
  <c r="G8" i="8"/>
  <c r="K8" i="8" s="1"/>
  <c r="F7" i="42" s="1"/>
  <c r="G9" i="8"/>
  <c r="N10" i="47" s="1"/>
  <c r="N12" i="47" s="1"/>
  <c r="G7" i="8"/>
  <c r="D6" i="42" s="1"/>
  <c r="G6" i="8"/>
  <c r="R17" i="41" l="1"/>
  <c r="G13" i="47"/>
  <c r="R12" i="41"/>
  <c r="G11" i="47"/>
  <c r="Q12" i="41"/>
  <c r="F11" i="47"/>
  <c r="S17" i="41"/>
  <c r="H13" i="47"/>
  <c r="P14" i="7"/>
  <c r="F13" i="41" s="1"/>
  <c r="R16" i="41"/>
  <c r="G12" i="47"/>
  <c r="Q16" i="41"/>
  <c r="F12" i="47"/>
  <c r="P6" i="7"/>
  <c r="F5" i="41" s="1"/>
  <c r="P17" i="41"/>
  <c r="E13" i="47"/>
  <c r="Q17" i="41"/>
  <c r="F13" i="47"/>
  <c r="O12" i="41"/>
  <c r="D11" i="47"/>
  <c r="S16" i="41"/>
  <c r="H12" i="47"/>
  <c r="P16" i="41"/>
  <c r="E12" i="47"/>
  <c r="I12" i="47" s="1"/>
  <c r="G31" i="33"/>
  <c r="B17" i="41"/>
  <c r="E20" i="7"/>
  <c r="L18" i="7"/>
  <c r="C13" i="47" s="1"/>
  <c r="C14" i="47" s="1"/>
  <c r="U24" i="7"/>
  <c r="B49" i="11" s="1"/>
  <c r="G16" i="41"/>
  <c r="H18" i="2"/>
  <c r="P15" i="7"/>
  <c r="F14" i="41" s="1"/>
  <c r="EY8" i="15"/>
  <c r="P5" i="7"/>
  <c r="F4" i="41" s="1"/>
  <c r="DS8" i="15"/>
  <c r="EQ8" i="15"/>
  <c r="EI8" i="15"/>
  <c r="I10" i="41"/>
  <c r="AC11" i="7"/>
  <c r="P10" i="41" s="1"/>
  <c r="I11" i="41"/>
  <c r="AC12" i="7"/>
  <c r="P11" i="41" s="1"/>
  <c r="I14" i="41"/>
  <c r="AC15" i="7"/>
  <c r="P14" i="41" s="1"/>
  <c r="I15" i="41"/>
  <c r="AC16" i="7"/>
  <c r="P15" i="41" s="1"/>
  <c r="I5" i="41"/>
  <c r="AC6" i="7"/>
  <c r="I2" i="41"/>
  <c r="AC3" i="7"/>
  <c r="E4" i="47" s="1"/>
  <c r="I4" i="41"/>
  <c r="AC5" i="7"/>
  <c r="HC8" i="15"/>
  <c r="EM8" i="15"/>
  <c r="I3" i="41"/>
  <c r="AC4" i="7"/>
  <c r="GM8" i="15"/>
  <c r="GU8" i="15"/>
  <c r="I7" i="41"/>
  <c r="AC8" i="7"/>
  <c r="FG8" i="15"/>
  <c r="I12" i="41"/>
  <c r="AC13" i="7"/>
  <c r="I8" i="41"/>
  <c r="AC9" i="7"/>
  <c r="I9" i="41"/>
  <c r="AC10" i="7"/>
  <c r="P9" i="41" s="1"/>
  <c r="I13" i="41"/>
  <c r="AC14" i="7"/>
  <c r="P13" i="41" s="1"/>
  <c r="EA8" i="15"/>
  <c r="EU8" i="15"/>
  <c r="FW8" i="15"/>
  <c r="HG8" i="15"/>
  <c r="HK8" i="15"/>
  <c r="GQ8" i="15"/>
  <c r="GI8" i="15"/>
  <c r="FS8" i="15"/>
  <c r="HW8" i="15"/>
  <c r="IE8" i="15"/>
  <c r="GA8" i="15"/>
  <c r="FK8" i="15"/>
  <c r="GY8" i="15"/>
  <c r="FC8" i="15"/>
  <c r="HS8" i="15"/>
  <c r="DW8" i="15"/>
  <c r="D35" i="10"/>
  <c r="D34" i="17" s="1"/>
  <c r="D33" i="10"/>
  <c r="D32" i="17" s="1"/>
  <c r="D25" i="10"/>
  <c r="D24" i="17" s="1"/>
  <c r="D24" i="10"/>
  <c r="D23" i="17" s="1"/>
  <c r="D29" i="10"/>
  <c r="D27" i="10"/>
  <c r="D26" i="17" s="1"/>
  <c r="C20" i="17"/>
  <c r="C21" i="17"/>
  <c r="D28" i="10"/>
  <c r="D27" i="17" s="1"/>
  <c r="C23" i="17"/>
  <c r="C24" i="17"/>
  <c r="C26" i="17"/>
  <c r="C32" i="17"/>
  <c r="C34" i="17"/>
  <c r="C30" i="17"/>
  <c r="C33" i="17"/>
  <c r="FO8" i="15"/>
  <c r="GE8" i="15"/>
  <c r="HO8" i="15"/>
  <c r="EE8" i="15"/>
  <c r="J11" i="37"/>
  <c r="L12" i="30"/>
  <c r="K7" i="43"/>
  <c r="V12" i="30"/>
  <c r="U7" i="43"/>
  <c r="R12" i="30"/>
  <c r="Q7" i="43"/>
  <c r="K12" i="30"/>
  <c r="J7" i="43"/>
  <c r="D22" i="10"/>
  <c r="D21" i="17" s="1"/>
  <c r="D31" i="10"/>
  <c r="D30" i="17" s="1"/>
  <c r="D36" i="10"/>
  <c r="D21" i="10"/>
  <c r="D20" i="17" s="1"/>
  <c r="D30" i="10"/>
  <c r="D29" i="17" s="1"/>
  <c r="J15" i="37"/>
  <c r="J12" i="30"/>
  <c r="I7" i="43"/>
  <c r="F24" i="27"/>
  <c r="O16" i="41"/>
  <c r="J17" i="37"/>
  <c r="B8" i="35"/>
  <c r="U12" i="30"/>
  <c r="T7" i="43"/>
  <c r="Q12" i="30"/>
  <c r="P7" i="43"/>
  <c r="I12" i="30"/>
  <c r="H7" i="43"/>
  <c r="K6" i="8"/>
  <c r="F5" i="42" s="1"/>
  <c r="D5" i="42"/>
  <c r="D12" i="30"/>
  <c r="C7" i="43"/>
  <c r="P12" i="30"/>
  <c r="O7" i="43"/>
  <c r="H12" i="30"/>
  <c r="G7" i="43"/>
  <c r="B53" i="11"/>
  <c r="B53" i="38" s="1"/>
  <c r="B73" i="38" s="1"/>
  <c r="D7" i="42"/>
  <c r="J19" i="37"/>
  <c r="T12" i="30"/>
  <c r="S7" i="43"/>
  <c r="O12" i="30"/>
  <c r="N7" i="43"/>
  <c r="G12" i="30"/>
  <c r="F7" i="43"/>
  <c r="J13" i="37"/>
  <c r="B51" i="38"/>
  <c r="B71" i="38" s="1"/>
  <c r="D8" i="42"/>
  <c r="GC8" i="16"/>
  <c r="N12" i="30"/>
  <c r="M7" i="43"/>
  <c r="F12" i="30"/>
  <c r="E7" i="43"/>
  <c r="AA15" i="7"/>
  <c r="S12" i="30"/>
  <c r="R7" i="43"/>
  <c r="M12" i="30"/>
  <c r="L7" i="43"/>
  <c r="E12" i="30"/>
  <c r="D7" i="43"/>
  <c r="G10" i="8"/>
  <c r="B9" i="42"/>
  <c r="B10" i="42" s="1"/>
  <c r="V16" i="7"/>
  <c r="J15" i="41" s="1"/>
  <c r="AB19" i="7"/>
  <c r="O18" i="41" s="1"/>
  <c r="T18" i="41" s="1"/>
  <c r="AA13" i="7"/>
  <c r="D12" i="41" s="1"/>
  <c r="C2" i="41"/>
  <c r="E2" i="41"/>
  <c r="AB3" i="7"/>
  <c r="D4" i="47" s="1"/>
  <c r="P16" i="7"/>
  <c r="F15" i="41" s="1"/>
  <c r="AD10" i="7"/>
  <c r="Q9" i="41" s="1"/>
  <c r="T17" i="7"/>
  <c r="H16" i="41" s="1"/>
  <c r="AE3" i="7"/>
  <c r="G4" i="47" s="1"/>
  <c r="V15" i="7"/>
  <c r="J14" i="41" s="1"/>
  <c r="V13" i="7"/>
  <c r="J12" i="41" s="1"/>
  <c r="P17" i="7"/>
  <c r="F16" i="41" s="1"/>
  <c r="AE11" i="7"/>
  <c r="R10" i="41" s="1"/>
  <c r="P13" i="7"/>
  <c r="F12" i="41" s="1"/>
  <c r="P4" i="7"/>
  <c r="F3" i="41" s="1"/>
  <c r="AA14" i="7"/>
  <c r="D13" i="41" s="1"/>
  <c r="S7" i="7"/>
  <c r="G6" i="41" s="1"/>
  <c r="P9" i="7"/>
  <c r="F8" i="41" s="1"/>
  <c r="T19" i="7"/>
  <c r="H18" i="41" s="1"/>
  <c r="P12" i="7"/>
  <c r="F11" i="41" s="1"/>
  <c r="P8" i="7"/>
  <c r="F7" i="41" s="1"/>
  <c r="P19" i="7"/>
  <c r="F18" i="41" s="1"/>
  <c r="X4" i="7"/>
  <c r="L3" i="41" s="1"/>
  <c r="P11" i="7"/>
  <c r="F10" i="41" s="1"/>
  <c r="AA16" i="7"/>
  <c r="D15" i="41" s="1"/>
  <c r="B52" i="38"/>
  <c r="B72" i="38" s="1"/>
  <c r="K7" i="8"/>
  <c r="F6" i="42" s="1"/>
  <c r="AD4" i="7"/>
  <c r="B32" i="10"/>
  <c r="C32" i="10" s="1"/>
  <c r="K9" i="8"/>
  <c r="AA12" i="7"/>
  <c r="D11" i="41" s="1"/>
  <c r="G7" i="7"/>
  <c r="C6" i="41" s="1"/>
  <c r="O7" i="7"/>
  <c r="E6" i="41" s="1"/>
  <c r="U7" i="7"/>
  <c r="R7" i="7"/>
  <c r="W7" i="7"/>
  <c r="K6" i="41" s="1"/>
  <c r="Y22" i="7"/>
  <c r="B48" i="11" s="1"/>
  <c r="Y7" i="7"/>
  <c r="M6" i="41" s="1"/>
  <c r="AA9" i="7"/>
  <c r="D8" i="41" s="1"/>
  <c r="AA11" i="7"/>
  <c r="D10" i="41" s="1"/>
  <c r="AA6" i="7"/>
  <c r="D5" i="41" s="1"/>
  <c r="AA3" i="7"/>
  <c r="D2" i="41" s="1"/>
  <c r="AA5" i="7"/>
  <c r="D4" i="41" s="1"/>
  <c r="T8" i="7"/>
  <c r="H7" i="41" s="1"/>
  <c r="AA8" i="7"/>
  <c r="D7" i="41" s="1"/>
  <c r="AB10" i="7"/>
  <c r="O9" i="41" s="1"/>
  <c r="AA10" i="7"/>
  <c r="D9" i="41" s="1"/>
  <c r="T4" i="7"/>
  <c r="H3" i="41" s="1"/>
  <c r="AA4" i="7"/>
  <c r="D3" i="41" s="1"/>
  <c r="Z11" i="7"/>
  <c r="N10" i="41" s="1"/>
  <c r="AB4" i="7"/>
  <c r="Z3" i="7"/>
  <c r="N2" i="41" s="1"/>
  <c r="T10" i="7"/>
  <c r="H9" i="41" s="1"/>
  <c r="G5" i="8"/>
  <c r="J12" i="37"/>
  <c r="J16" i="37"/>
  <c r="J8" i="37"/>
  <c r="I25" i="33"/>
  <c r="AB8" i="7"/>
  <c r="X10" i="7"/>
  <c r="L9" i="41" s="1"/>
  <c r="J10" i="37"/>
  <c r="J14" i="37"/>
  <c r="J18" i="37"/>
  <c r="H45" i="32"/>
  <c r="E74" i="30"/>
  <c r="D11" i="8"/>
  <c r="D12" i="8" s="1"/>
  <c r="E24" i="27"/>
  <c r="HZ8" i="15"/>
  <c r="HJ8" i="15"/>
  <c r="GT8" i="15"/>
  <c r="GD8" i="15"/>
  <c r="FN8" i="15"/>
  <c r="EX8" i="15"/>
  <c r="EH8" i="15"/>
  <c r="IG8" i="15"/>
  <c r="HQ8" i="15"/>
  <c r="HA8" i="15"/>
  <c r="GK8" i="15"/>
  <c r="FU8" i="15"/>
  <c r="FE8" i="15"/>
  <c r="EO8" i="15"/>
  <c r="DY8" i="15"/>
  <c r="IB8" i="15"/>
  <c r="HL8" i="15"/>
  <c r="GV8" i="15"/>
  <c r="GF8" i="15"/>
  <c r="FP8" i="15"/>
  <c r="EZ8" i="15"/>
  <c r="EJ8" i="15"/>
  <c r="DT8" i="15"/>
  <c r="ID8" i="15"/>
  <c r="HN8" i="15"/>
  <c r="GX8" i="15"/>
  <c r="GH8" i="15"/>
  <c r="FR8" i="15"/>
  <c r="FB8" i="15"/>
  <c r="EL8" i="15"/>
  <c r="DV8" i="15"/>
  <c r="HU8" i="15"/>
  <c r="HE8" i="15"/>
  <c r="GO8" i="15"/>
  <c r="FY8" i="15"/>
  <c r="FI8" i="15"/>
  <c r="ES8" i="15"/>
  <c r="EC8" i="15"/>
  <c r="IF8" i="15"/>
  <c r="HP8" i="15"/>
  <c r="GZ8" i="15"/>
  <c r="GJ8" i="15"/>
  <c r="FT8" i="15"/>
  <c r="FD8" i="15"/>
  <c r="EN8" i="15"/>
  <c r="DX8" i="15"/>
  <c r="F58" i="1"/>
  <c r="H58" i="1"/>
  <c r="P58" i="1"/>
  <c r="L58" i="1"/>
  <c r="G58" i="1"/>
  <c r="I44" i="32"/>
  <c r="F73" i="30"/>
  <c r="D33" i="17"/>
  <c r="E19" i="32"/>
  <c r="C19" i="17"/>
  <c r="AD6" i="7"/>
  <c r="X6" i="7"/>
  <c r="L5" i="41" s="1"/>
  <c r="AD9" i="7"/>
  <c r="X9" i="7"/>
  <c r="L8" i="41" s="1"/>
  <c r="T3" i="7"/>
  <c r="H2" i="41" s="1"/>
  <c r="D26" i="11"/>
  <c r="D30" i="11"/>
  <c r="D34" i="11"/>
  <c r="D24" i="11"/>
  <c r="D28" i="11"/>
  <c r="D32" i="11"/>
  <c r="D36" i="11"/>
  <c r="D29" i="11"/>
  <c r="D37" i="11"/>
  <c r="D31" i="11"/>
  <c r="D25" i="11"/>
  <c r="D33" i="11"/>
  <c r="D27" i="11"/>
  <c r="D35" i="11"/>
  <c r="E20" i="11"/>
  <c r="AE5" i="7"/>
  <c r="Z5" i="7"/>
  <c r="N4" i="41" s="1"/>
  <c r="V8" i="7"/>
  <c r="J7" i="41" s="1"/>
  <c r="AE4" i="7"/>
  <c r="Z4" i="7"/>
  <c r="N3" i="41" s="1"/>
  <c r="M58" i="1"/>
  <c r="AB12" i="7"/>
  <c r="O11" i="41" s="1"/>
  <c r="T12" i="7"/>
  <c r="H11" i="41" s="1"/>
  <c r="V11" i="7"/>
  <c r="J10" i="41" s="1"/>
  <c r="S22" i="7"/>
  <c r="B45" i="11" s="1"/>
  <c r="F30" i="33"/>
  <c r="G24" i="33"/>
  <c r="N24" i="27"/>
  <c r="G24" i="27"/>
  <c r="H24" i="27"/>
  <c r="E35" i="10"/>
  <c r="E34" i="10"/>
  <c r="F9" i="10"/>
  <c r="E20" i="10"/>
  <c r="E22" i="10"/>
  <c r="E25" i="10"/>
  <c r="E27" i="10"/>
  <c r="E30" i="10"/>
  <c r="E28" i="10"/>
  <c r="E21" i="10"/>
  <c r="E24" i="10"/>
  <c r="E29" i="10"/>
  <c r="E31" i="10"/>
  <c r="E36" i="10"/>
  <c r="HV8" i="15"/>
  <c r="HF8" i="15"/>
  <c r="GP8" i="15"/>
  <c r="FZ8" i="15"/>
  <c r="FJ8" i="15"/>
  <c r="ET8" i="15"/>
  <c r="ED8" i="15"/>
  <c r="AE6" i="7"/>
  <c r="Z6" i="7"/>
  <c r="N5" i="41" s="1"/>
  <c r="AE9" i="7"/>
  <c r="Z9" i="7"/>
  <c r="N8" i="41" s="1"/>
  <c r="AD5" i="7"/>
  <c r="X5" i="7"/>
  <c r="L4" i="41" s="1"/>
  <c r="AD8" i="7"/>
  <c r="X8" i="7"/>
  <c r="L7" i="41" s="1"/>
  <c r="IC8" i="15"/>
  <c r="HM8" i="15"/>
  <c r="GW8" i="15"/>
  <c r="GG8" i="15"/>
  <c r="FQ8" i="15"/>
  <c r="FA8" i="15"/>
  <c r="EK8" i="15"/>
  <c r="DU8" i="15"/>
  <c r="V10" i="7"/>
  <c r="J9" i="41" s="1"/>
  <c r="V12" i="7"/>
  <c r="J11" i="41" s="1"/>
  <c r="HX8" i="15"/>
  <c r="HH8" i="15"/>
  <c r="GR8" i="15"/>
  <c r="GB8" i="15"/>
  <c r="FL8" i="15"/>
  <c r="EV8" i="15"/>
  <c r="EF8" i="15"/>
  <c r="AD11" i="7"/>
  <c r="Q10" i="41" s="1"/>
  <c r="X11" i="7"/>
  <c r="L10" i="41" s="1"/>
  <c r="B12" i="37"/>
  <c r="A11" i="37"/>
  <c r="K24" i="27"/>
  <c r="L24" i="27"/>
  <c r="I24" i="27"/>
  <c r="E33" i="10"/>
  <c r="IH8" i="15"/>
  <c r="HR8" i="15"/>
  <c r="HB8" i="15"/>
  <c r="GL8" i="15"/>
  <c r="FV8" i="15"/>
  <c r="FF8" i="15"/>
  <c r="EP8" i="15"/>
  <c r="DZ8" i="15"/>
  <c r="AB6" i="7"/>
  <c r="T6" i="7"/>
  <c r="H5" i="41" s="1"/>
  <c r="AB9" i="7"/>
  <c r="T9" i="7"/>
  <c r="H8" i="41" s="1"/>
  <c r="AD3" i="7"/>
  <c r="F4" i="47" s="1"/>
  <c r="X3" i="7"/>
  <c r="L2" i="41" s="1"/>
  <c r="U22" i="7"/>
  <c r="B46" i="11" s="1"/>
  <c r="V5" i="7"/>
  <c r="J4" i="41" s="1"/>
  <c r="AE8" i="7"/>
  <c r="Z8" i="7"/>
  <c r="N7" i="41" s="1"/>
  <c r="HY8" i="15"/>
  <c r="HI8" i="15"/>
  <c r="GS8" i="15"/>
  <c r="GC8" i="15"/>
  <c r="FM8" i="15"/>
  <c r="EW8" i="15"/>
  <c r="EG8" i="15"/>
  <c r="D13" i="10"/>
  <c r="E7" i="10"/>
  <c r="V4" i="7"/>
  <c r="J3" i="41" s="1"/>
  <c r="AD12" i="7"/>
  <c r="Q11" i="41" s="1"/>
  <c r="X12" i="7"/>
  <c r="L11" i="41" s="1"/>
  <c r="HT8" i="15"/>
  <c r="HD8" i="15"/>
  <c r="GN8" i="15"/>
  <c r="FX8" i="15"/>
  <c r="FH8" i="15"/>
  <c r="ER8" i="15"/>
  <c r="EB8" i="15"/>
  <c r="GE7" i="16"/>
  <c r="GD8" i="16"/>
  <c r="E72" i="30"/>
  <c r="H43" i="32"/>
  <c r="J24" i="27"/>
  <c r="P17" i="39"/>
  <c r="E21" i="39" s="1"/>
  <c r="E24" i="39" s="1"/>
  <c r="F21" i="39" s="1"/>
  <c r="IK4" i="27"/>
  <c r="B7" i="35"/>
  <c r="H42" i="33"/>
  <c r="I42" i="33" s="1"/>
  <c r="J42" i="33" s="1"/>
  <c r="K42" i="33" s="1"/>
  <c r="L42" i="33" s="1"/>
  <c r="M42" i="33" s="1"/>
  <c r="N42" i="33" s="1"/>
  <c r="O42" i="33" s="1"/>
  <c r="P42" i="33" s="1"/>
  <c r="Q42" i="33" s="1"/>
  <c r="R42" i="33" s="1"/>
  <c r="S42" i="33" s="1"/>
  <c r="T42" i="33" s="1"/>
  <c r="U42" i="33" s="1"/>
  <c r="V42" i="33" s="1"/>
  <c r="O24" i="27"/>
  <c r="P24" i="27"/>
  <c r="M24" i="27"/>
  <c r="V6" i="7"/>
  <c r="J5" i="41" s="1"/>
  <c r="V9" i="7"/>
  <c r="J8" i="41" s="1"/>
  <c r="V3" i="7"/>
  <c r="J2" i="41" s="1"/>
  <c r="AB5" i="7"/>
  <c r="T5" i="7"/>
  <c r="H4" i="41" s="1"/>
  <c r="AE10" i="7"/>
  <c r="R9" i="41" s="1"/>
  <c r="Z10" i="7"/>
  <c r="N9" i="41" s="1"/>
  <c r="AE12" i="7"/>
  <c r="R11" i="41" s="1"/>
  <c r="Z12" i="7"/>
  <c r="N11" i="41" s="1"/>
  <c r="AB11" i="7"/>
  <c r="O10" i="41" s="1"/>
  <c r="T11" i="7"/>
  <c r="H10" i="41" s="1"/>
  <c r="O17" i="39"/>
  <c r="B9" i="35"/>
  <c r="A10" i="35"/>
  <c r="X43" i="33"/>
  <c r="Y43" i="33" s="1"/>
  <c r="P17" i="40"/>
  <c r="E21" i="40" s="1"/>
  <c r="E24" i="40" s="1"/>
  <c r="E25" i="40" s="1"/>
  <c r="O17" i="40"/>
  <c r="B54" i="11"/>
  <c r="B54" i="38" s="1"/>
  <c r="B74" i="38" s="1"/>
  <c r="C51" i="11"/>
  <c r="Q4" i="41" l="1"/>
  <c r="F6" i="47"/>
  <c r="R7" i="41"/>
  <c r="G9" i="47"/>
  <c r="P7" i="41"/>
  <c r="E9" i="47"/>
  <c r="R5" i="41"/>
  <c r="G7" i="47"/>
  <c r="O3" i="41"/>
  <c r="D5" i="47"/>
  <c r="O5" i="41"/>
  <c r="D7" i="47"/>
  <c r="T16" i="41"/>
  <c r="P4" i="41"/>
  <c r="E6" i="47"/>
  <c r="Q5" i="41"/>
  <c r="F7" i="47"/>
  <c r="Q3" i="41"/>
  <c r="F5" i="47"/>
  <c r="R3" i="41"/>
  <c r="G5" i="47"/>
  <c r="O7" i="41"/>
  <c r="D9" i="47"/>
  <c r="Q7" i="41"/>
  <c r="F9" i="47"/>
  <c r="P8" i="41"/>
  <c r="E10" i="47"/>
  <c r="R4" i="41"/>
  <c r="G6" i="47"/>
  <c r="P12" i="41"/>
  <c r="E11" i="47"/>
  <c r="O8" i="41"/>
  <c r="D10" i="47"/>
  <c r="R8" i="41"/>
  <c r="G10" i="47"/>
  <c r="Q8" i="41"/>
  <c r="F10" i="47"/>
  <c r="O4" i="41"/>
  <c r="D6" i="47"/>
  <c r="P3" i="41"/>
  <c r="E5" i="47"/>
  <c r="P5" i="41"/>
  <c r="E7" i="47"/>
  <c r="F8" i="42"/>
  <c r="P10" i="47"/>
  <c r="P12" i="47" s="1"/>
  <c r="G18" i="7"/>
  <c r="C17" i="41" s="1"/>
  <c r="S18" i="7"/>
  <c r="S20" i="7" s="1"/>
  <c r="G19" i="41" s="1"/>
  <c r="O18" i="7"/>
  <c r="R18" i="7"/>
  <c r="B19" i="41"/>
  <c r="E21" i="7"/>
  <c r="L20" i="7"/>
  <c r="G11" i="8"/>
  <c r="AF12" i="7"/>
  <c r="S11" i="41" s="1"/>
  <c r="T11" i="41" s="1"/>
  <c r="C52" i="11"/>
  <c r="C10" i="17" s="1"/>
  <c r="S21" i="7"/>
  <c r="B41" i="11" s="1"/>
  <c r="D41" i="11" s="1"/>
  <c r="W20" i="7"/>
  <c r="K19" i="41" s="1"/>
  <c r="T7" i="7"/>
  <c r="H6" i="41" s="1"/>
  <c r="I6" i="41"/>
  <c r="AC7" i="7"/>
  <c r="D35" i="17"/>
  <c r="D28" i="17"/>
  <c r="C31" i="17"/>
  <c r="D53" i="11"/>
  <c r="D11" i="17" s="1"/>
  <c r="C53" i="38"/>
  <c r="C53" i="11"/>
  <c r="C11" i="17" s="1"/>
  <c r="D52" i="11"/>
  <c r="D10" i="17" s="1"/>
  <c r="B49" i="38"/>
  <c r="B69" i="38" s="1"/>
  <c r="U69" i="38" s="1"/>
  <c r="C49" i="11"/>
  <c r="P2" i="41"/>
  <c r="G20" i="7"/>
  <c r="C19" i="41" s="1"/>
  <c r="E72" i="38"/>
  <c r="S72" i="38"/>
  <c r="H72" i="38"/>
  <c r="N72" i="38"/>
  <c r="K72" i="38"/>
  <c r="O72" i="38"/>
  <c r="F72" i="38"/>
  <c r="R72" i="38"/>
  <c r="C72" i="38"/>
  <c r="G72" i="38"/>
  <c r="J72" i="38"/>
  <c r="T72" i="38"/>
  <c r="L72" i="38"/>
  <c r="Q72" i="38"/>
  <c r="U72" i="38"/>
  <c r="D72" i="38"/>
  <c r="I72" i="38"/>
  <c r="M72" i="38"/>
  <c r="P72" i="38"/>
  <c r="V72" i="38"/>
  <c r="AF13" i="7"/>
  <c r="C52" i="38"/>
  <c r="K5" i="8"/>
  <c r="D4" i="42"/>
  <c r="D14" i="41"/>
  <c r="AF15" i="7"/>
  <c r="S14" i="41" s="1"/>
  <c r="T14" i="41" s="1"/>
  <c r="O2" i="41"/>
  <c r="K10" i="8"/>
  <c r="F9" i="42" s="1"/>
  <c r="D9" i="42"/>
  <c r="C51" i="38"/>
  <c r="D51" i="11"/>
  <c r="D9" i="17" s="1"/>
  <c r="N73" i="38"/>
  <c r="C73" i="38"/>
  <c r="F73" i="38"/>
  <c r="P73" i="38"/>
  <c r="U73" i="38"/>
  <c r="H73" i="38"/>
  <c r="M73" i="38"/>
  <c r="Q73" i="38"/>
  <c r="T73" i="38"/>
  <c r="E73" i="38"/>
  <c r="I73" i="38"/>
  <c r="L73" i="38"/>
  <c r="R73" i="38"/>
  <c r="O73" i="38"/>
  <c r="D73" i="38"/>
  <c r="S73" i="38"/>
  <c r="J73" i="38"/>
  <c r="V73" i="38"/>
  <c r="G73" i="38"/>
  <c r="K73" i="38"/>
  <c r="C54" i="38"/>
  <c r="U71" i="38"/>
  <c r="H71" i="38"/>
  <c r="M71" i="38"/>
  <c r="Q71" i="38"/>
  <c r="T71" i="38"/>
  <c r="E71" i="38"/>
  <c r="I71" i="38"/>
  <c r="L71" i="38"/>
  <c r="R71" i="38"/>
  <c r="O71" i="38"/>
  <c r="D71" i="38"/>
  <c r="S71" i="38"/>
  <c r="J71" i="38"/>
  <c r="V71" i="38"/>
  <c r="G71" i="38"/>
  <c r="K71" i="38"/>
  <c r="N71" i="38"/>
  <c r="C71" i="38"/>
  <c r="F71" i="38"/>
  <c r="P71" i="38"/>
  <c r="L74" i="38"/>
  <c r="Q74" i="38"/>
  <c r="U74" i="38"/>
  <c r="D74" i="38"/>
  <c r="I74" i="38"/>
  <c r="M74" i="38"/>
  <c r="P74" i="38"/>
  <c r="V74" i="38"/>
  <c r="E74" i="38"/>
  <c r="S74" i="38"/>
  <c r="H74" i="38"/>
  <c r="N74" i="38"/>
  <c r="K74" i="38"/>
  <c r="O74" i="38"/>
  <c r="F74" i="38"/>
  <c r="R74" i="38"/>
  <c r="C74" i="38"/>
  <c r="G74" i="38"/>
  <c r="J74" i="38"/>
  <c r="T74" i="38"/>
  <c r="D49" i="11"/>
  <c r="Q2" i="41"/>
  <c r="C12" i="30"/>
  <c r="B7" i="43"/>
  <c r="R2" i="41"/>
  <c r="O20" i="7"/>
  <c r="E19" i="41" s="1"/>
  <c r="Z7" i="7"/>
  <c r="N6" i="41" s="1"/>
  <c r="U20" i="7"/>
  <c r="I19" i="41" s="1"/>
  <c r="Y21" i="7"/>
  <c r="B44" i="11" s="1"/>
  <c r="D44" i="11" s="1"/>
  <c r="U21" i="7"/>
  <c r="B42" i="11" s="1"/>
  <c r="D42" i="11" s="1"/>
  <c r="Y20" i="7"/>
  <c r="M19" i="41" s="1"/>
  <c r="V7" i="7"/>
  <c r="J6" i="41" s="1"/>
  <c r="AF10" i="7"/>
  <c r="S9" i="41" s="1"/>
  <c r="T9" i="41" s="1"/>
  <c r="AF5" i="7"/>
  <c r="AF11" i="7"/>
  <c r="S10" i="41" s="1"/>
  <c r="T10" i="41" s="1"/>
  <c r="AD7" i="7"/>
  <c r="AF3" i="7"/>
  <c r="H4" i="47" s="1"/>
  <c r="I4" i="47" s="1"/>
  <c r="AF9" i="7"/>
  <c r="W21" i="7"/>
  <c r="AF16" i="7"/>
  <c r="S15" i="41" s="1"/>
  <c r="T15" i="41" s="1"/>
  <c r="AB7" i="7"/>
  <c r="B46" i="38"/>
  <c r="AF4" i="7"/>
  <c r="AF8" i="7"/>
  <c r="AF6" i="7"/>
  <c r="AE7" i="7"/>
  <c r="AA7" i="7"/>
  <c r="D6" i="41" s="1"/>
  <c r="AF14" i="7"/>
  <c r="S13" i="41" s="1"/>
  <c r="T13" i="41" s="1"/>
  <c r="B45" i="38"/>
  <c r="D48" i="11"/>
  <c r="P7" i="7"/>
  <c r="F6" i="41" s="1"/>
  <c r="E32" i="10"/>
  <c r="E31" i="17" s="1"/>
  <c r="D32" i="10"/>
  <c r="D31" i="17" s="1"/>
  <c r="X7" i="7"/>
  <c r="L6" i="41" s="1"/>
  <c r="W22" i="7"/>
  <c r="B47" i="11" s="1"/>
  <c r="F74" i="30"/>
  <c r="I45" i="32"/>
  <c r="J25" i="33"/>
  <c r="I31" i="33"/>
  <c r="W42" i="33"/>
  <c r="X42" i="33" s="1"/>
  <c r="Y42" i="33" s="1"/>
  <c r="E24" i="17"/>
  <c r="E30" i="17"/>
  <c r="E27" i="17"/>
  <c r="E21" i="17"/>
  <c r="E34" i="17"/>
  <c r="H24" i="33"/>
  <c r="G30" i="33"/>
  <c r="E32" i="17"/>
  <c r="E20" i="17"/>
  <c r="E25" i="39"/>
  <c r="F72" i="30"/>
  <c r="I43" i="32"/>
  <c r="E28" i="17"/>
  <c r="E29" i="17"/>
  <c r="G73" i="30"/>
  <c r="J44" i="32"/>
  <c r="E35" i="17"/>
  <c r="E33" i="17"/>
  <c r="GF7" i="16"/>
  <c r="GE8" i="16"/>
  <c r="E13" i="10"/>
  <c r="F7" i="10"/>
  <c r="A12" i="37"/>
  <c r="B13" i="37"/>
  <c r="E23" i="17"/>
  <c r="E26" i="17"/>
  <c r="F35" i="10"/>
  <c r="F34" i="10"/>
  <c r="F33" i="17" s="1"/>
  <c r="G9" i="10"/>
  <c r="F20" i="10"/>
  <c r="F21" i="10"/>
  <c r="F20" i="17" s="1"/>
  <c r="F24" i="10"/>
  <c r="F36" i="10"/>
  <c r="F35" i="17" s="1"/>
  <c r="F31" i="10"/>
  <c r="F30" i="17" s="1"/>
  <c r="F28" i="10"/>
  <c r="F27" i="10"/>
  <c r="F26" i="17" s="1"/>
  <c r="F30" i="10"/>
  <c r="F29" i="17" s="1"/>
  <c r="F29" i="10"/>
  <c r="F28" i="17" s="1"/>
  <c r="F22" i="10"/>
  <c r="F21" i="17" s="1"/>
  <c r="F25" i="10"/>
  <c r="F24" i="17" s="1"/>
  <c r="F33" i="10"/>
  <c r="F32" i="10"/>
  <c r="E24" i="11"/>
  <c r="E28" i="11"/>
  <c r="E32" i="11"/>
  <c r="E49" i="11" s="1"/>
  <c r="E36" i="11"/>
  <c r="E53" i="11" s="1"/>
  <c r="E11" i="17" s="1"/>
  <c r="E26" i="11"/>
  <c r="E30" i="11"/>
  <c r="E34" i="11"/>
  <c r="E51" i="11" s="1"/>
  <c r="E9" i="17" s="1"/>
  <c r="E31" i="11"/>
  <c r="E25" i="11"/>
  <c r="E33" i="11"/>
  <c r="E27" i="11"/>
  <c r="E35" i="11"/>
  <c r="E52" i="11" s="1"/>
  <c r="E10" i="17" s="1"/>
  <c r="E29" i="11"/>
  <c r="E37" i="11"/>
  <c r="E54" i="11" s="1"/>
  <c r="E12" i="17" s="1"/>
  <c r="F20" i="11"/>
  <c r="B10" i="35"/>
  <c r="A11" i="35"/>
  <c r="Z43" i="33"/>
  <c r="F21" i="40"/>
  <c r="E26" i="40"/>
  <c r="F23" i="40" s="1"/>
  <c r="D54" i="11"/>
  <c r="D12" i="17" s="1"/>
  <c r="C54" i="11"/>
  <c r="C9" i="17"/>
  <c r="S3" i="41" l="1"/>
  <c r="T3" i="41" s="1"/>
  <c r="H5" i="47"/>
  <c r="I5" i="47" s="1"/>
  <c r="I9" i="47"/>
  <c r="S4" i="41"/>
  <c r="T4" i="41" s="1"/>
  <c r="H6" i="47"/>
  <c r="I6" i="47" s="1"/>
  <c r="O6" i="41"/>
  <c r="D8" i="47"/>
  <c r="R6" i="41"/>
  <c r="G8" i="47"/>
  <c r="G14" i="47" s="1"/>
  <c r="S8" i="41"/>
  <c r="T8" i="41" s="1"/>
  <c r="H10" i="47"/>
  <c r="I10" i="47" s="1"/>
  <c r="S5" i="41"/>
  <c r="T5" i="41" s="1"/>
  <c r="H7" i="47"/>
  <c r="I7" i="47" s="1"/>
  <c r="S12" i="41"/>
  <c r="T12" i="41" s="1"/>
  <c r="H11" i="47"/>
  <c r="I11" i="47" s="1"/>
  <c r="P6" i="41"/>
  <c r="E8" i="47"/>
  <c r="E14" i="47" s="1"/>
  <c r="S7" i="41"/>
  <c r="T7" i="41" s="1"/>
  <c r="H9" i="47"/>
  <c r="Q6" i="41"/>
  <c r="F8" i="47"/>
  <c r="F14" i="47" s="1"/>
  <c r="E17" i="41"/>
  <c r="P18" i="7"/>
  <c r="F17" i="41" s="1"/>
  <c r="G17" i="41"/>
  <c r="T18" i="7"/>
  <c r="H17" i="41" s="1"/>
  <c r="AB18" i="7"/>
  <c r="S23" i="7"/>
  <c r="B50" i="11" s="1"/>
  <c r="D50" i="11" s="1"/>
  <c r="D8" i="17" s="1"/>
  <c r="T20" i="7"/>
  <c r="H19" i="41" s="1"/>
  <c r="E48" i="11"/>
  <c r="AE20" i="7"/>
  <c r="R19" i="41" s="1"/>
  <c r="V20" i="7"/>
  <c r="J19" i="41" s="1"/>
  <c r="I69" i="38"/>
  <c r="Q69" i="38"/>
  <c r="G69" i="38"/>
  <c r="C49" i="38"/>
  <c r="O69" i="38"/>
  <c r="N69" i="38"/>
  <c r="F34" i="17"/>
  <c r="F32" i="17"/>
  <c r="F23" i="17"/>
  <c r="F27" i="17"/>
  <c r="J69" i="38"/>
  <c r="AD20" i="7"/>
  <c r="Q19" i="41" s="1"/>
  <c r="F69" i="38"/>
  <c r="E41" i="11"/>
  <c r="T69" i="38"/>
  <c r="S69" i="38"/>
  <c r="P69" i="38"/>
  <c r="V69" i="38"/>
  <c r="E69" i="38"/>
  <c r="H69" i="38"/>
  <c r="R69" i="38"/>
  <c r="B26" i="41"/>
  <c r="D69" i="38"/>
  <c r="K69" i="38"/>
  <c r="M69" i="38"/>
  <c r="C69" i="38"/>
  <c r="L69" i="38"/>
  <c r="B25" i="41"/>
  <c r="E46" i="11"/>
  <c r="C46" i="11"/>
  <c r="S2" i="41"/>
  <c r="T2" i="41" s="1"/>
  <c r="B27" i="41"/>
  <c r="D10" i="42"/>
  <c r="AC20" i="7"/>
  <c r="P19" i="41" s="1"/>
  <c r="Z20" i="7"/>
  <c r="N19" i="41" s="1"/>
  <c r="B24" i="41"/>
  <c r="K11" i="8"/>
  <c r="K12" i="8" s="1"/>
  <c r="F4" i="42"/>
  <c r="F10" i="42" s="1"/>
  <c r="V19" i="42" s="1"/>
  <c r="C45" i="38"/>
  <c r="B65" i="38"/>
  <c r="C46" i="38"/>
  <c r="B66" i="38"/>
  <c r="D45" i="11"/>
  <c r="E44" i="11"/>
  <c r="D46" i="11"/>
  <c r="C45" i="11"/>
  <c r="E45" i="11"/>
  <c r="AA20" i="7"/>
  <c r="D19" i="41" s="1"/>
  <c r="P20" i="7"/>
  <c r="F19" i="41" s="1"/>
  <c r="C42" i="11"/>
  <c r="B42" i="38"/>
  <c r="E42" i="11"/>
  <c r="E47" i="11"/>
  <c r="C41" i="11"/>
  <c r="B41" i="38"/>
  <c r="B43" i="11"/>
  <c r="C44" i="11"/>
  <c r="B44" i="38"/>
  <c r="X20" i="7"/>
  <c r="L19" i="41" s="1"/>
  <c r="C48" i="11"/>
  <c r="B48" i="38"/>
  <c r="AF7" i="7"/>
  <c r="K25" i="33"/>
  <c r="J31" i="33"/>
  <c r="J45" i="32"/>
  <c r="G74" i="30"/>
  <c r="GF8" i="16"/>
  <c r="GG7" i="16"/>
  <c r="F26" i="11"/>
  <c r="F30" i="11"/>
  <c r="F34" i="11"/>
  <c r="F51" i="11" s="1"/>
  <c r="F24" i="11"/>
  <c r="F41" i="11" s="1"/>
  <c r="F28" i="11"/>
  <c r="F45" i="11" s="1"/>
  <c r="F32" i="11"/>
  <c r="F49" i="11" s="1"/>
  <c r="F36" i="11"/>
  <c r="F53" i="11" s="1"/>
  <c r="F11" i="17" s="1"/>
  <c r="F25" i="11"/>
  <c r="F42" i="11" s="1"/>
  <c r="F33" i="11"/>
  <c r="F27" i="11"/>
  <c r="F44" i="11" s="1"/>
  <c r="F35" i="11"/>
  <c r="F52" i="11" s="1"/>
  <c r="F10" i="17" s="1"/>
  <c r="F29" i="11"/>
  <c r="F46" i="11" s="1"/>
  <c r="F37" i="11"/>
  <c r="F54" i="11" s="1"/>
  <c r="F12" i="17" s="1"/>
  <c r="F31" i="11"/>
  <c r="F48" i="11" s="1"/>
  <c r="G20" i="11"/>
  <c r="G34" i="10"/>
  <c r="G33" i="17" s="1"/>
  <c r="G35" i="10"/>
  <c r="G34" i="17" s="1"/>
  <c r="H9" i="10"/>
  <c r="G20" i="10"/>
  <c r="G22" i="10"/>
  <c r="G21" i="17" s="1"/>
  <c r="G25" i="10"/>
  <c r="G24" i="17" s="1"/>
  <c r="G28" i="10"/>
  <c r="G30" i="10"/>
  <c r="G29" i="17" s="1"/>
  <c r="G29" i="10"/>
  <c r="G28" i="17" s="1"/>
  <c r="G31" i="10"/>
  <c r="G27" i="10"/>
  <c r="G21" i="10"/>
  <c r="G24" i="10"/>
  <c r="G36" i="10"/>
  <c r="G33" i="10"/>
  <c r="G32" i="17" s="1"/>
  <c r="G32" i="10"/>
  <c r="F13" i="10"/>
  <c r="G7" i="10"/>
  <c r="B14" i="37"/>
  <c r="A13" i="37"/>
  <c r="H30" i="33"/>
  <c r="I24" i="33"/>
  <c r="F31" i="17"/>
  <c r="H73" i="30"/>
  <c r="K44" i="32"/>
  <c r="G72" i="30"/>
  <c r="J43" i="32"/>
  <c r="F24" i="40"/>
  <c r="F25" i="40" s="1"/>
  <c r="F26" i="40" s="1"/>
  <c r="G23" i="40" s="1"/>
  <c r="B11" i="35"/>
  <c r="A12" i="35"/>
  <c r="AA43" i="33"/>
  <c r="Z42" i="33"/>
  <c r="C12" i="17"/>
  <c r="B5" i="26" l="1"/>
  <c r="E5" i="26" s="1"/>
  <c r="AB20" i="7"/>
  <c r="O19" i="41" s="1"/>
  <c r="D13" i="47"/>
  <c r="E50" i="11"/>
  <c r="E8" i="17" s="1"/>
  <c r="S6" i="41"/>
  <c r="T6" i="41" s="1"/>
  <c r="H8" i="47"/>
  <c r="I8" i="47" s="1"/>
  <c r="B50" i="38"/>
  <c r="B70" i="38" s="1"/>
  <c r="C50" i="11"/>
  <c r="C8" i="17" s="1"/>
  <c r="F50" i="11"/>
  <c r="O17" i="41"/>
  <c r="T17" i="41" s="1"/>
  <c r="B29" i="41"/>
  <c r="B4" i="26"/>
  <c r="E4" i="26" s="1"/>
  <c r="B6" i="26"/>
  <c r="E6" i="26" s="1"/>
  <c r="B28" i="41"/>
  <c r="G30" i="17"/>
  <c r="G20" i="17"/>
  <c r="F47" i="11"/>
  <c r="C41" i="38"/>
  <c r="B61" i="38"/>
  <c r="C42" i="38"/>
  <c r="B62" i="38"/>
  <c r="S66" i="38"/>
  <c r="T66" i="38"/>
  <c r="Q66" i="38"/>
  <c r="U66" i="38"/>
  <c r="E66" i="38"/>
  <c r="I66" i="38"/>
  <c r="M66" i="38"/>
  <c r="C66" i="38"/>
  <c r="H66" i="38"/>
  <c r="N66" i="38"/>
  <c r="D66" i="38"/>
  <c r="J66" i="38"/>
  <c r="O66" i="38"/>
  <c r="G66" i="38"/>
  <c r="R66" i="38"/>
  <c r="F66" i="38"/>
  <c r="K66" i="38"/>
  <c r="P66" i="38"/>
  <c r="V66" i="38"/>
  <c r="L66" i="38"/>
  <c r="C48" i="38"/>
  <c r="B68" i="38"/>
  <c r="C44" i="38"/>
  <c r="B64" i="38"/>
  <c r="Q65" i="38"/>
  <c r="U65" i="38"/>
  <c r="R65" i="38"/>
  <c r="V65" i="38"/>
  <c r="S65" i="38"/>
  <c r="F65" i="38"/>
  <c r="J65" i="38"/>
  <c r="N65" i="38"/>
  <c r="E65" i="38"/>
  <c r="K65" i="38"/>
  <c r="P65" i="38"/>
  <c r="T65" i="38"/>
  <c r="G65" i="38"/>
  <c r="L65" i="38"/>
  <c r="I65" i="38"/>
  <c r="C65" i="38"/>
  <c r="H65" i="38"/>
  <c r="M65" i="38"/>
  <c r="D65" i="38"/>
  <c r="O65" i="38"/>
  <c r="AF20" i="7"/>
  <c r="S19" i="41" s="1"/>
  <c r="T19" i="41" s="1"/>
  <c r="D43" i="11"/>
  <c r="B43" i="38"/>
  <c r="C43" i="11"/>
  <c r="AA35" i="2"/>
  <c r="F43" i="11"/>
  <c r="B40" i="11"/>
  <c r="C47" i="11"/>
  <c r="B47" i="38"/>
  <c r="Y35" i="2"/>
  <c r="D47" i="11"/>
  <c r="E43" i="11"/>
  <c r="K45" i="32"/>
  <c r="H74" i="30"/>
  <c r="K31" i="33"/>
  <c r="L25" i="33"/>
  <c r="H72" i="30"/>
  <c r="K43" i="32"/>
  <c r="B15" i="37"/>
  <c r="A14" i="37"/>
  <c r="G26" i="17"/>
  <c r="G27" i="17"/>
  <c r="H35" i="10"/>
  <c r="H34" i="10"/>
  <c r="H20" i="10"/>
  <c r="I9" i="10"/>
  <c r="H21" i="10"/>
  <c r="H24" i="10"/>
  <c r="H36" i="10"/>
  <c r="H29" i="10"/>
  <c r="H28" i="10"/>
  <c r="H27" i="10"/>
  <c r="H26" i="17" s="1"/>
  <c r="H30" i="10"/>
  <c r="H31" i="10"/>
  <c r="H22" i="10"/>
  <c r="H25" i="10"/>
  <c r="H32" i="10"/>
  <c r="H33" i="10"/>
  <c r="GH7" i="16"/>
  <c r="GG8" i="16"/>
  <c r="J24" i="33"/>
  <c r="I30" i="33"/>
  <c r="G13" i="10"/>
  <c r="H7" i="10"/>
  <c r="G35" i="17"/>
  <c r="F8" i="17"/>
  <c r="I73" i="30"/>
  <c r="L44" i="32"/>
  <c r="G23" i="17"/>
  <c r="G31" i="17"/>
  <c r="G24" i="11"/>
  <c r="G41" i="11" s="1"/>
  <c r="G28" i="11"/>
  <c r="G45" i="11" s="1"/>
  <c r="G32" i="11"/>
  <c r="G49" i="11" s="1"/>
  <c r="G36" i="11"/>
  <c r="G53" i="11" s="1"/>
  <c r="G26" i="11"/>
  <c r="G43" i="11" s="1"/>
  <c r="G30" i="11"/>
  <c r="G47" i="11" s="1"/>
  <c r="G34" i="11"/>
  <c r="G51" i="11" s="1"/>
  <c r="G9" i="17" s="1"/>
  <c r="G27" i="11"/>
  <c r="G44" i="11" s="1"/>
  <c r="G35" i="11"/>
  <c r="G52" i="11" s="1"/>
  <c r="G29" i="11"/>
  <c r="G46" i="11" s="1"/>
  <c r="G37" i="11"/>
  <c r="G54" i="11" s="1"/>
  <c r="G31" i="11"/>
  <c r="G48" i="11" s="1"/>
  <c r="G33" i="11"/>
  <c r="G50" i="11" s="1"/>
  <c r="G8" i="17" s="1"/>
  <c r="G25" i="11"/>
  <c r="G42" i="11" s="1"/>
  <c r="H20" i="11"/>
  <c r="F9" i="17"/>
  <c r="G21" i="40"/>
  <c r="G24" i="40" s="1"/>
  <c r="G25" i="40" s="1"/>
  <c r="A13" i="35"/>
  <c r="B12" i="35"/>
  <c r="AB43" i="33"/>
  <c r="AA42" i="33"/>
  <c r="C50" i="38" l="1"/>
  <c r="I13" i="47"/>
  <c r="I14" i="47" s="1"/>
  <c r="P14" i="47" s="1"/>
  <c r="D14" i="47"/>
  <c r="H14" i="47"/>
  <c r="E55" i="11"/>
  <c r="E14" i="10" s="1"/>
  <c r="E15" i="10" s="1"/>
  <c r="E16" i="10" s="1"/>
  <c r="E15" i="17" s="1"/>
  <c r="F55" i="11"/>
  <c r="F14" i="10" s="1"/>
  <c r="F15" i="10" s="1"/>
  <c r="F16" i="10" s="1"/>
  <c r="F15" i="17" s="1"/>
  <c r="E7" i="26"/>
  <c r="B9" i="23" s="1"/>
  <c r="GG9" i="23" s="1"/>
  <c r="F40" i="11"/>
  <c r="F7" i="17" s="1"/>
  <c r="F13" i="17" s="1"/>
  <c r="D55" i="11"/>
  <c r="D14" i="10" s="1"/>
  <c r="D15" i="10" s="1"/>
  <c r="D40" i="11"/>
  <c r="D7" i="17" s="1"/>
  <c r="D13" i="17" s="1"/>
  <c r="D9" i="19" s="1"/>
  <c r="H23" i="17"/>
  <c r="S62" i="38"/>
  <c r="T62" i="38"/>
  <c r="Q62" i="38"/>
  <c r="U62" i="38"/>
  <c r="E62" i="38"/>
  <c r="I62" i="38"/>
  <c r="M62" i="38"/>
  <c r="C62" i="38"/>
  <c r="R62" i="38"/>
  <c r="G62" i="38"/>
  <c r="L62" i="38"/>
  <c r="V62" i="38"/>
  <c r="H62" i="38"/>
  <c r="N62" i="38"/>
  <c r="F62" i="38"/>
  <c r="P62" i="38"/>
  <c r="D62" i="38"/>
  <c r="J62" i="38"/>
  <c r="O62" i="38"/>
  <c r="K62" i="38"/>
  <c r="C47" i="38"/>
  <c r="B67" i="38"/>
  <c r="C43" i="38"/>
  <c r="B63" i="38"/>
  <c r="S64" i="38"/>
  <c r="T64" i="38"/>
  <c r="Q64" i="38"/>
  <c r="U64" i="38"/>
  <c r="G64" i="38"/>
  <c r="K64" i="38"/>
  <c r="O64" i="38"/>
  <c r="V64" i="38"/>
  <c r="H64" i="38"/>
  <c r="M64" i="38"/>
  <c r="D64" i="38"/>
  <c r="I64" i="38"/>
  <c r="N64" i="38"/>
  <c r="R64" i="38"/>
  <c r="L64" i="38"/>
  <c r="E64" i="38"/>
  <c r="J64" i="38"/>
  <c r="P64" i="38"/>
  <c r="C64" i="38"/>
  <c r="F64" i="38"/>
  <c r="S70" i="38"/>
  <c r="T70" i="38"/>
  <c r="Q70" i="38"/>
  <c r="U70" i="38"/>
  <c r="E70" i="38"/>
  <c r="I70" i="38"/>
  <c r="M70" i="38"/>
  <c r="C70" i="38"/>
  <c r="R70" i="38"/>
  <c r="D70" i="38"/>
  <c r="J70" i="38"/>
  <c r="O70" i="38"/>
  <c r="V70" i="38"/>
  <c r="F70" i="38"/>
  <c r="K70" i="38"/>
  <c r="P70" i="38"/>
  <c r="H70" i="38"/>
  <c r="G70" i="38"/>
  <c r="L70" i="38"/>
  <c r="N70" i="38"/>
  <c r="S68" i="38"/>
  <c r="T68" i="38"/>
  <c r="Q68" i="38"/>
  <c r="U68" i="38"/>
  <c r="G68" i="38"/>
  <c r="K68" i="38"/>
  <c r="O68" i="38"/>
  <c r="D68" i="38"/>
  <c r="I68" i="38"/>
  <c r="N68" i="38"/>
  <c r="R68" i="38"/>
  <c r="E68" i="38"/>
  <c r="J68" i="38"/>
  <c r="P68" i="38"/>
  <c r="C68" i="38"/>
  <c r="M68" i="38"/>
  <c r="V68" i="38"/>
  <c r="F68" i="38"/>
  <c r="L68" i="38"/>
  <c r="H68" i="38"/>
  <c r="Q61" i="38"/>
  <c r="U61" i="38"/>
  <c r="R61" i="38"/>
  <c r="V61" i="38"/>
  <c r="S61" i="38"/>
  <c r="F61" i="38"/>
  <c r="J61" i="38"/>
  <c r="N61" i="38"/>
  <c r="D61" i="38"/>
  <c r="I61" i="38"/>
  <c r="O61" i="38"/>
  <c r="E61" i="38"/>
  <c r="K61" i="38"/>
  <c r="P61" i="38"/>
  <c r="H61" i="38"/>
  <c r="G61" i="38"/>
  <c r="L61" i="38"/>
  <c r="C61" i="38"/>
  <c r="T61" i="38"/>
  <c r="M61" i="38"/>
  <c r="C55" i="11"/>
  <c r="C14" i="10" s="1"/>
  <c r="C15" i="10" s="1"/>
  <c r="C16" i="10" s="1"/>
  <c r="C15" i="17" s="1"/>
  <c r="E40" i="11"/>
  <c r="E7" i="17" s="1"/>
  <c r="E13" i="17" s="1"/>
  <c r="C40" i="11"/>
  <c r="C7" i="17" s="1"/>
  <c r="C13" i="17" s="1"/>
  <c r="C17" i="17" s="1"/>
  <c r="AB21" i="7"/>
  <c r="L31" i="33"/>
  <c r="M25" i="33"/>
  <c r="I74" i="30"/>
  <c r="L45" i="32"/>
  <c r="G55" i="11"/>
  <c r="H24" i="17"/>
  <c r="H33" i="17"/>
  <c r="A15" i="37"/>
  <c r="B16" i="37"/>
  <c r="G11" i="17"/>
  <c r="H13" i="10"/>
  <c r="I7" i="10"/>
  <c r="J30" i="33"/>
  <c r="K24" i="33"/>
  <c r="H21" i="17"/>
  <c r="H27" i="17"/>
  <c r="H20" i="17"/>
  <c r="H34" i="17"/>
  <c r="I72" i="30"/>
  <c r="L43" i="32"/>
  <c r="G10" i="17"/>
  <c r="H26" i="11"/>
  <c r="H43" i="11" s="1"/>
  <c r="H33" i="11"/>
  <c r="H50" i="11" s="1"/>
  <c r="H8" i="17" s="1"/>
  <c r="H37" i="11"/>
  <c r="H54" i="11" s="1"/>
  <c r="H12" i="17" s="1"/>
  <c r="H24" i="11"/>
  <c r="H41" i="11" s="1"/>
  <c r="H28" i="11"/>
  <c r="H45" i="11" s="1"/>
  <c r="H31" i="11"/>
  <c r="H48" i="11" s="1"/>
  <c r="H35" i="11"/>
  <c r="H52" i="11" s="1"/>
  <c r="H10" i="17" s="1"/>
  <c r="H29" i="11"/>
  <c r="H46" i="11" s="1"/>
  <c r="H36" i="11"/>
  <c r="H53" i="11" s="1"/>
  <c r="H11" i="17" s="1"/>
  <c r="H30" i="11"/>
  <c r="H47" i="11" s="1"/>
  <c r="H25" i="11"/>
  <c r="H42" i="11" s="1"/>
  <c r="H32" i="11"/>
  <c r="H49" i="11" s="1"/>
  <c r="H27" i="11"/>
  <c r="H44" i="11" s="1"/>
  <c r="H34" i="11"/>
  <c r="H51" i="11" s="1"/>
  <c r="I20" i="11"/>
  <c r="G12" i="17"/>
  <c r="M44" i="32"/>
  <c r="J73" i="30"/>
  <c r="H32" i="17"/>
  <c r="H30" i="17"/>
  <c r="H28" i="17"/>
  <c r="I35" i="10"/>
  <c r="I34" i="17" s="1"/>
  <c r="I34" i="10"/>
  <c r="I33" i="17" s="1"/>
  <c r="J9" i="10"/>
  <c r="I20" i="10"/>
  <c r="I22" i="10"/>
  <c r="I21" i="17" s="1"/>
  <c r="I25" i="10"/>
  <c r="I24" i="17" s="1"/>
  <c r="I27" i="10"/>
  <c r="I26" i="17" s="1"/>
  <c r="I29" i="10"/>
  <c r="I31" i="10"/>
  <c r="I28" i="10"/>
  <c r="I27" i="17" s="1"/>
  <c r="I30" i="10"/>
  <c r="I29" i="17" s="1"/>
  <c r="I21" i="10"/>
  <c r="I20" i="17" s="1"/>
  <c r="I24" i="10"/>
  <c r="I23" i="17" s="1"/>
  <c r="I36" i="10"/>
  <c r="I33" i="10"/>
  <c r="I32" i="10"/>
  <c r="I31" i="17" s="1"/>
  <c r="G40" i="11"/>
  <c r="G7" i="17" s="1"/>
  <c r="GI7" i="16"/>
  <c r="GH8" i="16"/>
  <c r="H31" i="17"/>
  <c r="H29" i="17"/>
  <c r="H35" i="17"/>
  <c r="A14" i="35"/>
  <c r="B13" i="35"/>
  <c r="AC43" i="33"/>
  <c r="AB42" i="33"/>
  <c r="H21" i="40"/>
  <c r="G26" i="40"/>
  <c r="H23" i="40" s="1"/>
  <c r="Q28" i="23"/>
  <c r="V28" i="23" l="1"/>
  <c r="D16" i="10"/>
  <c r="D15" i="17" s="1"/>
  <c r="D16" i="17" s="1"/>
  <c r="D17" i="17"/>
  <c r="D68" i="37"/>
  <c r="I30" i="17"/>
  <c r="I28" i="17"/>
  <c r="C9" i="19"/>
  <c r="C9" i="20" s="1"/>
  <c r="C55" i="38"/>
  <c r="C78" i="38"/>
  <c r="M78" i="38" s="1"/>
  <c r="Q63" i="38"/>
  <c r="U63" i="38"/>
  <c r="R63" i="38"/>
  <c r="V63" i="38"/>
  <c r="S63" i="38"/>
  <c r="D63" i="38"/>
  <c r="H63" i="38"/>
  <c r="L63" i="38"/>
  <c r="P63" i="38"/>
  <c r="E63" i="38"/>
  <c r="J63" i="38"/>
  <c r="O63" i="38"/>
  <c r="F63" i="38"/>
  <c r="K63" i="38"/>
  <c r="C63" i="38"/>
  <c r="N63" i="38"/>
  <c r="T63" i="38"/>
  <c r="G63" i="38"/>
  <c r="M63" i="38"/>
  <c r="I63" i="38"/>
  <c r="Q67" i="38"/>
  <c r="U67" i="38"/>
  <c r="R67" i="38"/>
  <c r="V67" i="38"/>
  <c r="S67" i="38"/>
  <c r="D67" i="38"/>
  <c r="H67" i="38"/>
  <c r="L67" i="38"/>
  <c r="P67" i="38"/>
  <c r="T67" i="38"/>
  <c r="F67" i="38"/>
  <c r="K67" i="38"/>
  <c r="C67" i="38"/>
  <c r="G67" i="38"/>
  <c r="M67" i="38"/>
  <c r="E67" i="38"/>
  <c r="O67" i="38"/>
  <c r="I67" i="38"/>
  <c r="N67" i="38"/>
  <c r="J67" i="38"/>
  <c r="E17" i="17"/>
  <c r="E16" i="17"/>
  <c r="E9" i="19"/>
  <c r="E9" i="20" s="1"/>
  <c r="B7" i="23"/>
  <c r="C6" i="22"/>
  <c r="AG35" i="2"/>
  <c r="B23" i="10"/>
  <c r="J23" i="10" s="1"/>
  <c r="J22" i="17" s="1"/>
  <c r="AD21" i="7"/>
  <c r="G13" i="17"/>
  <c r="G17" i="17" s="1"/>
  <c r="N25" i="33"/>
  <c r="M31" i="33"/>
  <c r="M45" i="32"/>
  <c r="J74" i="30"/>
  <c r="I35" i="17"/>
  <c r="I13" i="10"/>
  <c r="J7" i="10"/>
  <c r="G14" i="10"/>
  <c r="H40" i="11"/>
  <c r="H7" i="17" s="1"/>
  <c r="H55" i="11"/>
  <c r="H14" i="10" s="1"/>
  <c r="H15" i="10" s="1"/>
  <c r="H16" i="10" s="1"/>
  <c r="H15" i="17" s="1"/>
  <c r="A16" i="37"/>
  <c r="B17" i="37"/>
  <c r="K73" i="30"/>
  <c r="N44" i="32"/>
  <c r="I27" i="11"/>
  <c r="I44" i="11" s="1"/>
  <c r="I31" i="11"/>
  <c r="I48" i="11" s="1"/>
  <c r="I35" i="11"/>
  <c r="I52" i="11" s="1"/>
  <c r="I25" i="11"/>
  <c r="I42" i="11" s="1"/>
  <c r="I29" i="11"/>
  <c r="I46" i="11" s="1"/>
  <c r="I33" i="11"/>
  <c r="I50" i="11" s="1"/>
  <c r="I8" i="17" s="1"/>
  <c r="I37" i="11"/>
  <c r="I54" i="11" s="1"/>
  <c r="I30" i="11"/>
  <c r="I47" i="11" s="1"/>
  <c r="I24" i="11"/>
  <c r="I41" i="11" s="1"/>
  <c r="I32" i="11"/>
  <c r="I49" i="11" s="1"/>
  <c r="I26" i="11"/>
  <c r="I43" i="11" s="1"/>
  <c r="I34" i="11"/>
  <c r="I51" i="11" s="1"/>
  <c r="I9" i="17" s="1"/>
  <c r="I36" i="11"/>
  <c r="I53" i="11" s="1"/>
  <c r="I11" i="17" s="1"/>
  <c r="I28" i="11"/>
  <c r="I45" i="11" s="1"/>
  <c r="J20" i="11"/>
  <c r="J72" i="30"/>
  <c r="M43" i="32"/>
  <c r="L24" i="33"/>
  <c r="K30" i="33"/>
  <c r="GJ7" i="16"/>
  <c r="GI8" i="16"/>
  <c r="I32" i="17"/>
  <c r="J35" i="10"/>
  <c r="J34" i="17" s="1"/>
  <c r="J34" i="10"/>
  <c r="J33" i="17" s="1"/>
  <c r="J20" i="10"/>
  <c r="K9" i="10"/>
  <c r="J21" i="10"/>
  <c r="J24" i="10"/>
  <c r="J36" i="10"/>
  <c r="J31" i="10"/>
  <c r="J30" i="17" s="1"/>
  <c r="J28" i="10"/>
  <c r="J27" i="17" s="1"/>
  <c r="J27" i="10"/>
  <c r="J26" i="17" s="1"/>
  <c r="J30" i="10"/>
  <c r="J29" i="17" s="1"/>
  <c r="J29" i="10"/>
  <c r="J28" i="17" s="1"/>
  <c r="J22" i="10"/>
  <c r="J21" i="17" s="1"/>
  <c r="J25" i="10"/>
  <c r="J24" i="17" s="1"/>
  <c r="J32" i="10"/>
  <c r="J33" i="10"/>
  <c r="H9" i="17"/>
  <c r="F9" i="19"/>
  <c r="F17" i="17"/>
  <c r="F16" i="17"/>
  <c r="A15" i="35"/>
  <c r="B14" i="35"/>
  <c r="AC42" i="33"/>
  <c r="H24" i="40"/>
  <c r="H25" i="40" s="1"/>
  <c r="C16" i="17"/>
  <c r="E78" i="38" l="1"/>
  <c r="I78" i="38"/>
  <c r="P78" i="38"/>
  <c r="L78" i="38"/>
  <c r="V78" i="38"/>
  <c r="R78" i="38"/>
  <c r="H78" i="38"/>
  <c r="N78" i="38"/>
  <c r="D78" i="38"/>
  <c r="U78" i="38"/>
  <c r="I75" i="38"/>
  <c r="I77" i="38" s="1"/>
  <c r="J78" i="38"/>
  <c r="R75" i="38"/>
  <c r="R77" i="38" s="1"/>
  <c r="S78" i="38"/>
  <c r="F78" i="38"/>
  <c r="O78" i="38"/>
  <c r="H75" i="38"/>
  <c r="H77" i="38" s="1"/>
  <c r="D9" i="20"/>
  <c r="K78" i="38"/>
  <c r="Q78" i="38"/>
  <c r="T78" i="38"/>
  <c r="G78" i="38"/>
  <c r="J32" i="17"/>
  <c r="F9" i="20"/>
  <c r="O75" i="38"/>
  <c r="O77" i="38" s="1"/>
  <c r="J75" i="38"/>
  <c r="J77" i="38" s="1"/>
  <c r="U75" i="38"/>
  <c r="U77" i="38" s="1"/>
  <c r="M75" i="38"/>
  <c r="M77" i="38" s="1"/>
  <c r="L75" i="38"/>
  <c r="L77" i="38" s="1"/>
  <c r="T75" i="38"/>
  <c r="T77" i="38" s="1"/>
  <c r="G75" i="38"/>
  <c r="G77" i="38" s="1"/>
  <c r="K75" i="38"/>
  <c r="K77" i="38" s="1"/>
  <c r="C75" i="38"/>
  <c r="C77" i="38" s="1"/>
  <c r="S75" i="38"/>
  <c r="S77" i="38" s="1"/>
  <c r="V75" i="38"/>
  <c r="V77" i="38" s="1"/>
  <c r="F75" i="38"/>
  <c r="F77" i="38" s="1"/>
  <c r="E75" i="38"/>
  <c r="E77" i="38" s="1"/>
  <c r="D75" i="38"/>
  <c r="D77" i="38" s="1"/>
  <c r="N75" i="38"/>
  <c r="N77" i="38" s="1"/>
  <c r="Q75" i="38"/>
  <c r="Q77" i="38" s="1"/>
  <c r="P75" i="38"/>
  <c r="P77" i="38" s="1"/>
  <c r="C23" i="10"/>
  <c r="F23" i="10"/>
  <c r="H23" i="10"/>
  <c r="I23" i="10"/>
  <c r="E23" i="10"/>
  <c r="G23" i="10"/>
  <c r="D23" i="10"/>
  <c r="HJ8" i="23"/>
  <c r="FM8" i="23"/>
  <c r="HW8" i="23"/>
  <c r="W8" i="23"/>
  <c r="GP8" i="23"/>
  <c r="BU8" i="23"/>
  <c r="HV8" i="23"/>
  <c r="DQ8" i="23"/>
  <c r="AL8" i="23"/>
  <c r="IE8" i="23"/>
  <c r="FG8" i="23"/>
  <c r="AI8" i="23"/>
  <c r="CB8" i="23"/>
  <c r="HF8" i="23"/>
  <c r="IA8" i="23"/>
  <c r="GK8" i="23"/>
  <c r="FE8" i="23"/>
  <c r="CS8" i="23"/>
  <c r="AG8" i="23"/>
  <c r="EL8" i="23"/>
  <c r="BZ8" i="23"/>
  <c r="HR8" i="23"/>
  <c r="GY8" i="23"/>
  <c r="DK8" i="23"/>
  <c r="FD8" i="23"/>
  <c r="AF8" i="23"/>
  <c r="HB8" i="23"/>
  <c r="HY8" i="23"/>
  <c r="GI8" i="23"/>
  <c r="EY8" i="23"/>
  <c r="CM8" i="23"/>
  <c r="AA8" i="23"/>
  <c r="EF8" i="23"/>
  <c r="BT8" i="23"/>
  <c r="Y8" i="23"/>
  <c r="BF8" i="23"/>
  <c r="CL8" i="23"/>
  <c r="DR8" i="23"/>
  <c r="EX8" i="23"/>
  <c r="M8" i="23"/>
  <c r="AS8" i="23"/>
  <c r="BY8" i="23"/>
  <c r="DE8" i="23"/>
  <c r="EK8" i="23"/>
  <c r="FQ8" i="23"/>
  <c r="GG8" i="23"/>
  <c r="HM8" i="23"/>
  <c r="GF8" i="23"/>
  <c r="HL8" i="23"/>
  <c r="FP8" i="23"/>
  <c r="AE8" i="23"/>
  <c r="BK8" i="23"/>
  <c r="CQ8" i="23"/>
  <c r="DW8" i="23"/>
  <c r="FC8" i="23"/>
  <c r="AB8" i="23"/>
  <c r="BH8" i="23"/>
  <c r="CN8" i="23"/>
  <c r="DT8" i="23"/>
  <c r="EZ8" i="23"/>
  <c r="Q8" i="23"/>
  <c r="AO8" i="23"/>
  <c r="IG8" i="23"/>
  <c r="EW8" i="23"/>
  <c r="BR8" i="23"/>
  <c r="X8" i="23"/>
  <c r="DN8" i="23"/>
  <c r="HA8" i="23"/>
  <c r="FJ8" i="23"/>
  <c r="HH8" i="23"/>
  <c r="GM8" i="23"/>
  <c r="CU8" i="23"/>
  <c r="EN8" i="23"/>
  <c r="HZ8" i="23"/>
  <c r="GJ8" i="23"/>
  <c r="HG8" i="23"/>
  <c r="N8" i="23"/>
  <c r="DY8" i="23"/>
  <c r="BM8" i="23"/>
  <c r="FR8" i="23"/>
  <c r="DF8" i="23"/>
  <c r="AT8" i="23"/>
  <c r="GB8" i="23"/>
  <c r="F8" i="23"/>
  <c r="AY8" i="23"/>
  <c r="CR8" i="23"/>
  <c r="HX8" i="23"/>
  <c r="GH8" i="23"/>
  <c r="HC8" i="23"/>
  <c r="L8" i="23"/>
  <c r="DS8" i="23"/>
  <c r="BG8" i="23"/>
  <c r="FL8" i="23"/>
  <c r="CZ8" i="23"/>
  <c r="AN8" i="23"/>
  <c r="AP8" i="23"/>
  <c r="BV8" i="23"/>
  <c r="DB8" i="23"/>
  <c r="EH8" i="23"/>
  <c r="FN8" i="23"/>
  <c r="AC8" i="23"/>
  <c r="BI8" i="23"/>
  <c r="CO8" i="23"/>
  <c r="DU8" i="23"/>
  <c r="FA8" i="23"/>
  <c r="P8" i="23"/>
  <c r="GW8" i="23"/>
  <c r="IC8" i="23"/>
  <c r="GV8" i="23"/>
  <c r="IB8" i="23"/>
  <c r="O8" i="23"/>
  <c r="AU8" i="23"/>
  <c r="CA8" i="23"/>
  <c r="DG8" i="23"/>
  <c r="EM8" i="23"/>
  <c r="FS8" i="23"/>
  <c r="AR8" i="23"/>
  <c r="BX8" i="23"/>
  <c r="DD8" i="23"/>
  <c r="EJ8" i="23"/>
  <c r="DA8" i="23"/>
  <c r="CH8" i="23"/>
  <c r="GZ8" i="23"/>
  <c r="CK8" i="23"/>
  <c r="IF8" i="23"/>
  <c r="EG8" i="23"/>
  <c r="BB8" i="23"/>
  <c r="J8" i="23"/>
  <c r="CX8" i="23"/>
  <c r="GL8" i="23"/>
  <c r="T8" i="23"/>
  <c r="BO8" i="23"/>
  <c r="DH8" i="23"/>
  <c r="HP8" i="23"/>
  <c r="FZ8" i="23"/>
  <c r="GU8" i="23"/>
  <c r="D8" i="23"/>
  <c r="DI8" i="23"/>
  <c r="AW8" i="23"/>
  <c r="FB8" i="23"/>
  <c r="ET8" i="23"/>
  <c r="ED8" i="23"/>
  <c r="BE8" i="23"/>
  <c r="FT8" i="23"/>
  <c r="GA8" i="23"/>
  <c r="DV8" i="23"/>
  <c r="GX8" i="23"/>
  <c r="CE8" i="23"/>
  <c r="IH8" i="23"/>
  <c r="HO8" i="23"/>
  <c r="EI8" i="23"/>
  <c r="K8" i="23"/>
  <c r="BD8" i="23"/>
  <c r="BN8" i="23"/>
  <c r="DZ8" i="23"/>
  <c r="Z8" i="23"/>
  <c r="CG8" i="23"/>
  <c r="ES8" i="23"/>
  <c r="GO8" i="23"/>
  <c r="GN8" i="23"/>
  <c r="G8" i="23"/>
  <c r="BS8" i="23"/>
  <c r="EE8" i="23"/>
  <c r="AJ8" i="23"/>
  <c r="CV8" i="23"/>
  <c r="FH8" i="23"/>
  <c r="GQ8" i="23"/>
  <c r="ID8" i="23"/>
  <c r="EO8" i="23"/>
  <c r="HS8" i="23"/>
  <c r="HN8" i="23"/>
  <c r="DC8" i="23"/>
  <c r="FI8" i="23"/>
  <c r="S8" i="23"/>
  <c r="EU8" i="23"/>
  <c r="DL8" i="23"/>
  <c r="I8" i="23"/>
  <c r="HI8" i="23"/>
  <c r="GT8" i="23"/>
  <c r="CC8" i="23"/>
  <c r="BJ8" i="23"/>
  <c r="GC8" i="23"/>
  <c r="DX8" i="23"/>
  <c r="GR8" i="23"/>
  <c r="FW8" i="23"/>
  <c r="BW8" i="23"/>
  <c r="DP8" i="23"/>
  <c r="AH8" i="23"/>
  <c r="CT8" i="23"/>
  <c r="FF8" i="23"/>
  <c r="BA8" i="23"/>
  <c r="DM8" i="23"/>
  <c r="H8" i="23"/>
  <c r="HU8" i="23"/>
  <c r="HT8" i="23"/>
  <c r="AM8" i="23"/>
  <c r="CY8" i="23"/>
  <c r="FK8" i="23"/>
  <c r="BP8" i="23"/>
  <c r="EB8" i="23"/>
  <c r="U8" i="23"/>
  <c r="GE8" i="23"/>
  <c r="GD8" i="23"/>
  <c r="EA8" i="23"/>
  <c r="HQ8" i="23"/>
  <c r="R8" i="23"/>
  <c r="AD8" i="23"/>
  <c r="EQ8" i="23"/>
  <c r="BL8" i="23"/>
  <c r="FV8" i="23"/>
  <c r="FO8" i="23"/>
  <c r="AQ8" i="23"/>
  <c r="CJ8" i="23"/>
  <c r="AX8" i="23"/>
  <c r="DJ8" i="23"/>
  <c r="E8" i="23"/>
  <c r="BQ8" i="23"/>
  <c r="EC8" i="23"/>
  <c r="FY8" i="23"/>
  <c r="FX8" i="23"/>
  <c r="FU8" i="23"/>
  <c r="BC8" i="23"/>
  <c r="DO8" i="23"/>
  <c r="C8" i="23"/>
  <c r="CF8" i="23"/>
  <c r="ER8" i="23"/>
  <c r="HK8" i="23"/>
  <c r="AV8" i="23"/>
  <c r="CP8" i="23"/>
  <c r="V8" i="23"/>
  <c r="GS8" i="23"/>
  <c r="EV8" i="23"/>
  <c r="CD8" i="23"/>
  <c r="EP8" i="23"/>
  <c r="AK8" i="23"/>
  <c r="CW8" i="23"/>
  <c r="HE8" i="23"/>
  <c r="HD8" i="23"/>
  <c r="CI8" i="23"/>
  <c r="AZ8" i="23"/>
  <c r="G9" i="19"/>
  <c r="G9" i="20" s="1"/>
  <c r="N45" i="32"/>
  <c r="K74" i="30"/>
  <c r="H13" i="17"/>
  <c r="H9" i="19" s="1"/>
  <c r="N31" i="33"/>
  <c r="O25" i="33"/>
  <c r="J20" i="17"/>
  <c r="GK7" i="16"/>
  <c r="GJ8" i="16"/>
  <c r="G15" i="10"/>
  <c r="K34" i="10"/>
  <c r="K33" i="17" s="1"/>
  <c r="K35" i="10"/>
  <c r="K34" i="17" s="1"/>
  <c r="L9" i="10"/>
  <c r="K20" i="10"/>
  <c r="K22" i="10"/>
  <c r="K21" i="17" s="1"/>
  <c r="K25" i="10"/>
  <c r="K24" i="17" s="1"/>
  <c r="K28" i="10"/>
  <c r="K27" i="17" s="1"/>
  <c r="K30" i="10"/>
  <c r="K29" i="17" s="1"/>
  <c r="K29" i="10"/>
  <c r="K31" i="10"/>
  <c r="K30" i="17" s="1"/>
  <c r="K27" i="10"/>
  <c r="K26" i="17" s="1"/>
  <c r="K21" i="10"/>
  <c r="K20" i="17" s="1"/>
  <c r="K24" i="10"/>
  <c r="K23" i="17" s="1"/>
  <c r="K36" i="10"/>
  <c r="K35" i="17" s="1"/>
  <c r="K32" i="10"/>
  <c r="K31" i="17" s="1"/>
  <c r="K33" i="10"/>
  <c r="K23" i="10"/>
  <c r="K22" i="17" s="1"/>
  <c r="I40" i="11"/>
  <c r="I7" i="17" s="1"/>
  <c r="I55" i="11"/>
  <c r="I14" i="10" s="1"/>
  <c r="I15" i="10" s="1"/>
  <c r="L30" i="33"/>
  <c r="M24" i="33"/>
  <c r="J31" i="17"/>
  <c r="J35" i="17"/>
  <c r="J18" i="10"/>
  <c r="K72" i="30"/>
  <c r="N43" i="32"/>
  <c r="L73" i="30"/>
  <c r="O44" i="32"/>
  <c r="J13" i="10"/>
  <c r="K7" i="10"/>
  <c r="J23" i="17"/>
  <c r="J25" i="11"/>
  <c r="J42" i="11" s="1"/>
  <c r="J29" i="11"/>
  <c r="J46" i="11" s="1"/>
  <c r="J33" i="11"/>
  <c r="J50" i="11" s="1"/>
  <c r="J8" i="17" s="1"/>
  <c r="J37" i="11"/>
  <c r="J54" i="11" s="1"/>
  <c r="J12" i="17" s="1"/>
  <c r="J27" i="11"/>
  <c r="J44" i="11" s="1"/>
  <c r="J24" i="11"/>
  <c r="J41" i="11" s="1"/>
  <c r="J31" i="11"/>
  <c r="J48" i="11" s="1"/>
  <c r="J36" i="11"/>
  <c r="J53" i="11" s="1"/>
  <c r="J11" i="17" s="1"/>
  <c r="J26" i="11"/>
  <c r="J43" i="11" s="1"/>
  <c r="J32" i="11"/>
  <c r="J49" i="11" s="1"/>
  <c r="J28" i="11"/>
  <c r="J45" i="11" s="1"/>
  <c r="J34" i="11"/>
  <c r="J51" i="11" s="1"/>
  <c r="J30" i="11"/>
  <c r="J47" i="11" s="1"/>
  <c r="J35" i="11"/>
  <c r="J52" i="11" s="1"/>
  <c r="J10" i="17" s="1"/>
  <c r="K20" i="11"/>
  <c r="I12" i="17"/>
  <c r="I10" i="17"/>
  <c r="A17" i="37"/>
  <c r="B18" i="37"/>
  <c r="B15" i="35"/>
  <c r="A16" i="35"/>
  <c r="I21" i="40"/>
  <c r="H26" i="40"/>
  <c r="I23" i="40" s="1"/>
  <c r="C92" i="37" l="1"/>
  <c r="C11" i="27"/>
  <c r="CI13" i="23"/>
  <c r="C42" i="37"/>
  <c r="AK13" i="23"/>
  <c r="AK13" i="20" s="1"/>
  <c r="AK14" i="20" s="1"/>
  <c r="C206" i="37"/>
  <c r="GS13" i="23"/>
  <c r="GS13" i="20" s="1"/>
  <c r="GS14" i="20" s="1"/>
  <c r="HK13" i="23"/>
  <c r="C22" i="27"/>
  <c r="C224" i="37"/>
  <c r="C124" i="37"/>
  <c r="DO13" i="23"/>
  <c r="DO13" i="20" s="1"/>
  <c r="DO14" i="20" s="1"/>
  <c r="C186" i="37"/>
  <c r="FY13" i="23"/>
  <c r="FY13" i="20" s="1"/>
  <c r="FY14" i="20" s="1"/>
  <c r="C119" i="37"/>
  <c r="DJ13" i="23"/>
  <c r="DJ13" i="20" s="1"/>
  <c r="DJ14" i="20" s="1"/>
  <c r="FO13" i="23"/>
  <c r="C18" i="27"/>
  <c r="C176" i="37"/>
  <c r="AD13" i="23"/>
  <c r="AD13" i="20" s="1"/>
  <c r="AD14" i="20" s="1"/>
  <c r="C35" i="37"/>
  <c r="C191" i="37"/>
  <c r="GD13" i="23"/>
  <c r="GD13" i="20" s="1"/>
  <c r="GD14" i="20" s="1"/>
  <c r="BP13" i="23"/>
  <c r="BP13" i="20" s="1"/>
  <c r="BP14" i="20" s="1"/>
  <c r="C73" i="37"/>
  <c r="HT13" i="23"/>
  <c r="HT13" i="20" s="1"/>
  <c r="HT14" i="20" s="1"/>
  <c r="C233" i="37"/>
  <c r="BA13" i="23"/>
  <c r="BA13" i="20" s="1"/>
  <c r="BA14" i="20" s="1"/>
  <c r="C58" i="37"/>
  <c r="DP13" i="23"/>
  <c r="DP13" i="20" s="1"/>
  <c r="DP14" i="20" s="1"/>
  <c r="C125" i="37"/>
  <c r="DX13" i="23"/>
  <c r="DX13" i="20" s="1"/>
  <c r="DX14" i="20" s="1"/>
  <c r="C133" i="37"/>
  <c r="C207" i="37"/>
  <c r="GT13" i="23"/>
  <c r="GT13" i="20" s="1"/>
  <c r="GT14" i="20" s="1"/>
  <c r="C156" i="37"/>
  <c r="EU13" i="23"/>
  <c r="EU13" i="20" s="1"/>
  <c r="EU14" i="20" s="1"/>
  <c r="C227" i="37"/>
  <c r="HN13" i="23"/>
  <c r="HN13" i="20" s="1"/>
  <c r="HN14" i="20" s="1"/>
  <c r="GQ13" i="23"/>
  <c r="GQ13" i="20" s="1"/>
  <c r="GQ14" i="20" s="1"/>
  <c r="C204" i="37"/>
  <c r="C140" i="37"/>
  <c r="EE13" i="23"/>
  <c r="C15" i="27"/>
  <c r="C202" i="37"/>
  <c r="GO13" i="23"/>
  <c r="GO13" i="20" s="1"/>
  <c r="GO14" i="20" s="1"/>
  <c r="C135" i="37"/>
  <c r="DZ13" i="23"/>
  <c r="DZ13" i="20" s="1"/>
  <c r="DZ14" i="20" s="1"/>
  <c r="EI13" i="23"/>
  <c r="EI13" i="20" s="1"/>
  <c r="EI14" i="20" s="1"/>
  <c r="C144" i="37"/>
  <c r="C211" i="37"/>
  <c r="GX13" i="23"/>
  <c r="GX13" i="20" s="1"/>
  <c r="GX14" i="20" s="1"/>
  <c r="BE13" i="23"/>
  <c r="BE13" i="20" s="1"/>
  <c r="BE14" i="20" s="1"/>
  <c r="C62" i="37"/>
  <c r="C54" i="37"/>
  <c r="AW13" i="23"/>
  <c r="AW13" i="20" s="1"/>
  <c r="AW14" i="20" s="1"/>
  <c r="C187" i="37"/>
  <c r="FZ13" i="23"/>
  <c r="FZ13" i="20" s="1"/>
  <c r="FZ14" i="20" s="1"/>
  <c r="T13" i="23"/>
  <c r="T13" i="20" s="1"/>
  <c r="T14" i="20" s="1"/>
  <c r="C25" i="37"/>
  <c r="H25" i="37" s="1"/>
  <c r="C59" i="37"/>
  <c r="BB13" i="23"/>
  <c r="BB13" i="20" s="1"/>
  <c r="BB14" i="20" s="1"/>
  <c r="C213" i="37"/>
  <c r="GZ13" i="23"/>
  <c r="GZ13" i="20" s="1"/>
  <c r="GZ14" i="20" s="1"/>
  <c r="DD13" i="23"/>
  <c r="DD13" i="20" s="1"/>
  <c r="DD14" i="20" s="1"/>
  <c r="C113" i="37"/>
  <c r="EM13" i="23"/>
  <c r="EM13" i="20" s="1"/>
  <c r="EM14" i="20" s="1"/>
  <c r="C148" i="37"/>
  <c r="C5" i="27"/>
  <c r="O13" i="23"/>
  <c r="C20" i="37"/>
  <c r="H20" i="37" s="1"/>
  <c r="GW13" i="23"/>
  <c r="GW13" i="20" s="1"/>
  <c r="GW14" i="20" s="1"/>
  <c r="C210" i="37"/>
  <c r="CO13" i="23"/>
  <c r="CO13" i="20" s="1"/>
  <c r="CO14" i="20" s="1"/>
  <c r="C98" i="37"/>
  <c r="EH13" i="23"/>
  <c r="EH13" i="20" s="1"/>
  <c r="EH14" i="20" s="1"/>
  <c r="C143" i="37"/>
  <c r="C45" i="37"/>
  <c r="AN13" i="23"/>
  <c r="AN13" i="20" s="1"/>
  <c r="AN14" i="20" s="1"/>
  <c r="C128" i="37"/>
  <c r="DS13" i="23"/>
  <c r="C14" i="27"/>
  <c r="HX13" i="23"/>
  <c r="HX13" i="20" s="1"/>
  <c r="HX14" i="20" s="1"/>
  <c r="C237" i="37"/>
  <c r="GB13" i="23"/>
  <c r="GB13" i="20" s="1"/>
  <c r="GB14" i="20" s="1"/>
  <c r="C189" i="37"/>
  <c r="C70" i="37"/>
  <c r="BM13" i="23"/>
  <c r="BM13" i="20" s="1"/>
  <c r="BM14" i="20" s="1"/>
  <c r="C197" i="37"/>
  <c r="GJ13" i="23"/>
  <c r="GJ13" i="20" s="1"/>
  <c r="GJ14" i="20" s="1"/>
  <c r="C200" i="37"/>
  <c r="GM13" i="23"/>
  <c r="C20" i="27"/>
  <c r="C123" i="37"/>
  <c r="DN13" i="23"/>
  <c r="DN13" i="20" s="1"/>
  <c r="DN14" i="20" s="1"/>
  <c r="IG13" i="23"/>
  <c r="IG13" i="20" s="1"/>
  <c r="IG14" i="20" s="1"/>
  <c r="C246" i="37"/>
  <c r="C129" i="37"/>
  <c r="DT13" i="23"/>
  <c r="DT13" i="20" s="1"/>
  <c r="DT14" i="20" s="1"/>
  <c r="C164" i="37"/>
  <c r="FC13" i="23"/>
  <c r="C17" i="27"/>
  <c r="AE13" i="23"/>
  <c r="AE13" i="20" s="1"/>
  <c r="AE14" i="20" s="1"/>
  <c r="C36" i="37"/>
  <c r="C226" i="37"/>
  <c r="HM13" i="23"/>
  <c r="HM13" i="20" s="1"/>
  <c r="HM14" i="20" s="1"/>
  <c r="C114" i="37"/>
  <c r="DE13" i="23"/>
  <c r="DE13" i="20" s="1"/>
  <c r="DE14" i="20" s="1"/>
  <c r="C159" i="37"/>
  <c r="EX13" i="23"/>
  <c r="EX13" i="20" s="1"/>
  <c r="EX14" i="20" s="1"/>
  <c r="C30" i="37"/>
  <c r="H30" i="37" s="1"/>
  <c r="Y13" i="23"/>
  <c r="Y13" i="20" s="1"/>
  <c r="Y14" i="20" s="1"/>
  <c r="C96" i="37"/>
  <c r="CM13" i="23"/>
  <c r="CM13" i="20" s="1"/>
  <c r="CM14" i="20" s="1"/>
  <c r="C215" i="37"/>
  <c r="HB13" i="23"/>
  <c r="HB13" i="20" s="1"/>
  <c r="HB14" i="20" s="1"/>
  <c r="C212" i="37"/>
  <c r="C21" i="27"/>
  <c r="GY13" i="23"/>
  <c r="C38" i="37"/>
  <c r="AG13" i="23"/>
  <c r="AG13" i="20" s="1"/>
  <c r="AG14" i="20" s="1"/>
  <c r="C240" i="37"/>
  <c r="IA13" i="23"/>
  <c r="IA13" i="20" s="1"/>
  <c r="IA14" i="20" s="1"/>
  <c r="C168" i="37"/>
  <c r="FG13" i="23"/>
  <c r="FG13" i="20" s="1"/>
  <c r="FG14" i="20" s="1"/>
  <c r="C235" i="37"/>
  <c r="HV13" i="23"/>
  <c r="HV13" i="20" s="1"/>
  <c r="HV14" i="20" s="1"/>
  <c r="C236" i="37"/>
  <c r="HW13" i="23"/>
  <c r="C23" i="27"/>
  <c r="G22" i="17"/>
  <c r="G37" i="17" s="1"/>
  <c r="G21" i="19" s="1"/>
  <c r="G18" i="10"/>
  <c r="F18" i="10"/>
  <c r="F22" i="17"/>
  <c r="F37" i="17" s="1"/>
  <c r="C218" i="37"/>
  <c r="HE13" i="23"/>
  <c r="HE13" i="20" s="1"/>
  <c r="HE14" i="20" s="1"/>
  <c r="C87" i="37"/>
  <c r="CD13" i="23"/>
  <c r="CD13" i="20" s="1"/>
  <c r="CD14" i="20" s="1"/>
  <c r="C99" i="37"/>
  <c r="CP13" i="23"/>
  <c r="CP13" i="20" s="1"/>
  <c r="CP14" i="20" s="1"/>
  <c r="CF13" i="23"/>
  <c r="CF13" i="20" s="1"/>
  <c r="CF14" i="20" s="1"/>
  <c r="C89" i="37"/>
  <c r="FU13" i="23"/>
  <c r="FU13" i="20" s="1"/>
  <c r="FU14" i="20" s="1"/>
  <c r="C182" i="37"/>
  <c r="C74" i="37"/>
  <c r="BQ13" i="23"/>
  <c r="BQ13" i="20" s="1"/>
  <c r="BQ14" i="20" s="1"/>
  <c r="C93" i="37"/>
  <c r="CJ13" i="23"/>
  <c r="CJ13" i="20" s="1"/>
  <c r="CJ14" i="20" s="1"/>
  <c r="C69" i="37"/>
  <c r="BL13" i="23"/>
  <c r="BL13" i="20" s="1"/>
  <c r="BL14" i="20" s="1"/>
  <c r="HQ13" i="23"/>
  <c r="HQ13" i="20" s="1"/>
  <c r="HQ14" i="20" s="1"/>
  <c r="C230" i="37"/>
  <c r="C26" i="37"/>
  <c r="H26" i="37" s="1"/>
  <c r="U13" i="23"/>
  <c r="U13" i="20" s="1"/>
  <c r="U14" i="20" s="1"/>
  <c r="CY13" i="23"/>
  <c r="CY13" i="20" s="1"/>
  <c r="CY14" i="20" s="1"/>
  <c r="C108" i="37"/>
  <c r="H13" i="23"/>
  <c r="H13" i="20" s="1"/>
  <c r="H14" i="20" s="1"/>
  <c r="C13" i="37"/>
  <c r="H13" i="37" s="1"/>
  <c r="CT13" i="23"/>
  <c r="CT13" i="20" s="1"/>
  <c r="CT14" i="20" s="1"/>
  <c r="C103" i="37"/>
  <c r="FW13" i="23"/>
  <c r="FW13" i="20" s="1"/>
  <c r="FW14" i="20" s="1"/>
  <c r="C184" i="37"/>
  <c r="BJ13" i="23"/>
  <c r="BJ13" i="20" s="1"/>
  <c r="BJ14" i="20" s="1"/>
  <c r="C67" i="37"/>
  <c r="C14" i="37"/>
  <c r="H14" i="37" s="1"/>
  <c r="I13" i="23"/>
  <c r="I13" i="20" s="1"/>
  <c r="I14" i="20" s="1"/>
  <c r="C170" i="37"/>
  <c r="FI13" i="23"/>
  <c r="FI13" i="20" s="1"/>
  <c r="FI14" i="20" s="1"/>
  <c r="C150" i="37"/>
  <c r="EO13" i="23"/>
  <c r="EO13" i="20" s="1"/>
  <c r="EO14" i="20" s="1"/>
  <c r="C105" i="37"/>
  <c r="CV13" i="23"/>
  <c r="CV13" i="20" s="1"/>
  <c r="CV14" i="20" s="1"/>
  <c r="C12" i="37"/>
  <c r="H12" i="37" s="1"/>
  <c r="G13" i="23"/>
  <c r="G13" i="20" s="1"/>
  <c r="G14" i="20" s="1"/>
  <c r="C90" i="37"/>
  <c r="CG13" i="23"/>
  <c r="CG13" i="20" s="1"/>
  <c r="CG14" i="20" s="1"/>
  <c r="BD13" i="23"/>
  <c r="BD13" i="20" s="1"/>
  <c r="BD14" i="20" s="1"/>
  <c r="C61" i="37"/>
  <c r="C247" i="37"/>
  <c r="IH13" i="23"/>
  <c r="IH13" i="20" s="1"/>
  <c r="IH14" i="20" s="1"/>
  <c r="GA13" i="23"/>
  <c r="C19" i="27"/>
  <c r="C188" i="37"/>
  <c r="C155" i="37"/>
  <c r="ET13" i="23"/>
  <c r="ET13" i="20" s="1"/>
  <c r="ET14" i="20" s="1"/>
  <c r="C9" i="37"/>
  <c r="H9" i="37" s="1"/>
  <c r="D13" i="23"/>
  <c r="D13" i="20" s="1"/>
  <c r="D14" i="20" s="1"/>
  <c r="DH13" i="23"/>
  <c r="DH13" i="20" s="1"/>
  <c r="DH14" i="20" s="1"/>
  <c r="C117" i="37"/>
  <c r="CX13" i="23"/>
  <c r="CX13" i="20" s="1"/>
  <c r="CX14" i="20" s="1"/>
  <c r="C107" i="37"/>
  <c r="C245" i="37"/>
  <c r="IF13" i="23"/>
  <c r="IF13" i="20" s="1"/>
  <c r="IF14" i="20" s="1"/>
  <c r="C110" i="37"/>
  <c r="DA13" i="23"/>
  <c r="DA13" i="20" s="1"/>
  <c r="DA14" i="20" s="1"/>
  <c r="C49" i="37"/>
  <c r="AR13" i="23"/>
  <c r="AR13" i="20" s="1"/>
  <c r="AR14" i="20" s="1"/>
  <c r="C84" i="37"/>
  <c r="CA13" i="23"/>
  <c r="CA13" i="20" s="1"/>
  <c r="CA14" i="20" s="1"/>
  <c r="C209" i="37"/>
  <c r="GV13" i="23"/>
  <c r="GV13" i="20" s="1"/>
  <c r="GV14" i="20" s="1"/>
  <c r="C162" i="37"/>
  <c r="FA13" i="23"/>
  <c r="FA13" i="20" s="1"/>
  <c r="FA14" i="20" s="1"/>
  <c r="AC13" i="23"/>
  <c r="AC13" i="20" s="1"/>
  <c r="AC14" i="20" s="1"/>
  <c r="C34" i="37"/>
  <c r="C79" i="37"/>
  <c r="BV13" i="23"/>
  <c r="BV13" i="20" s="1"/>
  <c r="BV14" i="20" s="1"/>
  <c r="FL13" i="23"/>
  <c r="FL13" i="20" s="1"/>
  <c r="FL14" i="20" s="1"/>
  <c r="C173" i="37"/>
  <c r="C216" i="37"/>
  <c r="HC13" i="23"/>
  <c r="HC13" i="20" s="1"/>
  <c r="HC14" i="20" s="1"/>
  <c r="C56" i="37"/>
  <c r="C8" i="27"/>
  <c r="AY13" i="23"/>
  <c r="C115" i="37"/>
  <c r="DF13" i="23"/>
  <c r="DF13" i="20" s="1"/>
  <c r="DF14" i="20" s="1"/>
  <c r="C19" i="37"/>
  <c r="H19" i="37" s="1"/>
  <c r="N13" i="23"/>
  <c r="N13" i="20" s="1"/>
  <c r="N14" i="20" s="1"/>
  <c r="EN13" i="23"/>
  <c r="EN13" i="20" s="1"/>
  <c r="EN14" i="20" s="1"/>
  <c r="C149" i="37"/>
  <c r="FJ13" i="23"/>
  <c r="FJ13" i="20" s="1"/>
  <c r="FJ14" i="20" s="1"/>
  <c r="C171" i="37"/>
  <c r="BR13" i="23"/>
  <c r="BR13" i="20" s="1"/>
  <c r="BR14" i="20" s="1"/>
  <c r="C75" i="37"/>
  <c r="Q13" i="23"/>
  <c r="Q13" i="20" s="1"/>
  <c r="Q14" i="20" s="1"/>
  <c r="C22" i="37"/>
  <c r="H22" i="37" s="1"/>
  <c r="C65" i="37"/>
  <c r="BH13" i="23"/>
  <c r="BH13" i="20" s="1"/>
  <c r="BH14" i="20" s="1"/>
  <c r="C100" i="37"/>
  <c r="CQ13" i="23"/>
  <c r="CQ13" i="20" s="1"/>
  <c r="CQ14" i="20" s="1"/>
  <c r="C225" i="37"/>
  <c r="HL13" i="23"/>
  <c r="HL13" i="20" s="1"/>
  <c r="HL14" i="20" s="1"/>
  <c r="C178" i="37"/>
  <c r="FQ13" i="23"/>
  <c r="FQ13" i="20" s="1"/>
  <c r="FQ14" i="20" s="1"/>
  <c r="C50" i="37"/>
  <c r="AS13" i="23"/>
  <c r="AS13" i="20" s="1"/>
  <c r="AS14" i="20" s="1"/>
  <c r="C95" i="37"/>
  <c r="CL13" i="23"/>
  <c r="CL13" i="20" s="1"/>
  <c r="CL14" i="20" s="1"/>
  <c r="EF13" i="23"/>
  <c r="EF13" i="20" s="1"/>
  <c r="EF14" i="20" s="1"/>
  <c r="C141" i="37"/>
  <c r="GI13" i="23"/>
  <c r="GI13" i="20" s="1"/>
  <c r="GI14" i="20" s="1"/>
  <c r="C196" i="37"/>
  <c r="C165" i="37"/>
  <c r="FD13" i="23"/>
  <c r="FD13" i="20" s="1"/>
  <c r="FD14" i="20" s="1"/>
  <c r="C83" i="37"/>
  <c r="BZ13" i="23"/>
  <c r="BZ13" i="20" s="1"/>
  <c r="BZ14" i="20" s="1"/>
  <c r="C166" i="37"/>
  <c r="FE13" i="23"/>
  <c r="FE13" i="20" s="1"/>
  <c r="FE14" i="20" s="1"/>
  <c r="C85" i="37"/>
  <c r="CB13" i="23"/>
  <c r="CB13" i="20" s="1"/>
  <c r="CB14" i="20" s="1"/>
  <c r="AL13" i="23"/>
  <c r="AL13" i="20" s="1"/>
  <c r="AL14" i="20" s="1"/>
  <c r="C43" i="37"/>
  <c r="GP13" i="23"/>
  <c r="GP13" i="20" s="1"/>
  <c r="GP14" i="20" s="1"/>
  <c r="C203" i="37"/>
  <c r="C223" i="37"/>
  <c r="HJ13" i="23"/>
  <c r="HJ13" i="20" s="1"/>
  <c r="HJ14" i="20" s="1"/>
  <c r="I18" i="10"/>
  <c r="I22" i="17"/>
  <c r="I37" i="17" s="1"/>
  <c r="I21" i="19" s="1"/>
  <c r="C217" i="37"/>
  <c r="HD13" i="23"/>
  <c r="HD13" i="20" s="1"/>
  <c r="HD14" i="20" s="1"/>
  <c r="C151" i="37"/>
  <c r="EP13" i="23"/>
  <c r="EP13" i="20" s="1"/>
  <c r="EP14" i="20" s="1"/>
  <c r="V13" i="23"/>
  <c r="V13" i="20" s="1"/>
  <c r="V14" i="20" s="1"/>
  <c r="C27" i="37"/>
  <c r="H27" i="37" s="1"/>
  <c r="ER13" i="23"/>
  <c r="ER13" i="20" s="1"/>
  <c r="ER14" i="20" s="1"/>
  <c r="C153" i="37"/>
  <c r="C60" i="37"/>
  <c r="BC13" i="23"/>
  <c r="BC13" i="20" s="1"/>
  <c r="BC14" i="20" s="1"/>
  <c r="C138" i="37"/>
  <c r="EC13" i="23"/>
  <c r="EC13" i="20" s="1"/>
  <c r="EC14" i="20" s="1"/>
  <c r="C55" i="37"/>
  <c r="AX13" i="23"/>
  <c r="AX13" i="20" s="1"/>
  <c r="AX14" i="20" s="1"/>
  <c r="FV13" i="23"/>
  <c r="FV13" i="20" s="1"/>
  <c r="FV14" i="20" s="1"/>
  <c r="C183" i="37"/>
  <c r="R13" i="23"/>
  <c r="R13" i="20" s="1"/>
  <c r="R14" i="20" s="1"/>
  <c r="C23" i="37"/>
  <c r="H23" i="37" s="1"/>
  <c r="GE13" i="23"/>
  <c r="GE13" i="20" s="1"/>
  <c r="GE14" i="20" s="1"/>
  <c r="C192" i="37"/>
  <c r="C172" i="37"/>
  <c r="FK13" i="23"/>
  <c r="FK13" i="20" s="1"/>
  <c r="FK14" i="20" s="1"/>
  <c r="C234" i="37"/>
  <c r="HU13" i="23"/>
  <c r="HU13" i="20" s="1"/>
  <c r="HU14" i="20" s="1"/>
  <c r="C167" i="37"/>
  <c r="FF13" i="23"/>
  <c r="FF13" i="20" s="1"/>
  <c r="FF14" i="20" s="1"/>
  <c r="C80" i="37"/>
  <c r="BW13" i="23"/>
  <c r="C10" i="27"/>
  <c r="GC13" i="23"/>
  <c r="GC13" i="20" s="1"/>
  <c r="GC14" i="20" s="1"/>
  <c r="C190" i="37"/>
  <c r="HI13" i="23"/>
  <c r="HI13" i="20" s="1"/>
  <c r="HI14" i="20" s="1"/>
  <c r="C222" i="37"/>
  <c r="C24" i="37"/>
  <c r="H24" i="37" s="1"/>
  <c r="S13" i="23"/>
  <c r="S13" i="20" s="1"/>
  <c r="S14" i="20" s="1"/>
  <c r="C232" i="37"/>
  <c r="HS13" i="23"/>
  <c r="HS13" i="20" s="1"/>
  <c r="HS14" i="20" s="1"/>
  <c r="FH13" i="23"/>
  <c r="FH13" i="20" s="1"/>
  <c r="FH14" i="20" s="1"/>
  <c r="C169" i="37"/>
  <c r="BS13" i="23"/>
  <c r="BS13" i="20" s="1"/>
  <c r="BS14" i="20" s="1"/>
  <c r="C76" i="37"/>
  <c r="ES13" i="23"/>
  <c r="ES13" i="20" s="1"/>
  <c r="ES14" i="20" s="1"/>
  <c r="C154" i="37"/>
  <c r="BN13" i="23"/>
  <c r="BN13" i="20" s="1"/>
  <c r="BN14" i="20" s="1"/>
  <c r="C71" i="37"/>
  <c r="C228" i="37"/>
  <c r="HO13" i="23"/>
  <c r="HO13" i="20" s="1"/>
  <c r="HO14" i="20" s="1"/>
  <c r="C131" i="37"/>
  <c r="DV13" i="23"/>
  <c r="DV13" i="20" s="1"/>
  <c r="DV14" i="20" s="1"/>
  <c r="ED13" i="23"/>
  <c r="ED13" i="20" s="1"/>
  <c r="ED14" i="20" s="1"/>
  <c r="C139" i="37"/>
  <c r="DI13" i="23"/>
  <c r="DI13" i="20" s="1"/>
  <c r="DI14" i="20" s="1"/>
  <c r="C118" i="37"/>
  <c r="C229" i="37"/>
  <c r="HP13" i="23"/>
  <c r="HP13" i="20" s="1"/>
  <c r="HP14" i="20" s="1"/>
  <c r="GL13" i="23"/>
  <c r="GL13" i="20" s="1"/>
  <c r="GL14" i="20" s="1"/>
  <c r="C199" i="37"/>
  <c r="C142" i="37"/>
  <c r="EG13" i="23"/>
  <c r="EG13" i="20" s="1"/>
  <c r="EG14" i="20" s="1"/>
  <c r="CH13" i="23"/>
  <c r="CH13" i="20" s="1"/>
  <c r="CH14" i="20" s="1"/>
  <c r="C91" i="37"/>
  <c r="C81" i="37"/>
  <c r="BX13" i="23"/>
  <c r="BX13" i="20" s="1"/>
  <c r="BX14" i="20" s="1"/>
  <c r="DG13" i="23"/>
  <c r="C13" i="27"/>
  <c r="C116" i="37"/>
  <c r="C241" i="37"/>
  <c r="IB13" i="23"/>
  <c r="IB13" i="20" s="1"/>
  <c r="IB14" i="20" s="1"/>
  <c r="C21" i="37"/>
  <c r="H21" i="37" s="1"/>
  <c r="P13" i="23"/>
  <c r="P13" i="20" s="1"/>
  <c r="P14" i="20" s="1"/>
  <c r="C66" i="37"/>
  <c r="BI13" i="23"/>
  <c r="BI13" i="20" s="1"/>
  <c r="BI14" i="20" s="1"/>
  <c r="C111" i="37"/>
  <c r="DB13" i="23"/>
  <c r="DB13" i="20" s="1"/>
  <c r="DB14" i="20" s="1"/>
  <c r="C109" i="37"/>
  <c r="CZ13" i="23"/>
  <c r="CZ13" i="20" s="1"/>
  <c r="CZ14" i="20" s="1"/>
  <c r="C17" i="37"/>
  <c r="H17" i="37" s="1"/>
  <c r="L13" i="23"/>
  <c r="L13" i="20" s="1"/>
  <c r="L14" i="20" s="1"/>
  <c r="CR13" i="23"/>
  <c r="CR13" i="20" s="1"/>
  <c r="CR14" i="20" s="1"/>
  <c r="C101" i="37"/>
  <c r="AT13" i="23"/>
  <c r="AT13" i="20" s="1"/>
  <c r="AT14" i="20" s="1"/>
  <c r="C51" i="37"/>
  <c r="DY13" i="23"/>
  <c r="DY13" i="20" s="1"/>
  <c r="DY14" i="20" s="1"/>
  <c r="C134" i="37"/>
  <c r="C239" i="37"/>
  <c r="HZ13" i="23"/>
  <c r="HZ13" i="20" s="1"/>
  <c r="HZ14" i="20" s="1"/>
  <c r="HH13" i="23"/>
  <c r="HH13" i="20" s="1"/>
  <c r="HH14" i="20" s="1"/>
  <c r="C221" i="37"/>
  <c r="C29" i="37"/>
  <c r="H29" i="37" s="1"/>
  <c r="X13" i="23"/>
  <c r="X13" i="20" s="1"/>
  <c r="X14" i="20" s="1"/>
  <c r="AO13" i="23"/>
  <c r="AO13" i="20" s="1"/>
  <c r="AO14" i="20" s="1"/>
  <c r="C46" i="37"/>
  <c r="C97" i="37"/>
  <c r="CN13" i="23"/>
  <c r="CN13" i="20" s="1"/>
  <c r="CN14" i="20" s="1"/>
  <c r="DW13" i="23"/>
  <c r="DW13" i="20" s="1"/>
  <c r="DW14" i="20" s="1"/>
  <c r="C132" i="37"/>
  <c r="C177" i="37"/>
  <c r="FP13" i="23"/>
  <c r="FP13" i="20" s="1"/>
  <c r="FP14" i="20" s="1"/>
  <c r="C194" i="37"/>
  <c r="C82" i="37"/>
  <c r="BY13" i="23"/>
  <c r="BY13" i="20" s="1"/>
  <c r="BY14" i="20" s="1"/>
  <c r="C127" i="37"/>
  <c r="DR13" i="23"/>
  <c r="DR13" i="20" s="1"/>
  <c r="DR14" i="20" s="1"/>
  <c r="BT13" i="23"/>
  <c r="BT13" i="20" s="1"/>
  <c r="BT14" i="20" s="1"/>
  <c r="C77" i="37"/>
  <c r="C160" i="37"/>
  <c r="EY13" i="23"/>
  <c r="EY13" i="20" s="1"/>
  <c r="EY14" i="20" s="1"/>
  <c r="C37" i="37"/>
  <c r="AF13" i="23"/>
  <c r="AF13" i="20" s="1"/>
  <c r="AF14" i="20" s="1"/>
  <c r="C231" i="37"/>
  <c r="HR13" i="23"/>
  <c r="HR13" i="20" s="1"/>
  <c r="HR14" i="20" s="1"/>
  <c r="C102" i="37"/>
  <c r="CS13" i="23"/>
  <c r="CS13" i="20" s="1"/>
  <c r="CS14" i="20" s="1"/>
  <c r="HF13" i="23"/>
  <c r="HF13" i="20" s="1"/>
  <c r="HF14" i="20" s="1"/>
  <c r="C219" i="37"/>
  <c r="IE13" i="23"/>
  <c r="IE13" i="20" s="1"/>
  <c r="IE14" i="20" s="1"/>
  <c r="C244" i="37"/>
  <c r="C78" i="37"/>
  <c r="BU13" i="23"/>
  <c r="BU13" i="20" s="1"/>
  <c r="BU14" i="20" s="1"/>
  <c r="FM13" i="23"/>
  <c r="FM13" i="20" s="1"/>
  <c r="FM14" i="20" s="1"/>
  <c r="C174" i="37"/>
  <c r="E18" i="10"/>
  <c r="E22" i="17"/>
  <c r="E37" i="17" s="1"/>
  <c r="C22" i="17"/>
  <c r="C37" i="17" s="1"/>
  <c r="C18" i="10"/>
  <c r="C57" i="37"/>
  <c r="AZ13" i="23"/>
  <c r="AZ13" i="20" s="1"/>
  <c r="AZ14" i="20" s="1"/>
  <c r="C106" i="37"/>
  <c r="CW13" i="23"/>
  <c r="CW13" i="20" s="1"/>
  <c r="CW14" i="20" s="1"/>
  <c r="C157" i="37"/>
  <c r="EV13" i="23"/>
  <c r="EV13" i="20" s="1"/>
  <c r="EV14" i="20" s="1"/>
  <c r="AV13" i="23"/>
  <c r="AV13" i="20" s="1"/>
  <c r="AV14" i="20" s="1"/>
  <c r="C53" i="37"/>
  <c r="C13" i="23"/>
  <c r="C8" i="37"/>
  <c r="B8" i="23"/>
  <c r="C4" i="27"/>
  <c r="FX13" i="23"/>
  <c r="FX13" i="20" s="1"/>
  <c r="FX14" i="20" s="1"/>
  <c r="C185" i="37"/>
  <c r="C10" i="37"/>
  <c r="H10" i="37" s="1"/>
  <c r="E13" i="23"/>
  <c r="E13" i="20" s="1"/>
  <c r="E14" i="20" s="1"/>
  <c r="AQ13" i="23"/>
  <c r="AQ13" i="20" s="1"/>
  <c r="AQ14" i="20" s="1"/>
  <c r="C48" i="37"/>
  <c r="EQ13" i="23"/>
  <c r="C16" i="27"/>
  <c r="C152" i="37"/>
  <c r="C136" i="37"/>
  <c r="EA13" i="23"/>
  <c r="EA13" i="20" s="1"/>
  <c r="EA14" i="20" s="1"/>
  <c r="C137" i="37"/>
  <c r="EB13" i="23"/>
  <c r="EB13" i="20" s="1"/>
  <c r="EB14" i="20" s="1"/>
  <c r="C44" i="37"/>
  <c r="AM13" i="23"/>
  <c r="C7" i="27"/>
  <c r="C122" i="37"/>
  <c r="DM13" i="23"/>
  <c r="DM13" i="20" s="1"/>
  <c r="DM14" i="20" s="1"/>
  <c r="C39" i="37"/>
  <c r="AH13" i="23"/>
  <c r="AH13" i="20" s="1"/>
  <c r="AH14" i="20" s="1"/>
  <c r="GR13" i="23"/>
  <c r="GR13" i="20" s="1"/>
  <c r="GR14" i="20" s="1"/>
  <c r="C205" i="37"/>
  <c r="C86" i="37"/>
  <c r="CC13" i="23"/>
  <c r="CC13" i="20" s="1"/>
  <c r="CC14" i="20" s="1"/>
  <c r="DL13" i="23"/>
  <c r="DL13" i="20" s="1"/>
  <c r="DL14" i="20" s="1"/>
  <c r="C121" i="37"/>
  <c r="C112" i="37"/>
  <c r="DC13" i="23"/>
  <c r="DC13" i="20" s="1"/>
  <c r="DC14" i="20" s="1"/>
  <c r="ID13" i="23"/>
  <c r="ID13" i="20" s="1"/>
  <c r="ID14" i="20" s="1"/>
  <c r="C243" i="37"/>
  <c r="AJ13" i="23"/>
  <c r="AJ13" i="20" s="1"/>
  <c r="AJ14" i="20" s="1"/>
  <c r="C41" i="37"/>
  <c r="GN13" i="23"/>
  <c r="GN13" i="20" s="1"/>
  <c r="GN14" i="20" s="1"/>
  <c r="C201" i="37"/>
  <c r="Z13" i="23"/>
  <c r="Z13" i="20" s="1"/>
  <c r="Z14" i="20" s="1"/>
  <c r="C31" i="37"/>
  <c r="H31" i="37" s="1"/>
  <c r="K13" i="23"/>
  <c r="K13" i="20" s="1"/>
  <c r="K14" i="20" s="1"/>
  <c r="C16" i="37"/>
  <c r="H16" i="37" s="1"/>
  <c r="CE13" i="23"/>
  <c r="CE13" i="20" s="1"/>
  <c r="CE14" i="20" s="1"/>
  <c r="C88" i="37"/>
  <c r="FT13" i="23"/>
  <c r="FT13" i="20" s="1"/>
  <c r="FT14" i="20" s="1"/>
  <c r="C181" i="37"/>
  <c r="FB13" i="23"/>
  <c r="FB13" i="20" s="1"/>
  <c r="FB14" i="20" s="1"/>
  <c r="C163" i="37"/>
  <c r="GU13" i="23"/>
  <c r="GU13" i="20" s="1"/>
  <c r="GU14" i="20" s="1"/>
  <c r="C208" i="37"/>
  <c r="C72" i="37"/>
  <c r="BO13" i="23"/>
  <c r="BO13" i="20" s="1"/>
  <c r="BO14" i="20" s="1"/>
  <c r="J13" i="23"/>
  <c r="J13" i="20" s="1"/>
  <c r="J14" i="20" s="1"/>
  <c r="C15" i="37"/>
  <c r="H15" i="37" s="1"/>
  <c r="C94" i="37"/>
  <c r="CK13" i="23"/>
  <c r="CK13" i="20" s="1"/>
  <c r="CK14" i="20" s="1"/>
  <c r="EJ13" i="23"/>
  <c r="EJ13" i="20" s="1"/>
  <c r="EJ14" i="20" s="1"/>
  <c r="C145" i="37"/>
  <c r="C180" i="37"/>
  <c r="FS13" i="23"/>
  <c r="FS13" i="20" s="1"/>
  <c r="FS14" i="20" s="1"/>
  <c r="C52" i="37"/>
  <c r="AU13" i="23"/>
  <c r="AU13" i="20" s="1"/>
  <c r="AU14" i="20" s="1"/>
  <c r="IC13" i="23"/>
  <c r="IC13" i="20" s="1"/>
  <c r="IC14" i="20" s="1"/>
  <c r="C242" i="37"/>
  <c r="DU13" i="23"/>
  <c r="DU13" i="20" s="1"/>
  <c r="DU14" i="20" s="1"/>
  <c r="C130" i="37"/>
  <c r="FN13" i="23"/>
  <c r="FN13" i="20" s="1"/>
  <c r="FN14" i="20" s="1"/>
  <c r="C175" i="37"/>
  <c r="AP13" i="23"/>
  <c r="AP13" i="20" s="1"/>
  <c r="AP14" i="20" s="1"/>
  <c r="C47" i="37"/>
  <c r="BG13" i="23"/>
  <c r="BG13" i="20" s="1"/>
  <c r="BG14" i="20" s="1"/>
  <c r="C64" i="37"/>
  <c r="C195" i="37"/>
  <c r="GH13" i="23"/>
  <c r="GH13" i="20" s="1"/>
  <c r="GH14" i="20" s="1"/>
  <c r="C11" i="37"/>
  <c r="H11" i="37" s="1"/>
  <c r="F13" i="23"/>
  <c r="F13" i="20" s="1"/>
  <c r="F14" i="20" s="1"/>
  <c r="C179" i="37"/>
  <c r="FR13" i="23"/>
  <c r="FR13" i="20" s="1"/>
  <c r="FR14" i="20" s="1"/>
  <c r="HG13" i="23"/>
  <c r="HG13" i="20" s="1"/>
  <c r="HG14" i="20" s="1"/>
  <c r="C220" i="37"/>
  <c r="C104" i="37"/>
  <c r="CU13" i="23"/>
  <c r="C12" i="27"/>
  <c r="C214" i="37"/>
  <c r="HA13" i="23"/>
  <c r="HA13" i="20" s="1"/>
  <c r="HA14" i="20" s="1"/>
  <c r="EW13" i="23"/>
  <c r="EW13" i="20" s="1"/>
  <c r="EW14" i="20" s="1"/>
  <c r="C158" i="37"/>
  <c r="EZ13" i="23"/>
  <c r="EZ13" i="20" s="1"/>
  <c r="EZ14" i="20" s="1"/>
  <c r="C161" i="37"/>
  <c r="C33" i="37"/>
  <c r="AB13" i="23"/>
  <c r="AB13" i="20" s="1"/>
  <c r="AB14" i="20" s="1"/>
  <c r="C68" i="37"/>
  <c r="C9" i="27"/>
  <c r="BK13" i="23"/>
  <c r="C193" i="37"/>
  <c r="GF13" i="23"/>
  <c r="GF13" i="20" s="1"/>
  <c r="GF14" i="20" s="1"/>
  <c r="C146" i="37"/>
  <c r="EK13" i="23"/>
  <c r="EK13" i="20" s="1"/>
  <c r="EK14" i="20" s="1"/>
  <c r="C18" i="37"/>
  <c r="H18" i="37" s="1"/>
  <c r="M13" i="23"/>
  <c r="M13" i="20" s="1"/>
  <c r="M14" i="20" s="1"/>
  <c r="C63" i="37"/>
  <c r="BF13" i="23"/>
  <c r="BF13" i="20" s="1"/>
  <c r="BF14" i="20" s="1"/>
  <c r="AA13" i="23"/>
  <c r="C32" i="37"/>
  <c r="C6" i="27"/>
  <c r="HY13" i="23"/>
  <c r="HY13" i="20" s="1"/>
  <c r="HY14" i="20" s="1"/>
  <c r="C238" i="37"/>
  <c r="C120" i="37"/>
  <c r="DK13" i="23"/>
  <c r="DK13" i="20" s="1"/>
  <c r="DK14" i="20" s="1"/>
  <c r="C147" i="37"/>
  <c r="EL13" i="23"/>
  <c r="EL13" i="20" s="1"/>
  <c r="EL14" i="20" s="1"/>
  <c r="C198" i="37"/>
  <c r="GK13" i="23"/>
  <c r="GK13" i="20" s="1"/>
  <c r="GK14" i="20" s="1"/>
  <c r="C40" i="37"/>
  <c r="AI13" i="23"/>
  <c r="AI13" i="20" s="1"/>
  <c r="AI14" i="20" s="1"/>
  <c r="C126" i="37"/>
  <c r="DQ13" i="23"/>
  <c r="DQ13" i="20" s="1"/>
  <c r="DQ14" i="20" s="1"/>
  <c r="C28" i="37"/>
  <c r="H28" i="37" s="1"/>
  <c r="W13" i="23"/>
  <c r="W13" i="20" s="1"/>
  <c r="W14" i="20" s="1"/>
  <c r="D22" i="17"/>
  <c r="D37" i="17" s="1"/>
  <c r="D18" i="10"/>
  <c r="H22" i="17"/>
  <c r="H37" i="17" s="1"/>
  <c r="H18" i="10"/>
  <c r="H9" i="20"/>
  <c r="H16" i="17"/>
  <c r="H17" i="17"/>
  <c r="I16" i="10"/>
  <c r="I15" i="17" s="1"/>
  <c r="I19" i="19" s="1"/>
  <c r="I13" i="17"/>
  <c r="I9" i="19" s="1"/>
  <c r="I9" i="20" s="1"/>
  <c r="J37" i="17"/>
  <c r="J21" i="19" s="1"/>
  <c r="O31" i="33"/>
  <c r="P25" i="33"/>
  <c r="O45" i="32"/>
  <c r="L74" i="30"/>
  <c r="K13" i="10"/>
  <c r="L7" i="10"/>
  <c r="N24" i="33"/>
  <c r="M30" i="33"/>
  <c r="GL7" i="16"/>
  <c r="GK8" i="16"/>
  <c r="J9" i="17"/>
  <c r="L72" i="30"/>
  <c r="O43" i="32"/>
  <c r="K27" i="11"/>
  <c r="K44" i="11" s="1"/>
  <c r="K31" i="11"/>
  <c r="K48" i="11" s="1"/>
  <c r="K35" i="11"/>
  <c r="K52" i="11" s="1"/>
  <c r="K28" i="11"/>
  <c r="K45" i="11" s="1"/>
  <c r="K33" i="11"/>
  <c r="K50" i="11" s="1"/>
  <c r="K8" i="17" s="1"/>
  <c r="K24" i="11"/>
  <c r="K41" i="11" s="1"/>
  <c r="K29" i="11"/>
  <c r="K46" i="11" s="1"/>
  <c r="K34" i="11"/>
  <c r="K51" i="11" s="1"/>
  <c r="K9" i="17" s="1"/>
  <c r="K25" i="11"/>
  <c r="K42" i="11" s="1"/>
  <c r="K30" i="11"/>
  <c r="K47" i="11" s="1"/>
  <c r="K36" i="11"/>
  <c r="K53" i="11" s="1"/>
  <c r="K32" i="11"/>
  <c r="K49" i="11" s="1"/>
  <c r="K37" i="11"/>
  <c r="K54" i="11" s="1"/>
  <c r="K26" i="11"/>
  <c r="K43" i="11" s="1"/>
  <c r="L20" i="11"/>
  <c r="M73" i="30"/>
  <c r="P44" i="32"/>
  <c r="K28" i="17"/>
  <c r="B19" i="37"/>
  <c r="A18" i="37"/>
  <c r="L35" i="10"/>
  <c r="L34" i="17" s="1"/>
  <c r="L34" i="10"/>
  <c r="L33" i="17" s="1"/>
  <c r="L20" i="10"/>
  <c r="M9" i="10"/>
  <c r="L21" i="10"/>
  <c r="L24" i="10"/>
  <c r="L36" i="10"/>
  <c r="L28" i="10"/>
  <c r="L27" i="17" s="1"/>
  <c r="L27" i="10"/>
  <c r="L26" i="17" s="1"/>
  <c r="L30" i="10"/>
  <c r="L29" i="17" s="1"/>
  <c r="L29" i="10"/>
  <c r="L28" i="17" s="1"/>
  <c r="L31" i="10"/>
  <c r="L30" i="17" s="1"/>
  <c r="L22" i="10"/>
  <c r="L21" i="17" s="1"/>
  <c r="L25" i="10"/>
  <c r="L24" i="17" s="1"/>
  <c r="L33" i="10"/>
  <c r="L32" i="17" s="1"/>
  <c r="L32" i="10"/>
  <c r="L23" i="10"/>
  <c r="G16" i="10"/>
  <c r="J40" i="11"/>
  <c r="J55" i="11"/>
  <c r="J14" i="10" s="1"/>
  <c r="K32" i="17"/>
  <c r="K18" i="10"/>
  <c r="I24" i="40"/>
  <c r="I25" i="40" s="1"/>
  <c r="I26" i="40" s="1"/>
  <c r="J23" i="40" s="1"/>
  <c r="A17" i="35"/>
  <c r="B16" i="35"/>
  <c r="H39" i="17" l="1"/>
  <c r="K37" i="17"/>
  <c r="K21" i="19" s="1"/>
  <c r="D21" i="19"/>
  <c r="D19" i="19"/>
  <c r="D39" i="17"/>
  <c r="M198" i="37"/>
  <c r="H198" i="37"/>
  <c r="M32" i="37"/>
  <c r="H32" i="37"/>
  <c r="H214" i="37"/>
  <c r="M214" i="37"/>
  <c r="M220" i="37"/>
  <c r="H220" i="37"/>
  <c r="H175" i="37"/>
  <c r="M175" i="37"/>
  <c r="H163" i="37"/>
  <c r="M163" i="37"/>
  <c r="M88" i="37"/>
  <c r="H88" i="37"/>
  <c r="HV8" i="27"/>
  <c r="GG8" i="27"/>
  <c r="FQ8" i="27"/>
  <c r="EX8" i="27"/>
  <c r="HC8" i="27"/>
  <c r="DV8" i="27"/>
  <c r="FC8" i="27"/>
  <c r="EJ8" i="27"/>
  <c r="FF8" i="27"/>
  <c r="GZ8" i="27"/>
  <c r="EP8" i="27"/>
  <c r="HG8" i="27"/>
  <c r="GJ8" i="27"/>
  <c r="FE8" i="27"/>
  <c r="DQ8" i="27"/>
  <c r="DR8" i="27"/>
  <c r="DO8" i="27"/>
  <c r="EW8" i="27"/>
  <c r="FW8" i="27"/>
  <c r="DL8" i="27"/>
  <c r="EL8" i="27"/>
  <c r="DM8" i="27"/>
  <c r="HA8" i="27"/>
  <c r="ER8" i="27"/>
  <c r="DX8" i="27"/>
  <c r="HL8" i="27"/>
  <c r="HH8" i="27"/>
  <c r="FY8" i="27"/>
  <c r="HW8" i="27"/>
  <c r="HD8" i="27"/>
  <c r="EV8" i="27"/>
  <c r="HJ8" i="27"/>
  <c r="GW8" i="27"/>
  <c r="EO8" i="27"/>
  <c r="HP8" i="27"/>
  <c r="FM8" i="27"/>
  <c r="DN8" i="27"/>
  <c r="GB8" i="27"/>
  <c r="FV8" i="27"/>
  <c r="DW8" i="27"/>
  <c r="EC8" i="27"/>
  <c r="GC8" i="27"/>
  <c r="HK8" i="27"/>
  <c r="GO8" i="27"/>
  <c r="FG8" i="27"/>
  <c r="HB8" i="27"/>
  <c r="FU8" i="27"/>
  <c r="EQ8" i="27"/>
  <c r="DY8" i="27"/>
  <c r="FD8" i="27"/>
  <c r="GA8" i="27"/>
  <c r="DJ8" i="27"/>
  <c r="GX8" i="27"/>
  <c r="DS8" i="27"/>
  <c r="DT8" i="27"/>
  <c r="ED8" i="27"/>
  <c r="GR8" i="27"/>
  <c r="GL8" i="27"/>
  <c r="EM8" i="27"/>
  <c r="FH8" i="27"/>
  <c r="HU8" i="27"/>
  <c r="FN8" i="27"/>
  <c r="FI8" i="27"/>
  <c r="FL8" i="27"/>
  <c r="GV8" i="27"/>
  <c r="GD8" i="27"/>
  <c r="FX8" i="27"/>
  <c r="EH8" i="27"/>
  <c r="HI8" i="27"/>
  <c r="EB8" i="27"/>
  <c r="HS8" i="27"/>
  <c r="EN8" i="27"/>
  <c r="FR8" i="27"/>
  <c r="HM8" i="27"/>
  <c r="ET8" i="27"/>
  <c r="HT8" i="27"/>
  <c r="HF8" i="27"/>
  <c r="FO8" i="27"/>
  <c r="FZ8" i="27"/>
  <c r="ES8" i="27"/>
  <c r="DI8" i="27"/>
  <c r="GE8" i="27"/>
  <c r="GF8" i="27"/>
  <c r="GP8" i="27"/>
  <c r="EA8" i="27"/>
  <c r="EG8" i="27"/>
  <c r="GY8" i="27"/>
  <c r="HR8" i="27"/>
  <c r="FJ8" i="27"/>
  <c r="EY8" i="27"/>
  <c r="EU8" i="27"/>
  <c r="EI8" i="27"/>
  <c r="HO8" i="27"/>
  <c r="EK8" i="27"/>
  <c r="DP8" i="27"/>
  <c r="HE8" i="27"/>
  <c r="EE8" i="27"/>
  <c r="GM8" i="27"/>
  <c r="FB8" i="27"/>
  <c r="GH8" i="27"/>
  <c r="FK8" i="27"/>
  <c r="GU8" i="27"/>
  <c r="GI8" i="27"/>
  <c r="EF8" i="27"/>
  <c r="FA8" i="27"/>
  <c r="GS8" i="27"/>
  <c r="GQ8" i="27"/>
  <c r="GK8" i="27"/>
  <c r="DU8" i="27"/>
  <c r="FT8" i="27"/>
  <c r="DZ8" i="27"/>
  <c r="FS8" i="27"/>
  <c r="FP8" i="27"/>
  <c r="GT8" i="27"/>
  <c r="GN8" i="27"/>
  <c r="HX8" i="27"/>
  <c r="HQ8" i="27"/>
  <c r="DK8" i="27"/>
  <c r="HN8" i="27"/>
  <c r="EZ8" i="27"/>
  <c r="H137" i="37"/>
  <c r="M137" i="37"/>
  <c r="DH5" i="27"/>
  <c r="EE5" i="27"/>
  <c r="DC5" i="27"/>
  <c r="CP5" i="27"/>
  <c r="EV5" i="27"/>
  <c r="FC5" i="27"/>
  <c r="CU5" i="27"/>
  <c r="DW5" i="27"/>
  <c r="FB5" i="27"/>
  <c r="CE5" i="27"/>
  <c r="EF5" i="27"/>
  <c r="BZ5" i="27"/>
  <c r="GK5" i="27"/>
  <c r="FJ5" i="27"/>
  <c r="EK5" i="27"/>
  <c r="DZ5" i="27"/>
  <c r="CH5" i="27"/>
  <c r="FR5" i="27"/>
  <c r="FE5" i="27"/>
  <c r="DD5" i="27"/>
  <c r="EG5" i="27"/>
  <c r="GL5" i="27"/>
  <c r="DO5" i="27"/>
  <c r="ET5" i="27"/>
  <c r="FA5" i="27"/>
  <c r="EZ5" i="27"/>
  <c r="CB5" i="27"/>
  <c r="DQ5" i="27"/>
  <c r="DP5" i="27"/>
  <c r="DT5" i="27"/>
  <c r="FG5" i="27"/>
  <c r="FF5" i="27"/>
  <c r="GJ5" i="27"/>
  <c r="DY5" i="27"/>
  <c r="EJ5" i="27"/>
  <c r="FQ5" i="27"/>
  <c r="GE5" i="27"/>
  <c r="DA5" i="27"/>
  <c r="EM5" i="27"/>
  <c r="FI5" i="27"/>
  <c r="FU5" i="27"/>
  <c r="CW5" i="27"/>
  <c r="FZ5" i="27"/>
  <c r="GI5" i="27"/>
  <c r="FD5" i="27"/>
  <c r="FY5" i="27"/>
  <c r="CL5" i="27"/>
  <c r="EQ5" i="27"/>
  <c r="GG5" i="27"/>
  <c r="CS5" i="27"/>
  <c r="EA5" i="27"/>
  <c r="CI5" i="27"/>
  <c r="DX5" i="27"/>
  <c r="CC5" i="27"/>
  <c r="DL5" i="27"/>
  <c r="CV5" i="27"/>
  <c r="FV5" i="27"/>
  <c r="CY5" i="27"/>
  <c r="DN5" i="27"/>
  <c r="FW5" i="27"/>
  <c r="EH5" i="27"/>
  <c r="CF5" i="27"/>
  <c r="ES5" i="27"/>
  <c r="CM5" i="27"/>
  <c r="EI5" i="27"/>
  <c r="CK5" i="27"/>
  <c r="GM5" i="27"/>
  <c r="BY5" i="27"/>
  <c r="EU5" i="27"/>
  <c r="GH5" i="27"/>
  <c r="DS5" i="27"/>
  <c r="EP5" i="27"/>
  <c r="CA5" i="27"/>
  <c r="EO5" i="27"/>
  <c r="CR5" i="27"/>
  <c r="GB5" i="27"/>
  <c r="DK5" i="27"/>
  <c r="GC5" i="27"/>
  <c r="CT5" i="27"/>
  <c r="EY5" i="27"/>
  <c r="DI5" i="27"/>
  <c r="GD5" i="27"/>
  <c r="EB5" i="27"/>
  <c r="DM5" i="27"/>
  <c r="DJ5" i="27"/>
  <c r="FH5" i="27"/>
  <c r="CO5" i="27"/>
  <c r="DU5" i="27"/>
  <c r="FM5" i="27"/>
  <c r="FN5" i="27"/>
  <c r="DV5" i="27"/>
  <c r="CD5" i="27"/>
  <c r="CQ5" i="27"/>
  <c r="GN5" i="27"/>
  <c r="CZ5" i="27"/>
  <c r="ER5" i="27"/>
  <c r="EC5" i="27"/>
  <c r="CJ5" i="27"/>
  <c r="CX5" i="27"/>
  <c r="GA5" i="27"/>
  <c r="EW5" i="27"/>
  <c r="DE5" i="27"/>
  <c r="CN5" i="27"/>
  <c r="EX5" i="27"/>
  <c r="FO5" i="27"/>
  <c r="DR5" i="27"/>
  <c r="ED5" i="27"/>
  <c r="FX5" i="27"/>
  <c r="GF5" i="27"/>
  <c r="DG5" i="27"/>
  <c r="EN5" i="27"/>
  <c r="FL5" i="27"/>
  <c r="FS5" i="27"/>
  <c r="FT5" i="27"/>
  <c r="DF5" i="27"/>
  <c r="CG5" i="27"/>
  <c r="C24" i="27"/>
  <c r="FP5" i="27"/>
  <c r="FK5" i="27"/>
  <c r="DB5" i="27"/>
  <c r="EL5" i="27"/>
  <c r="H53" i="37"/>
  <c r="M53" i="37"/>
  <c r="H174" i="37"/>
  <c r="M174" i="37"/>
  <c r="H244" i="37"/>
  <c r="M244" i="37"/>
  <c r="M77" i="37"/>
  <c r="H77" i="37"/>
  <c r="H81" i="37"/>
  <c r="M81" i="37"/>
  <c r="H142" i="37"/>
  <c r="M142" i="37"/>
  <c r="M229" i="37"/>
  <c r="H229" i="37"/>
  <c r="M228" i="37"/>
  <c r="H228" i="37"/>
  <c r="M43" i="37"/>
  <c r="H43" i="37"/>
  <c r="M149" i="37"/>
  <c r="H149" i="37"/>
  <c r="H56" i="37"/>
  <c r="M56" i="37"/>
  <c r="M67" i="37"/>
  <c r="H67" i="37"/>
  <c r="M108" i="37"/>
  <c r="H108" i="37"/>
  <c r="M230" i="37"/>
  <c r="H230" i="37"/>
  <c r="M168" i="37"/>
  <c r="H168" i="37"/>
  <c r="H38" i="37"/>
  <c r="M38" i="37"/>
  <c r="H36" i="37"/>
  <c r="M36" i="37"/>
  <c r="GM13" i="20"/>
  <c r="GM14" i="20" s="1"/>
  <c r="D20" i="27"/>
  <c r="HG21" i="27" s="1"/>
  <c r="M237" i="37"/>
  <c r="H237" i="37"/>
  <c r="H148" i="37"/>
  <c r="M148" i="37"/>
  <c r="H156" i="37"/>
  <c r="M156" i="37"/>
  <c r="H42" i="37"/>
  <c r="M42" i="37"/>
  <c r="HH13" i="27"/>
  <c r="FV13" i="27"/>
  <c r="HJ13" i="27"/>
  <c r="HL13" i="27"/>
  <c r="GW13" i="27"/>
  <c r="HZ13" i="27"/>
  <c r="HV13" i="27"/>
  <c r="GL13" i="27"/>
  <c r="IE13" i="27"/>
  <c r="GE13" i="27"/>
  <c r="GA13" i="27"/>
  <c r="IJ13" i="27"/>
  <c r="GZ13" i="27"/>
  <c r="GV13" i="27"/>
  <c r="GX13" i="27"/>
  <c r="HE13" i="27"/>
  <c r="FU13" i="27"/>
  <c r="II13" i="27"/>
  <c r="HF13" i="27"/>
  <c r="IB13" i="27"/>
  <c r="HX13" i="27"/>
  <c r="HT13" i="27"/>
  <c r="GJ13" i="27"/>
  <c r="HQ13" i="27"/>
  <c r="GO13" i="27"/>
  <c r="HU13" i="27"/>
  <c r="HB13" i="27"/>
  <c r="FR13" i="27"/>
  <c r="GN13" i="27"/>
  <c r="FY13" i="27"/>
  <c r="IC13" i="27"/>
  <c r="GT13" i="27"/>
  <c r="HY13" i="27"/>
  <c r="GS13" i="27"/>
  <c r="HN13" i="27"/>
  <c r="FZ13" i="27"/>
  <c r="GI13" i="27"/>
  <c r="GK13" i="27"/>
  <c r="IF13" i="27"/>
  <c r="GP13" i="27"/>
  <c r="FW13" i="27"/>
  <c r="GU13" i="27"/>
  <c r="HM13" i="27"/>
  <c r="HS13" i="27"/>
  <c r="HP13" i="27"/>
  <c r="HD13" i="27"/>
  <c r="IA13" i="27"/>
  <c r="HC13" i="27"/>
  <c r="GF13" i="27"/>
  <c r="FX13" i="27"/>
  <c r="ID13" i="27"/>
  <c r="GR13" i="27"/>
  <c r="GM13" i="27"/>
  <c r="IH13" i="27"/>
  <c r="GH13" i="27"/>
  <c r="FQ13" i="27"/>
  <c r="HA13" i="27"/>
  <c r="HO13" i="27"/>
  <c r="HI13" i="27"/>
  <c r="GD13" i="27"/>
  <c r="HG13" i="27"/>
  <c r="GQ13" i="27"/>
  <c r="GG13" i="27"/>
  <c r="GB13" i="27"/>
  <c r="GY13" i="27"/>
  <c r="HR13" i="27"/>
  <c r="FS13" i="27"/>
  <c r="FT13" i="27"/>
  <c r="IG13" i="27"/>
  <c r="GC13" i="27"/>
  <c r="HW13" i="27"/>
  <c r="HK13" i="27"/>
  <c r="M94" i="37"/>
  <c r="H94" i="37"/>
  <c r="H86" i="37"/>
  <c r="M86" i="37"/>
  <c r="AM13" i="20"/>
  <c r="AM14" i="20" s="1"/>
  <c r="D7" i="27"/>
  <c r="DF8" i="27" s="1"/>
  <c r="H106" i="37"/>
  <c r="M106" i="37"/>
  <c r="M102" i="37"/>
  <c r="H102" i="37"/>
  <c r="H82" i="37"/>
  <c r="M82" i="37"/>
  <c r="H177" i="37"/>
  <c r="M177" i="37"/>
  <c r="H97" i="37"/>
  <c r="M97" i="37"/>
  <c r="M239" i="37"/>
  <c r="H239" i="37"/>
  <c r="GE14" i="27"/>
  <c r="GJ14" i="27"/>
  <c r="IJ14" i="27"/>
  <c r="GV14" i="27"/>
  <c r="IG14" i="27"/>
  <c r="IF14" i="27"/>
  <c r="GC14" i="27"/>
  <c r="HH14" i="27"/>
  <c r="GU14" i="27"/>
  <c r="IB14" i="27"/>
  <c r="HP14" i="27"/>
  <c r="GN14" i="27"/>
  <c r="HB14" i="27"/>
  <c r="HJ14" i="27"/>
  <c r="HC14" i="27"/>
  <c r="HU14" i="27"/>
  <c r="HY14" i="27"/>
  <c r="HW14" i="27"/>
  <c r="GH14" i="27"/>
  <c r="HM14" i="27"/>
  <c r="GO14" i="27"/>
  <c r="HI14" i="27"/>
  <c r="GK14" i="27"/>
  <c r="GT14" i="27"/>
  <c r="HG14" i="27"/>
  <c r="GW14" i="27"/>
  <c r="HQ14" i="27"/>
  <c r="GG14" i="27"/>
  <c r="GR14" i="27"/>
  <c r="GP14" i="27"/>
  <c r="HL14" i="27"/>
  <c r="HZ14" i="27"/>
  <c r="GM14" i="27"/>
  <c r="IH14" i="27"/>
  <c r="HD14" i="27"/>
  <c r="GL14" i="27"/>
  <c r="GF14" i="27"/>
  <c r="HO14" i="27"/>
  <c r="GS14" i="27"/>
  <c r="GI14" i="27"/>
  <c r="HK14" i="27"/>
  <c r="IE14" i="27"/>
  <c r="GQ14" i="27"/>
  <c r="HX14" i="27"/>
  <c r="HT14" i="27"/>
  <c r="GD14" i="27"/>
  <c r="IA14" i="27"/>
  <c r="GX14" i="27"/>
  <c r="ID14" i="27"/>
  <c r="HN14" i="27"/>
  <c r="HA14" i="27"/>
  <c r="HE14" i="27"/>
  <c r="IC14" i="27"/>
  <c r="GY14" i="27"/>
  <c r="GZ14" i="27"/>
  <c r="HV14" i="27"/>
  <c r="II14" i="27"/>
  <c r="HS14" i="27"/>
  <c r="HF14" i="27"/>
  <c r="HR14" i="27"/>
  <c r="M199" i="37"/>
  <c r="H199" i="37"/>
  <c r="M71" i="37"/>
  <c r="H71" i="37"/>
  <c r="H76" i="37"/>
  <c r="M76" i="37"/>
  <c r="H222" i="37"/>
  <c r="M222" i="37"/>
  <c r="M166" i="37"/>
  <c r="H166" i="37"/>
  <c r="H50" i="37"/>
  <c r="M50" i="37"/>
  <c r="H225" i="37"/>
  <c r="M225" i="37"/>
  <c r="M65" i="37"/>
  <c r="H65" i="37"/>
  <c r="M115" i="37"/>
  <c r="H115" i="37"/>
  <c r="H107" i="37"/>
  <c r="M107" i="37"/>
  <c r="H188" i="37"/>
  <c r="M188" i="37"/>
  <c r="H247" i="37"/>
  <c r="M247" i="37"/>
  <c r="H90" i="37"/>
  <c r="M90" i="37"/>
  <c r="M105" i="37"/>
  <c r="H105" i="37"/>
  <c r="H170" i="37"/>
  <c r="M170" i="37"/>
  <c r="M93" i="37"/>
  <c r="H93" i="37"/>
  <c r="H99" i="37"/>
  <c r="M99" i="37"/>
  <c r="M218" i="37"/>
  <c r="H218" i="37"/>
  <c r="GY13" i="20"/>
  <c r="GY14" i="20" s="1"/>
  <c r="D21" i="27"/>
  <c r="HP22" i="27" s="1"/>
  <c r="H215" i="37"/>
  <c r="M215" i="37"/>
  <c r="H114" i="37"/>
  <c r="M114" i="37"/>
  <c r="M200" i="37"/>
  <c r="H200" i="37"/>
  <c r="M70" i="37"/>
  <c r="H70" i="37"/>
  <c r="H98" i="37"/>
  <c r="M98" i="37"/>
  <c r="M213" i="37"/>
  <c r="H213" i="37"/>
  <c r="M54" i="37"/>
  <c r="H54" i="37"/>
  <c r="H211" i="37"/>
  <c r="M211" i="37"/>
  <c r="M135" i="37"/>
  <c r="H135" i="37"/>
  <c r="EE13" i="20"/>
  <c r="EE14" i="20" s="1"/>
  <c r="D15" i="27"/>
  <c r="FW16" i="27" s="1"/>
  <c r="M125" i="37"/>
  <c r="H125" i="37"/>
  <c r="H233" i="37"/>
  <c r="M233" i="37"/>
  <c r="H176" i="37"/>
  <c r="M176" i="37"/>
  <c r="M119" i="37"/>
  <c r="H119" i="37"/>
  <c r="M124" i="37"/>
  <c r="H124" i="37"/>
  <c r="CI13" i="20"/>
  <c r="CI14" i="20" s="1"/>
  <c r="D11" i="27"/>
  <c r="DZ12" i="27" s="1"/>
  <c r="H21" i="19"/>
  <c r="H19" i="19"/>
  <c r="H40" i="37"/>
  <c r="M40" i="37"/>
  <c r="M147" i="37"/>
  <c r="H147" i="37"/>
  <c r="BK13" i="20"/>
  <c r="BK14" i="20" s="1"/>
  <c r="D9" i="27"/>
  <c r="CA10" i="27" s="1"/>
  <c r="H33" i="37"/>
  <c r="M33" i="37"/>
  <c r="CU13" i="20"/>
  <c r="CU14" i="20" s="1"/>
  <c r="D12" i="27"/>
  <c r="H47" i="37"/>
  <c r="M47" i="37"/>
  <c r="M130" i="37"/>
  <c r="H130" i="37"/>
  <c r="M145" i="37"/>
  <c r="H145" i="37"/>
  <c r="M208" i="37"/>
  <c r="H208" i="37"/>
  <c r="M181" i="37"/>
  <c r="H181" i="37"/>
  <c r="H201" i="37"/>
  <c r="M201" i="37"/>
  <c r="H243" i="37"/>
  <c r="M243" i="37"/>
  <c r="M121" i="37"/>
  <c r="H121" i="37"/>
  <c r="H205" i="37"/>
  <c r="M205" i="37"/>
  <c r="H44" i="37"/>
  <c r="M44" i="37"/>
  <c r="H136" i="37"/>
  <c r="M136" i="37"/>
  <c r="M48" i="37"/>
  <c r="H48" i="37"/>
  <c r="H185" i="37"/>
  <c r="M185" i="37"/>
  <c r="H8" i="37"/>
  <c r="C308" i="37"/>
  <c r="E21" i="19"/>
  <c r="E19" i="19"/>
  <c r="E39" i="17"/>
  <c r="H219" i="37"/>
  <c r="M219" i="37"/>
  <c r="H132" i="37"/>
  <c r="M132" i="37"/>
  <c r="M46" i="37"/>
  <c r="H46" i="37"/>
  <c r="M221" i="37"/>
  <c r="H221" i="37"/>
  <c r="M134" i="37"/>
  <c r="H134" i="37"/>
  <c r="H101" i="37"/>
  <c r="M101" i="37"/>
  <c r="DG13" i="20"/>
  <c r="DG14" i="20" s="1"/>
  <c r="D13" i="27"/>
  <c r="FX14" i="27" s="1"/>
  <c r="H131" i="37"/>
  <c r="M131" i="37"/>
  <c r="M232" i="37"/>
  <c r="H232" i="37"/>
  <c r="BW13" i="20"/>
  <c r="BW14" i="20" s="1"/>
  <c r="D10" i="27"/>
  <c r="EN11" i="27" s="1"/>
  <c r="H192" i="37"/>
  <c r="M192" i="37"/>
  <c r="H183" i="37"/>
  <c r="M183" i="37"/>
  <c r="H153" i="37"/>
  <c r="M153" i="37"/>
  <c r="M203" i="37"/>
  <c r="H203" i="37"/>
  <c r="H196" i="37"/>
  <c r="M196" i="37"/>
  <c r="H171" i="37"/>
  <c r="M171" i="37"/>
  <c r="AY13" i="20"/>
  <c r="AY14" i="20" s="1"/>
  <c r="D8" i="27"/>
  <c r="DT9" i="27" s="1"/>
  <c r="M216" i="37"/>
  <c r="H216" i="37"/>
  <c r="M79" i="37"/>
  <c r="H79" i="37"/>
  <c r="H162" i="37"/>
  <c r="M162" i="37"/>
  <c r="M84" i="37"/>
  <c r="H84" i="37"/>
  <c r="M110" i="37"/>
  <c r="H110" i="37"/>
  <c r="H61" i="37"/>
  <c r="M61" i="37"/>
  <c r="H184" i="37"/>
  <c r="M184" i="37"/>
  <c r="M89" i="37"/>
  <c r="H89" i="37"/>
  <c r="F21" i="19"/>
  <c r="F19" i="19"/>
  <c r="F39" i="17"/>
  <c r="H235" i="37"/>
  <c r="M235" i="37"/>
  <c r="M240" i="37"/>
  <c r="H240" i="37"/>
  <c r="IH18" i="27"/>
  <c r="IA18" i="27"/>
  <c r="IE18" i="27"/>
  <c r="HZ18" i="27"/>
  <c r="IC18" i="27"/>
  <c r="ID18" i="27"/>
  <c r="IF18" i="27"/>
  <c r="IG18" i="27"/>
  <c r="HY18" i="27"/>
  <c r="IJ18" i="27"/>
  <c r="II18" i="27"/>
  <c r="IB18" i="27"/>
  <c r="H129" i="37"/>
  <c r="M129" i="37"/>
  <c r="M123" i="37"/>
  <c r="H123" i="37"/>
  <c r="H189" i="37"/>
  <c r="M189" i="37"/>
  <c r="IG15" i="27"/>
  <c r="GR15" i="27"/>
  <c r="GP15" i="27"/>
  <c r="HB15" i="27"/>
  <c r="HU15" i="27"/>
  <c r="HG15" i="27"/>
  <c r="HI15" i="27"/>
  <c r="HJ15" i="27"/>
  <c r="IA15" i="27"/>
  <c r="HL15" i="27"/>
  <c r="HE15" i="27"/>
  <c r="HV15" i="27"/>
  <c r="GV15" i="27"/>
  <c r="IH15" i="27"/>
  <c r="GS15" i="27"/>
  <c r="IF15" i="27"/>
  <c r="IB15" i="27"/>
  <c r="HR15" i="27"/>
  <c r="GY15" i="27"/>
  <c r="IC15" i="27"/>
  <c r="IJ15" i="27"/>
  <c r="HA15" i="27"/>
  <c r="II15" i="27"/>
  <c r="HM15" i="27"/>
  <c r="HF15" i="27"/>
  <c r="GX15" i="27"/>
  <c r="GO15" i="27"/>
  <c r="HW15" i="27"/>
  <c r="GQ15" i="27"/>
  <c r="ID15" i="27"/>
  <c r="HY15" i="27"/>
  <c r="HQ15" i="27"/>
  <c r="HP15" i="27"/>
  <c r="HO15" i="27"/>
  <c r="HT15" i="27"/>
  <c r="HK15" i="27"/>
  <c r="HZ15" i="27"/>
  <c r="HN15" i="27"/>
  <c r="GW15" i="27"/>
  <c r="HD15" i="27"/>
  <c r="HC15" i="27"/>
  <c r="HH15" i="27"/>
  <c r="GZ15" i="27"/>
  <c r="GU15" i="27"/>
  <c r="HS15" i="27"/>
  <c r="GT15" i="27"/>
  <c r="HX15" i="27"/>
  <c r="IE15" i="27"/>
  <c r="M45" i="37"/>
  <c r="H45" i="37"/>
  <c r="O13" i="20"/>
  <c r="O14" i="20" s="1"/>
  <c r="D5" i="27"/>
  <c r="AV6" i="27" s="1"/>
  <c r="M113" i="37"/>
  <c r="H113" i="37"/>
  <c r="H62" i="37"/>
  <c r="M62" i="37"/>
  <c r="H144" i="37"/>
  <c r="M144" i="37"/>
  <c r="H140" i="37"/>
  <c r="M140" i="37"/>
  <c r="H227" i="37"/>
  <c r="M227" i="37"/>
  <c r="H207" i="37"/>
  <c r="M207" i="37"/>
  <c r="M191" i="37"/>
  <c r="H191" i="37"/>
  <c r="H224" i="37"/>
  <c r="M224" i="37"/>
  <c r="H206" i="37"/>
  <c r="M206" i="37"/>
  <c r="GC12" i="27"/>
  <c r="FZ12" i="27"/>
  <c r="IC12" i="27"/>
  <c r="HS12" i="27"/>
  <c r="ID12" i="27"/>
  <c r="FP12" i="27"/>
  <c r="GZ12" i="27"/>
  <c r="GI12" i="27"/>
  <c r="FV12" i="27"/>
  <c r="GO12" i="27"/>
  <c r="HL12" i="27"/>
  <c r="FO12" i="27"/>
  <c r="IE12" i="27"/>
  <c r="GY12" i="27"/>
  <c r="FR12" i="27"/>
  <c r="IF12" i="27"/>
  <c r="HE12" i="27"/>
  <c r="FH12" i="27"/>
  <c r="HU12" i="27"/>
  <c r="GG12" i="27"/>
  <c r="HK12" i="27"/>
  <c r="IH12" i="27"/>
  <c r="GB12" i="27"/>
  <c r="HG12" i="27"/>
  <c r="HR12" i="27"/>
  <c r="GX12" i="27"/>
  <c r="FE12" i="27"/>
  <c r="HX12" i="27"/>
  <c r="GT12" i="27"/>
  <c r="GP12" i="27"/>
  <c r="HY12" i="27"/>
  <c r="GN12" i="27"/>
  <c r="GL12" i="27"/>
  <c r="II12" i="27"/>
  <c r="HO12" i="27"/>
  <c r="GV12" i="27"/>
  <c r="HB12" i="27"/>
  <c r="HW12" i="27"/>
  <c r="GM12" i="27"/>
  <c r="GA12" i="27"/>
  <c r="FN12" i="27"/>
  <c r="GS12" i="27"/>
  <c r="HC12" i="27"/>
  <c r="FI12" i="27"/>
  <c r="FS12" i="27"/>
  <c r="HP12" i="27"/>
  <c r="FF12" i="27"/>
  <c r="GD12" i="27"/>
  <c r="FK12" i="27"/>
  <c r="FJ12" i="27"/>
  <c r="HQ12" i="27"/>
  <c r="HM12" i="27"/>
  <c r="FQ12" i="27"/>
  <c r="GR12" i="27"/>
  <c r="HH12" i="27"/>
  <c r="FY12" i="27"/>
  <c r="GU12" i="27"/>
  <c r="FT12" i="27"/>
  <c r="HV12" i="27"/>
  <c r="IB12" i="27"/>
  <c r="HJ12" i="27"/>
  <c r="FL12" i="27"/>
  <c r="IA12" i="27"/>
  <c r="GK12" i="27"/>
  <c r="GF12" i="27"/>
  <c r="HZ12" i="27"/>
  <c r="FM12" i="27"/>
  <c r="HF12" i="27"/>
  <c r="FG12" i="27"/>
  <c r="HD12" i="27"/>
  <c r="GJ12" i="27"/>
  <c r="FX12" i="27"/>
  <c r="HA12" i="27"/>
  <c r="HI12" i="27"/>
  <c r="IJ12" i="27"/>
  <c r="GE12" i="27"/>
  <c r="GW12" i="27"/>
  <c r="FW12" i="27"/>
  <c r="GH12" i="27"/>
  <c r="IG12" i="27"/>
  <c r="HT12" i="27"/>
  <c r="GQ12" i="27"/>
  <c r="HN12" i="27"/>
  <c r="FU12" i="27"/>
  <c r="H126" i="37"/>
  <c r="M126" i="37"/>
  <c r="H120" i="37"/>
  <c r="M120" i="37"/>
  <c r="H68" i="37"/>
  <c r="M68" i="37"/>
  <c r="M64" i="37"/>
  <c r="H64" i="37"/>
  <c r="M242" i="37"/>
  <c r="H242" i="37"/>
  <c r="M41" i="37"/>
  <c r="H41" i="37"/>
  <c r="HY17" i="27"/>
  <c r="HV17" i="27"/>
  <c r="HW17" i="27"/>
  <c r="IG17" i="27"/>
  <c r="HX17" i="27"/>
  <c r="IJ17" i="27"/>
  <c r="IC17" i="27"/>
  <c r="II17" i="27"/>
  <c r="HR17" i="27"/>
  <c r="IB17" i="27"/>
  <c r="HN17" i="27"/>
  <c r="HP17" i="27"/>
  <c r="IH17" i="27"/>
  <c r="HM17" i="27"/>
  <c r="HT17" i="27"/>
  <c r="IF17" i="27"/>
  <c r="HZ17" i="27"/>
  <c r="IE17" i="27"/>
  <c r="ID17" i="27"/>
  <c r="HO17" i="27"/>
  <c r="HQ17" i="27"/>
  <c r="HS17" i="27"/>
  <c r="IA17" i="27"/>
  <c r="HU17" i="27"/>
  <c r="H51" i="37"/>
  <c r="M51" i="37"/>
  <c r="H116" i="37"/>
  <c r="M116" i="37"/>
  <c r="M141" i="37"/>
  <c r="H141" i="37"/>
  <c r="H75" i="37"/>
  <c r="M75" i="37"/>
  <c r="H209" i="37"/>
  <c r="M209" i="37"/>
  <c r="M49" i="37"/>
  <c r="H49" i="37"/>
  <c r="H245" i="37"/>
  <c r="M245" i="37"/>
  <c r="H155" i="37"/>
  <c r="M155" i="37"/>
  <c r="H103" i="37"/>
  <c r="M103" i="37"/>
  <c r="M182" i="37"/>
  <c r="H182" i="37"/>
  <c r="M236" i="37"/>
  <c r="H236" i="37"/>
  <c r="H164" i="37"/>
  <c r="M164" i="37"/>
  <c r="H128" i="37"/>
  <c r="M128" i="37"/>
  <c r="IH16" i="27"/>
  <c r="HL16" i="27"/>
  <c r="HS16" i="27"/>
  <c r="IC16" i="27"/>
  <c r="HI16" i="27"/>
  <c r="HO16" i="27"/>
  <c r="HG16" i="27"/>
  <c r="IJ16" i="27"/>
  <c r="HV16" i="27"/>
  <c r="ID16" i="27"/>
  <c r="HH16" i="27"/>
  <c r="IG16" i="27"/>
  <c r="HN16" i="27"/>
  <c r="IF16" i="27"/>
  <c r="HJ16" i="27"/>
  <c r="HQ16" i="27"/>
  <c r="HP16" i="27"/>
  <c r="HX16" i="27"/>
  <c r="HA16" i="27"/>
  <c r="HC16" i="27"/>
  <c r="HM16" i="27"/>
  <c r="HT16" i="27"/>
  <c r="HE16" i="27"/>
  <c r="IB16" i="27"/>
  <c r="HZ16" i="27"/>
  <c r="II16" i="27"/>
  <c r="HR16" i="27"/>
  <c r="HK16" i="27"/>
  <c r="HU16" i="27"/>
  <c r="HD16" i="27"/>
  <c r="HB16" i="27"/>
  <c r="IA16" i="27"/>
  <c r="HY16" i="27"/>
  <c r="IE16" i="27"/>
  <c r="HW16" i="27"/>
  <c r="HF16" i="27"/>
  <c r="HK13" i="20"/>
  <c r="HK14" i="20" s="1"/>
  <c r="D22" i="27"/>
  <c r="HY23" i="27" s="1"/>
  <c r="M238" i="37"/>
  <c r="H238" i="37"/>
  <c r="AA13" i="20"/>
  <c r="AA14" i="20" s="1"/>
  <c r="D6" i="27"/>
  <c r="BZ7" i="27" s="1"/>
  <c r="H193" i="37"/>
  <c r="M193" i="37"/>
  <c r="H158" i="37"/>
  <c r="M158" i="37"/>
  <c r="H180" i="37"/>
  <c r="M180" i="37"/>
  <c r="H72" i="37"/>
  <c r="M72" i="37"/>
  <c r="M112" i="37"/>
  <c r="H112" i="37"/>
  <c r="M39" i="37"/>
  <c r="H39" i="37"/>
  <c r="EQ13" i="20"/>
  <c r="EQ14" i="20" s="1"/>
  <c r="D16" i="27"/>
  <c r="FL17" i="27" s="1"/>
  <c r="C21" i="19"/>
  <c r="C19" i="19"/>
  <c r="C39" i="17"/>
  <c r="M37" i="37"/>
  <c r="H37" i="37"/>
  <c r="H111" i="37"/>
  <c r="M111" i="37"/>
  <c r="M91" i="37"/>
  <c r="H91" i="37"/>
  <c r="M118" i="37"/>
  <c r="H118" i="37"/>
  <c r="FP11" i="27"/>
  <c r="HU11" i="27"/>
  <c r="GB11" i="27"/>
  <c r="GZ11" i="27"/>
  <c r="FE11" i="27"/>
  <c r="HK11" i="27"/>
  <c r="II11" i="27"/>
  <c r="HT11" i="27"/>
  <c r="FN11" i="27"/>
  <c r="GL11" i="27"/>
  <c r="HH11" i="27"/>
  <c r="GD11" i="27"/>
  <c r="HB11" i="27"/>
  <c r="FM11" i="27"/>
  <c r="IJ11" i="27"/>
  <c r="IG11" i="27"/>
  <c r="GC11" i="27"/>
  <c r="EZ11" i="27"/>
  <c r="HP11" i="27"/>
  <c r="GO11" i="27"/>
  <c r="IB11" i="27"/>
  <c r="HA11" i="27"/>
  <c r="ID11" i="27"/>
  <c r="FH11" i="27"/>
  <c r="IC11" i="27"/>
  <c r="HS11" i="27"/>
  <c r="HX11" i="27"/>
  <c r="HW11" i="27"/>
  <c r="IE11" i="27"/>
  <c r="GG11" i="27"/>
  <c r="GP11" i="27"/>
  <c r="FD11" i="27"/>
  <c r="HZ11" i="27"/>
  <c r="HL11" i="27"/>
  <c r="FQ11" i="27"/>
  <c r="FU11" i="27"/>
  <c r="GF11" i="27"/>
  <c r="GK11" i="27"/>
  <c r="EU11" i="27"/>
  <c r="FT11" i="27"/>
  <c r="HQ11" i="27"/>
  <c r="FK11" i="27"/>
  <c r="GX11" i="27"/>
  <c r="HG11" i="27"/>
  <c r="HV11" i="27"/>
  <c r="HJ11" i="27"/>
  <c r="GH11" i="27"/>
  <c r="GN11" i="27"/>
  <c r="FL11" i="27"/>
  <c r="IH11" i="27"/>
  <c r="HR11" i="27"/>
  <c r="HF11" i="27"/>
  <c r="GT11" i="27"/>
  <c r="FR11" i="27"/>
  <c r="GW11" i="27"/>
  <c r="FX11" i="27"/>
  <c r="GI11" i="27"/>
  <c r="GR11" i="27"/>
  <c r="FZ11" i="27"/>
  <c r="FB11" i="27"/>
  <c r="FS11" i="27"/>
  <c r="GU11" i="27"/>
  <c r="EV11" i="27"/>
  <c r="HI11" i="27"/>
  <c r="FW11" i="27"/>
  <c r="GQ11" i="27"/>
  <c r="FC11" i="27"/>
  <c r="FA11" i="27"/>
  <c r="GM11" i="27"/>
  <c r="FO11" i="27"/>
  <c r="GJ11" i="27"/>
  <c r="GV11" i="27"/>
  <c r="HC11" i="27"/>
  <c r="FY11" i="27"/>
  <c r="GA11" i="27"/>
  <c r="FI11" i="27"/>
  <c r="HE11" i="27"/>
  <c r="HO11" i="27"/>
  <c r="FF11" i="27"/>
  <c r="EW11" i="27"/>
  <c r="HN11" i="27"/>
  <c r="FG11" i="27"/>
  <c r="ES11" i="27"/>
  <c r="FV11" i="27"/>
  <c r="EX11" i="27"/>
  <c r="IF11" i="27"/>
  <c r="ET11" i="27"/>
  <c r="GY11" i="27"/>
  <c r="HM11" i="27"/>
  <c r="GS11" i="27"/>
  <c r="GE11" i="27"/>
  <c r="HY11" i="27"/>
  <c r="EY11" i="27"/>
  <c r="FJ11" i="27"/>
  <c r="HD11" i="27"/>
  <c r="IA11" i="27"/>
  <c r="M167" i="37"/>
  <c r="H167" i="37"/>
  <c r="H172" i="37"/>
  <c r="M172" i="37"/>
  <c r="M55" i="37"/>
  <c r="H55" i="37"/>
  <c r="H60" i="37"/>
  <c r="M60" i="37"/>
  <c r="H217" i="37"/>
  <c r="M217" i="37"/>
  <c r="H223" i="37"/>
  <c r="M223" i="37"/>
  <c r="M165" i="37"/>
  <c r="H165" i="37"/>
  <c r="GL7" i="27"/>
  <c r="HE7" i="27"/>
  <c r="EV7" i="27"/>
  <c r="GJ7" i="27"/>
  <c r="DH7" i="27"/>
  <c r="EL7" i="27"/>
  <c r="FO7" i="27"/>
  <c r="HA7" i="27"/>
  <c r="GD7" i="27"/>
  <c r="CX7" i="27"/>
  <c r="GS7" i="27"/>
  <c r="FH7" i="27"/>
  <c r="DG7" i="27"/>
  <c r="DB7" i="27"/>
  <c r="DF7" i="27"/>
  <c r="FK7" i="27"/>
  <c r="DC7" i="27"/>
  <c r="EC7" i="27"/>
  <c r="DM7" i="27"/>
  <c r="FI7" i="27"/>
  <c r="EW7" i="27"/>
  <c r="DZ7" i="27"/>
  <c r="DA7" i="27"/>
  <c r="GZ7" i="27"/>
  <c r="DL7" i="27"/>
  <c r="FR7" i="27"/>
  <c r="CW7" i="27"/>
  <c r="DU7" i="27"/>
  <c r="DY7" i="27"/>
  <c r="FM7" i="27"/>
  <c r="GC7" i="27"/>
  <c r="GF7" i="27"/>
  <c r="ER7" i="27"/>
  <c r="DD7" i="27"/>
  <c r="GI7" i="27"/>
  <c r="GE7" i="27"/>
  <c r="FQ7" i="27"/>
  <c r="HG7" i="27"/>
  <c r="FU7" i="27"/>
  <c r="FP7" i="27"/>
  <c r="ES7" i="27"/>
  <c r="DJ7" i="27"/>
  <c r="GN7" i="27"/>
  <c r="EG7" i="27"/>
  <c r="DW7" i="27"/>
  <c r="GT7" i="27"/>
  <c r="GU7" i="27"/>
  <c r="EK7" i="27"/>
  <c r="FX7" i="27"/>
  <c r="EQ7" i="27"/>
  <c r="HK7" i="27"/>
  <c r="FG7" i="27"/>
  <c r="GY7" i="27"/>
  <c r="FJ7" i="27"/>
  <c r="GO7" i="27"/>
  <c r="EE7" i="27"/>
  <c r="HH7" i="27"/>
  <c r="EI7" i="27"/>
  <c r="CY7" i="27"/>
  <c r="FT7" i="27"/>
  <c r="EF7" i="27"/>
  <c r="GX7" i="27"/>
  <c r="FN7" i="27"/>
  <c r="ET7" i="27"/>
  <c r="EP7" i="27"/>
  <c r="EZ7" i="27"/>
  <c r="FY7" i="27"/>
  <c r="HD7" i="27"/>
  <c r="EN7" i="27"/>
  <c r="ED7" i="27"/>
  <c r="GR7" i="27"/>
  <c r="FV7" i="27"/>
  <c r="FF7" i="27"/>
  <c r="FZ7" i="27"/>
  <c r="HF7" i="27"/>
  <c r="DI7" i="27"/>
  <c r="GV7" i="27"/>
  <c r="DP7" i="27"/>
  <c r="HI7" i="27"/>
  <c r="CZ7" i="27"/>
  <c r="FB7" i="27"/>
  <c r="DN7" i="27"/>
  <c r="EY7" i="27"/>
  <c r="DK7" i="27"/>
  <c r="DS7" i="27"/>
  <c r="EU7" i="27"/>
  <c r="GM7" i="27"/>
  <c r="EB7" i="27"/>
  <c r="GA7" i="27"/>
  <c r="DR7" i="27"/>
  <c r="EH7" i="27"/>
  <c r="FL7" i="27"/>
  <c r="HJ7" i="27"/>
  <c r="GG7" i="27"/>
  <c r="EJ7" i="27"/>
  <c r="HB7" i="27"/>
  <c r="DT7" i="27"/>
  <c r="GW7" i="27"/>
  <c r="GB7" i="27"/>
  <c r="FC7" i="27"/>
  <c r="FW7" i="27"/>
  <c r="GQ7" i="27"/>
  <c r="FS7" i="27"/>
  <c r="FA7" i="27"/>
  <c r="DE7" i="27"/>
  <c r="DV7" i="27"/>
  <c r="EX7" i="27"/>
  <c r="GP7" i="27"/>
  <c r="DQ7" i="27"/>
  <c r="HL7" i="27"/>
  <c r="DO7" i="27"/>
  <c r="GH7" i="27"/>
  <c r="FE7" i="27"/>
  <c r="EM7" i="27"/>
  <c r="EO7" i="27"/>
  <c r="HC7" i="27"/>
  <c r="FD7" i="27"/>
  <c r="GK7" i="27"/>
  <c r="DX7" i="27"/>
  <c r="EA7" i="27"/>
  <c r="M63" i="37"/>
  <c r="H63" i="37"/>
  <c r="H146" i="37"/>
  <c r="M146" i="37"/>
  <c r="IH10" i="27"/>
  <c r="EX10" i="27"/>
  <c r="GF10" i="27"/>
  <c r="GO10" i="27"/>
  <c r="FK10" i="27"/>
  <c r="FJ10" i="27"/>
  <c r="HM10" i="27"/>
  <c r="GW10" i="27"/>
  <c r="HR10" i="27"/>
  <c r="EW10" i="27"/>
  <c r="FU10" i="27"/>
  <c r="GD10" i="27"/>
  <c r="ES10" i="27"/>
  <c r="ER10" i="27"/>
  <c r="GL10" i="27"/>
  <c r="HV10" i="27"/>
  <c r="EG10" i="27"/>
  <c r="FT10" i="27"/>
  <c r="EH10" i="27"/>
  <c r="EO10" i="27"/>
  <c r="HO10" i="27"/>
  <c r="FN10" i="27"/>
  <c r="GQ10" i="27"/>
  <c r="GU10" i="27"/>
  <c r="FV10" i="27"/>
  <c r="HF10" i="27"/>
  <c r="HL10" i="27"/>
  <c r="GV10" i="27"/>
  <c r="IJ10" i="27"/>
  <c r="FQ10" i="27"/>
  <c r="FH10" i="27"/>
  <c r="ID10" i="27"/>
  <c r="HC10" i="27"/>
  <c r="GI10" i="27"/>
  <c r="FW10" i="27"/>
  <c r="EM10" i="27"/>
  <c r="FA10" i="27"/>
  <c r="HH10" i="27"/>
  <c r="EZ10" i="27"/>
  <c r="IC10" i="27"/>
  <c r="GX10" i="27"/>
  <c r="HQ10" i="27"/>
  <c r="HA10" i="27"/>
  <c r="GP10" i="27"/>
  <c r="EJ10" i="27"/>
  <c r="IB10" i="27"/>
  <c r="EP10" i="27"/>
  <c r="FD10" i="27"/>
  <c r="GM10" i="27"/>
  <c r="GH10" i="27"/>
  <c r="GZ10" i="27"/>
  <c r="FY10" i="27"/>
  <c r="FZ10" i="27"/>
  <c r="EQ10" i="27"/>
  <c r="FS10" i="27"/>
  <c r="FR10" i="27"/>
  <c r="IG10" i="27"/>
  <c r="FM10" i="27"/>
  <c r="GG10" i="27"/>
  <c r="HG10" i="27"/>
  <c r="HN10" i="27"/>
  <c r="GJ10" i="27"/>
  <c r="HS10" i="27"/>
  <c r="GC10" i="27"/>
  <c r="FP10" i="27"/>
  <c r="HJ10" i="27"/>
  <c r="FF10" i="27"/>
  <c r="FI10" i="27"/>
  <c r="GT10" i="27"/>
  <c r="GY10" i="27"/>
  <c r="IE10" i="27"/>
  <c r="EI10" i="27"/>
  <c r="GN10" i="27"/>
  <c r="EU10" i="27"/>
  <c r="HI10" i="27"/>
  <c r="EV10" i="27"/>
  <c r="HX10" i="27"/>
  <c r="HB10" i="27"/>
  <c r="IA10" i="27"/>
  <c r="EL10" i="27"/>
  <c r="GA10" i="27"/>
  <c r="EK10" i="27"/>
  <c r="HK10" i="27"/>
  <c r="HT10" i="27"/>
  <c r="FG10" i="27"/>
  <c r="HZ10" i="27"/>
  <c r="GS10" i="27"/>
  <c r="FX10" i="27"/>
  <c r="FL10" i="27"/>
  <c r="HD10" i="27"/>
  <c r="GK10" i="27"/>
  <c r="ET10" i="27"/>
  <c r="HW10" i="27"/>
  <c r="EY10" i="27"/>
  <c r="GB10" i="27"/>
  <c r="HE10" i="27"/>
  <c r="HY10" i="27"/>
  <c r="HU10" i="27"/>
  <c r="GE10" i="27"/>
  <c r="GR10" i="27"/>
  <c r="FB10" i="27"/>
  <c r="EN10" i="27"/>
  <c r="IF10" i="27"/>
  <c r="FC10" i="27"/>
  <c r="II10" i="27"/>
  <c r="FO10" i="27"/>
  <c r="FE10" i="27"/>
  <c r="HP10" i="27"/>
  <c r="M161" i="37"/>
  <c r="H161" i="37"/>
  <c r="H104" i="37"/>
  <c r="M104" i="37"/>
  <c r="H179" i="37"/>
  <c r="M179" i="37"/>
  <c r="H195" i="37"/>
  <c r="M195" i="37"/>
  <c r="H52" i="37"/>
  <c r="M52" i="37"/>
  <c r="H122" i="37"/>
  <c r="M122" i="37"/>
  <c r="M152" i="37"/>
  <c r="H152" i="37"/>
  <c r="C14" i="23"/>
  <c r="C13" i="20"/>
  <c r="C14" i="20" s="1"/>
  <c r="D4" i="27"/>
  <c r="BR5" i="27" s="1"/>
  <c r="M157" i="37"/>
  <c r="H157" i="37"/>
  <c r="H57" i="37"/>
  <c r="M57" i="37"/>
  <c r="M78" i="37"/>
  <c r="H78" i="37"/>
  <c r="H231" i="37"/>
  <c r="M231" i="37"/>
  <c r="H160" i="37"/>
  <c r="M160" i="37"/>
  <c r="M127" i="37"/>
  <c r="H127" i="37"/>
  <c r="M109" i="37"/>
  <c r="H109" i="37"/>
  <c r="M66" i="37"/>
  <c r="H66" i="37"/>
  <c r="H241" i="37"/>
  <c r="M241" i="37"/>
  <c r="M139" i="37"/>
  <c r="H139" i="37"/>
  <c r="H154" i="37"/>
  <c r="M154" i="37"/>
  <c r="M169" i="37"/>
  <c r="H169" i="37"/>
  <c r="M190" i="37"/>
  <c r="H190" i="37"/>
  <c r="H80" i="37"/>
  <c r="M80" i="37"/>
  <c r="M234" i="37"/>
  <c r="H234" i="37"/>
  <c r="H138" i="37"/>
  <c r="M138" i="37"/>
  <c r="M151" i="37"/>
  <c r="H151" i="37"/>
  <c r="M85" i="37"/>
  <c r="H85" i="37"/>
  <c r="M83" i="37"/>
  <c r="H83" i="37"/>
  <c r="M95" i="37"/>
  <c r="H95" i="37"/>
  <c r="H178" i="37"/>
  <c r="M178" i="37"/>
  <c r="M100" i="37"/>
  <c r="H100" i="37"/>
  <c r="HF9" i="27"/>
  <c r="HN9" i="27"/>
  <c r="FV9" i="27"/>
  <c r="EQ9" i="27"/>
  <c r="GQ9" i="27"/>
  <c r="HJ9" i="27"/>
  <c r="ER9" i="27"/>
  <c r="EO9" i="27"/>
  <c r="EZ9" i="27"/>
  <c r="EW9" i="27"/>
  <c r="GU9" i="27"/>
  <c r="HR9" i="27"/>
  <c r="FC9" i="27"/>
  <c r="FZ9" i="27"/>
  <c r="HP9" i="27"/>
  <c r="GD9" i="27"/>
  <c r="GR9" i="27"/>
  <c r="DV9" i="27"/>
  <c r="DU9" i="27"/>
  <c r="FP9" i="27"/>
  <c r="FU9" i="27"/>
  <c r="HS9" i="27"/>
  <c r="HY9" i="27"/>
  <c r="HG9" i="27"/>
  <c r="ID9" i="27"/>
  <c r="FO9" i="27"/>
  <c r="GL9" i="27"/>
  <c r="DW9" i="27"/>
  <c r="HK9" i="27"/>
  <c r="FX9" i="27"/>
  <c r="HA9" i="27"/>
  <c r="FD9" i="27"/>
  <c r="FY9" i="27"/>
  <c r="EN9" i="27"/>
  <c r="IB9" i="27"/>
  <c r="GP9" i="27"/>
  <c r="GT9" i="27"/>
  <c r="EL9" i="27"/>
  <c r="GV9" i="27"/>
  <c r="II9" i="27"/>
  <c r="FQ9" i="27"/>
  <c r="HC9" i="27"/>
  <c r="HU9" i="27"/>
  <c r="GM9" i="27"/>
  <c r="FI9" i="27"/>
  <c r="GA9" i="27"/>
  <c r="GX9" i="27"/>
  <c r="EI9" i="27"/>
  <c r="FF9" i="27"/>
  <c r="GB9" i="27"/>
  <c r="IF9" i="27"/>
  <c r="FE9" i="27"/>
  <c r="IJ9" i="27"/>
  <c r="EK9" i="27"/>
  <c r="EB9" i="27"/>
  <c r="GS9" i="27"/>
  <c r="GY9" i="27"/>
  <c r="HV9" i="27"/>
  <c r="FG9" i="27"/>
  <c r="HZ9" i="27"/>
  <c r="EU9" i="27"/>
  <c r="FR9" i="27"/>
  <c r="FT9" i="27"/>
  <c r="DZ9" i="27"/>
  <c r="GK9" i="27"/>
  <c r="IG9" i="27"/>
  <c r="GN9" i="27"/>
  <c r="ET9" i="27"/>
  <c r="HH9" i="27"/>
  <c r="EA9" i="27"/>
  <c r="HX9" i="27"/>
  <c r="HQ9" i="27"/>
  <c r="IC9" i="27"/>
  <c r="GO9" i="27"/>
  <c r="EE9" i="27"/>
  <c r="EH9" i="27"/>
  <c r="HO9" i="27"/>
  <c r="EC9" i="27"/>
  <c r="GH9" i="27"/>
  <c r="EP9" i="27"/>
  <c r="HD9" i="27"/>
  <c r="HL9" i="27"/>
  <c r="IA9" i="27"/>
  <c r="GI9" i="27"/>
  <c r="IH9" i="27"/>
  <c r="EX9" i="27"/>
  <c r="ED9" i="27"/>
  <c r="FW9" i="27"/>
  <c r="GZ9" i="27"/>
  <c r="FA9" i="27"/>
  <c r="HE9" i="27"/>
  <c r="HM9" i="27"/>
  <c r="EG9" i="27"/>
  <c r="HI9" i="27"/>
  <c r="FJ9" i="27"/>
  <c r="HT9" i="27"/>
  <c r="FS9" i="27"/>
  <c r="EF9" i="27"/>
  <c r="EY9" i="27"/>
  <c r="DY9" i="27"/>
  <c r="ES9" i="27"/>
  <c r="HW9" i="27"/>
  <c r="GE9" i="27"/>
  <c r="EM9" i="27"/>
  <c r="GJ9" i="27"/>
  <c r="FL9" i="27"/>
  <c r="GG9" i="27"/>
  <c r="GC9" i="27"/>
  <c r="GF9" i="27"/>
  <c r="FB9" i="27"/>
  <c r="FH9" i="27"/>
  <c r="FK9" i="27"/>
  <c r="EV9" i="27"/>
  <c r="GW9" i="27"/>
  <c r="IE9" i="27"/>
  <c r="DX9" i="27"/>
  <c r="FM9" i="27"/>
  <c r="HB9" i="27"/>
  <c r="FN9" i="27"/>
  <c r="EJ9" i="27"/>
  <c r="H173" i="37"/>
  <c r="M173" i="37"/>
  <c r="H34" i="37"/>
  <c r="M34" i="37"/>
  <c r="H117" i="37"/>
  <c r="M117" i="37"/>
  <c r="GA13" i="20"/>
  <c r="GA14" i="20" s="1"/>
  <c r="H150" i="37"/>
  <c r="M150" i="37"/>
  <c r="M69" i="37"/>
  <c r="H69" i="37"/>
  <c r="H74" i="37"/>
  <c r="M74" i="37"/>
  <c r="M87" i="37"/>
  <c r="H87" i="37"/>
  <c r="HW13" i="20"/>
  <c r="HW14" i="20" s="1"/>
  <c r="D23" i="27"/>
  <c r="M212" i="37"/>
  <c r="H212" i="37"/>
  <c r="H96" i="37"/>
  <c r="M96" i="37"/>
  <c r="M159" i="37"/>
  <c r="H159" i="37"/>
  <c r="M226" i="37"/>
  <c r="H226" i="37"/>
  <c r="FC13" i="20"/>
  <c r="FC14" i="20" s="1"/>
  <c r="D17" i="27"/>
  <c r="HH18" i="27" s="1"/>
  <c r="H246" i="37"/>
  <c r="M246" i="37"/>
  <c r="H197" i="37"/>
  <c r="M197" i="37"/>
  <c r="DS13" i="20"/>
  <c r="DS14" i="20" s="1"/>
  <c r="D14" i="27"/>
  <c r="FP15" i="27" s="1"/>
  <c r="M143" i="37"/>
  <c r="H143" i="37"/>
  <c r="M210" i="37"/>
  <c r="H210" i="37"/>
  <c r="FY6" i="27"/>
  <c r="GU6" i="27"/>
  <c r="CL6" i="27"/>
  <c r="FW6" i="27"/>
  <c r="GN6" i="27"/>
  <c r="GA6" i="27"/>
  <c r="GL6" i="27"/>
  <c r="FD6" i="27"/>
  <c r="EK6" i="27"/>
  <c r="FC6" i="27"/>
  <c r="FZ6" i="27"/>
  <c r="CZ6" i="27"/>
  <c r="CK6" i="27"/>
  <c r="DS6" i="27"/>
  <c r="FG6" i="27"/>
  <c r="CX6" i="27"/>
  <c r="DY6" i="27"/>
  <c r="FX6" i="27"/>
  <c r="GX6" i="27"/>
  <c r="GT6" i="27"/>
  <c r="GB6" i="27"/>
  <c r="EC6" i="27"/>
  <c r="FA6" i="27"/>
  <c r="FT6" i="27"/>
  <c r="CY6" i="27"/>
  <c r="DA6" i="27"/>
  <c r="GM6" i="27"/>
  <c r="GK6" i="27"/>
  <c r="EM6" i="27"/>
  <c r="CO6" i="27"/>
  <c r="DN6" i="27"/>
  <c r="EB6" i="27"/>
  <c r="GR6" i="27"/>
  <c r="CQ6" i="27"/>
  <c r="DU6" i="27"/>
  <c r="DO6" i="27"/>
  <c r="EH6" i="27"/>
  <c r="FI6" i="27"/>
  <c r="EO6" i="27"/>
  <c r="DM6" i="27"/>
  <c r="FM6" i="27"/>
  <c r="GE6" i="27"/>
  <c r="GI6" i="27"/>
  <c r="FO6" i="27"/>
  <c r="GJ6" i="27"/>
  <c r="FU6" i="27"/>
  <c r="GF6" i="27"/>
  <c r="EE6" i="27"/>
  <c r="EN6" i="27"/>
  <c r="DF6" i="27"/>
  <c r="FF6" i="27"/>
  <c r="DB6" i="27"/>
  <c r="DJ6" i="27"/>
  <c r="CU6" i="27"/>
  <c r="GG6" i="27"/>
  <c r="EU6" i="27"/>
  <c r="GZ6" i="27"/>
  <c r="GP6" i="27"/>
  <c r="DD6" i="27"/>
  <c r="ET6" i="27"/>
  <c r="DW6" i="27"/>
  <c r="CS6" i="27"/>
  <c r="DC6" i="27"/>
  <c r="FP6" i="27"/>
  <c r="FK6" i="27"/>
  <c r="GH6" i="27"/>
  <c r="GY6" i="27"/>
  <c r="FH6" i="27"/>
  <c r="DT6" i="27"/>
  <c r="CR6" i="27"/>
  <c r="EQ6" i="27"/>
  <c r="ED6" i="27"/>
  <c r="GD6" i="27"/>
  <c r="FB6" i="27"/>
  <c r="GC6" i="27"/>
  <c r="DV6" i="27"/>
  <c r="DE6" i="27"/>
  <c r="EI6" i="27"/>
  <c r="FS6" i="27"/>
  <c r="FQ6" i="27"/>
  <c r="DH6" i="27"/>
  <c r="EL6" i="27"/>
  <c r="DL6" i="27"/>
  <c r="EW6" i="27"/>
  <c r="FL6" i="27"/>
  <c r="DP6" i="27"/>
  <c r="EG6" i="27"/>
  <c r="EP6" i="27"/>
  <c r="ES6" i="27"/>
  <c r="EZ6" i="27"/>
  <c r="DI6" i="27"/>
  <c r="EF6" i="27"/>
  <c r="FE6" i="27"/>
  <c r="DR6" i="27"/>
  <c r="CN6" i="27"/>
  <c r="CW6" i="27"/>
  <c r="EV6" i="27"/>
  <c r="DK6" i="27"/>
  <c r="DQ6" i="27"/>
  <c r="EX6" i="27"/>
  <c r="DG6" i="27"/>
  <c r="EA6" i="27"/>
  <c r="ER6" i="27"/>
  <c r="CP6" i="27"/>
  <c r="FR6" i="27"/>
  <c r="CT6" i="27"/>
  <c r="DZ6" i="27"/>
  <c r="GW6" i="27"/>
  <c r="EY6" i="27"/>
  <c r="GQ6" i="27"/>
  <c r="GV6" i="27"/>
  <c r="CV6" i="27"/>
  <c r="CM6" i="27"/>
  <c r="GO6" i="27"/>
  <c r="FN6" i="27"/>
  <c r="EJ6" i="27"/>
  <c r="DX6" i="27"/>
  <c r="GS6" i="27"/>
  <c r="FV6" i="27"/>
  <c r="FJ6" i="27"/>
  <c r="H59" i="37"/>
  <c r="M59" i="37"/>
  <c r="M187" i="37"/>
  <c r="H187" i="37"/>
  <c r="M202" i="37"/>
  <c r="H202" i="37"/>
  <c r="M204" i="37"/>
  <c r="H204" i="37"/>
  <c r="H133" i="37"/>
  <c r="M133" i="37"/>
  <c r="M58" i="37"/>
  <c r="H58" i="37"/>
  <c r="H73" i="37"/>
  <c r="M73" i="37"/>
  <c r="H35" i="37"/>
  <c r="M35" i="37"/>
  <c r="FO13" i="20"/>
  <c r="FO14" i="20" s="1"/>
  <c r="D18" i="27"/>
  <c r="IA19" i="27" s="1"/>
  <c r="M186" i="37"/>
  <c r="H186" i="37"/>
  <c r="M92" i="37"/>
  <c r="H92" i="37"/>
  <c r="I16" i="17"/>
  <c r="I39" i="17" s="1"/>
  <c r="I17" i="17"/>
  <c r="P45" i="32"/>
  <c r="M74" i="30"/>
  <c r="Q25" i="33"/>
  <c r="P31" i="33"/>
  <c r="N73" i="30"/>
  <c r="Q44" i="32"/>
  <c r="L13" i="10"/>
  <c r="M7" i="10"/>
  <c r="L35" i="17"/>
  <c r="L18" i="10"/>
  <c r="B20" i="37"/>
  <c r="A19" i="37"/>
  <c r="K12" i="17"/>
  <c r="K40" i="11"/>
  <c r="K7" i="17" s="1"/>
  <c r="GM7" i="16"/>
  <c r="GL8" i="16"/>
  <c r="L31" i="17"/>
  <c r="M35" i="10"/>
  <c r="M34" i="17" s="1"/>
  <c r="M34" i="10"/>
  <c r="M33" i="17" s="1"/>
  <c r="N9" i="10"/>
  <c r="M20" i="10"/>
  <c r="M22" i="10"/>
  <c r="M21" i="17" s="1"/>
  <c r="M25" i="10"/>
  <c r="M24" i="17" s="1"/>
  <c r="M27" i="10"/>
  <c r="M26" i="17" s="1"/>
  <c r="M29" i="10"/>
  <c r="M28" i="17" s="1"/>
  <c r="M31" i="10"/>
  <c r="M30" i="17" s="1"/>
  <c r="M28" i="10"/>
  <c r="M27" i="17" s="1"/>
  <c r="M30" i="10"/>
  <c r="M29" i="17" s="1"/>
  <c r="M21" i="10"/>
  <c r="M20" i="17" s="1"/>
  <c r="M24" i="10"/>
  <c r="M23" i="17" s="1"/>
  <c r="M36" i="10"/>
  <c r="M35" i="17" s="1"/>
  <c r="M32" i="10"/>
  <c r="M33" i="10"/>
  <c r="M32" i="17" s="1"/>
  <c r="M23" i="10"/>
  <c r="M22" i="17" s="1"/>
  <c r="K55" i="11"/>
  <c r="K14" i="10" s="1"/>
  <c r="M72" i="30"/>
  <c r="P43" i="32"/>
  <c r="J15" i="10"/>
  <c r="G15" i="17"/>
  <c r="L23" i="17"/>
  <c r="J7" i="17"/>
  <c r="J13" i="17" s="1"/>
  <c r="L22" i="17"/>
  <c r="L20" i="17"/>
  <c r="L25" i="11"/>
  <c r="L42" i="11" s="1"/>
  <c r="L29" i="11"/>
  <c r="L46" i="11" s="1"/>
  <c r="L33" i="11"/>
  <c r="L50" i="11" s="1"/>
  <c r="L8" i="17" s="1"/>
  <c r="L37" i="11"/>
  <c r="L54" i="11" s="1"/>
  <c r="L12" i="17" s="1"/>
  <c r="L24" i="11"/>
  <c r="L41" i="11" s="1"/>
  <c r="L30" i="11"/>
  <c r="L47" i="11" s="1"/>
  <c r="L35" i="11"/>
  <c r="L52" i="11" s="1"/>
  <c r="L10" i="17" s="1"/>
  <c r="L26" i="11"/>
  <c r="L43" i="11" s="1"/>
  <c r="L31" i="11"/>
  <c r="L48" i="11" s="1"/>
  <c r="L36" i="11"/>
  <c r="L53" i="11" s="1"/>
  <c r="L11" i="17" s="1"/>
  <c r="L27" i="11"/>
  <c r="L44" i="11" s="1"/>
  <c r="L32" i="11"/>
  <c r="L49" i="11" s="1"/>
  <c r="L28" i="11"/>
  <c r="L45" i="11" s="1"/>
  <c r="L34" i="11"/>
  <c r="L51" i="11" s="1"/>
  <c r="L9" i="17" s="1"/>
  <c r="M20" i="11"/>
  <c r="K11" i="17"/>
  <c r="K10" i="17"/>
  <c r="N30" i="33"/>
  <c r="O24" i="33"/>
  <c r="J21" i="40"/>
  <c r="J24" i="40" s="1"/>
  <c r="J25" i="40" s="1"/>
  <c r="J26" i="40" s="1"/>
  <c r="K23" i="40" s="1"/>
  <c r="B17" i="35"/>
  <c r="A18" i="35"/>
  <c r="CM9" i="27" l="1"/>
  <c r="DO9" i="27"/>
  <c r="BW9" i="27"/>
  <c r="DF9" i="27"/>
  <c r="CF9" i="27"/>
  <c r="DE9" i="27"/>
  <c r="CD9" i="27"/>
  <c r="BN9" i="27"/>
  <c r="DP9" i="27"/>
  <c r="CE9" i="27"/>
  <c r="CH9" i="27"/>
  <c r="BP9" i="27"/>
  <c r="BQ9" i="27"/>
  <c r="DQ9" i="27"/>
  <c r="AH6" i="27"/>
  <c r="CX11" i="27"/>
  <c r="DI11" i="27"/>
  <c r="IE23" i="27"/>
  <c r="AG6" i="27"/>
  <c r="AI6" i="27"/>
  <c r="BC6" i="27"/>
  <c r="HI21" i="27"/>
  <c r="IH23" i="27"/>
  <c r="AU7" i="27"/>
  <c r="IB23" i="27"/>
  <c r="BG6" i="27"/>
  <c r="AQ6" i="27"/>
  <c r="BA6" i="27"/>
  <c r="BY6" i="27"/>
  <c r="BO6" i="27"/>
  <c r="BB6" i="27"/>
  <c r="BX6" i="27"/>
  <c r="BN6" i="27"/>
  <c r="AW7" i="27"/>
  <c r="AP6" i="27"/>
  <c r="AR6" i="27"/>
  <c r="DH11" i="27"/>
  <c r="EC11" i="27"/>
  <c r="EA11" i="27"/>
  <c r="DG11" i="27"/>
  <c r="BU7" i="27"/>
  <c r="EJ11" i="27"/>
  <c r="DK11" i="27"/>
  <c r="BQ6" i="27"/>
  <c r="BE6" i="27"/>
  <c r="BV6" i="27"/>
  <c r="CC6" i="27"/>
  <c r="BI6" i="27"/>
  <c r="AE6" i="27"/>
  <c r="CH6" i="27"/>
  <c r="FO16" i="27"/>
  <c r="BS6" i="27"/>
  <c r="AM6" i="27"/>
  <c r="CB6" i="27"/>
  <c r="BJ6" i="27"/>
  <c r="CI6" i="27"/>
  <c r="AX6" i="27"/>
  <c r="AD6" i="27"/>
  <c r="HS21" i="27"/>
  <c r="CN10" i="27"/>
  <c r="HH21" i="27"/>
  <c r="DD10" i="27"/>
  <c r="EN12" i="27"/>
  <c r="BT6" i="27"/>
  <c r="CF7" i="27"/>
  <c r="BC7" i="27"/>
  <c r="CJ6" i="27"/>
  <c r="BH6" i="27"/>
  <c r="BD6" i="27"/>
  <c r="BZ6" i="27"/>
  <c r="CA6" i="27"/>
  <c r="CG6" i="27"/>
  <c r="BO7" i="27"/>
  <c r="BL7" i="27"/>
  <c r="ID23" i="27"/>
  <c r="AW6" i="27"/>
  <c r="BR6" i="27"/>
  <c r="BW6" i="27"/>
  <c r="BU6" i="27"/>
  <c r="AZ6" i="27"/>
  <c r="AY6" i="27"/>
  <c r="BF6" i="27"/>
  <c r="CF6" i="27"/>
  <c r="CE6" i="27"/>
  <c r="AT6" i="27"/>
  <c r="AU6" i="27"/>
  <c r="BP6" i="27"/>
  <c r="CD6" i="27"/>
  <c r="AJ6" i="27"/>
  <c r="AF6" i="27"/>
  <c r="AL6" i="27"/>
  <c r="BK6" i="27"/>
  <c r="BM6" i="27"/>
  <c r="AN6" i="27"/>
  <c r="BL6" i="27"/>
  <c r="AO6" i="27"/>
  <c r="AK6" i="27"/>
  <c r="AS6" i="27"/>
  <c r="AC6" i="27"/>
  <c r="CH7" i="27"/>
  <c r="BQ7" i="27"/>
  <c r="BL5" i="27"/>
  <c r="IH21" i="27"/>
  <c r="HU21" i="27"/>
  <c r="HA21" i="27"/>
  <c r="HW21" i="27"/>
  <c r="CW10" i="27"/>
  <c r="GF16" i="27"/>
  <c r="IA21" i="27"/>
  <c r="DP10" i="27"/>
  <c r="EA12" i="27"/>
  <c r="AC5" i="27"/>
  <c r="BH8" i="27"/>
  <c r="HL21" i="27"/>
  <c r="HB21" i="27"/>
  <c r="CC10" i="27"/>
  <c r="IF21" i="27"/>
  <c r="HJ21" i="27"/>
  <c r="HK21" i="27"/>
  <c r="DQ10" i="27"/>
  <c r="CU7" i="27"/>
  <c r="BE7" i="27"/>
  <c r="CW12" i="27"/>
  <c r="FC14" i="27"/>
  <c r="FJ14" i="27"/>
  <c r="IB21" i="27"/>
  <c r="HQ21" i="27"/>
  <c r="ID21" i="27"/>
  <c r="HR21" i="27"/>
  <c r="HM21" i="27"/>
  <c r="HT21" i="27"/>
  <c r="IC21" i="27"/>
  <c r="DN9" i="27"/>
  <c r="BS9" i="27"/>
  <c r="CQ9" i="27"/>
  <c r="CG9" i="27"/>
  <c r="CX9" i="27"/>
  <c r="DC9" i="27"/>
  <c r="DM9" i="27"/>
  <c r="CS9" i="27"/>
  <c r="DL9" i="27"/>
  <c r="CR9" i="27"/>
  <c r="DI9" i="27"/>
  <c r="CJ9" i="27"/>
  <c r="CI9" i="27"/>
  <c r="DG9" i="27"/>
  <c r="BZ9" i="27"/>
  <c r="ED14" i="27"/>
  <c r="DX14" i="27"/>
  <c r="AI5" i="27"/>
  <c r="BH5" i="27"/>
  <c r="CO8" i="27"/>
  <c r="HD21" i="27"/>
  <c r="HV21" i="27"/>
  <c r="IE21" i="27"/>
  <c r="BX9" i="27"/>
  <c r="CZ9" i="27"/>
  <c r="BO9" i="27"/>
  <c r="DJ9" i="27"/>
  <c r="BT9" i="27"/>
  <c r="CU9" i="27"/>
  <c r="DH9" i="27"/>
  <c r="BY9" i="27"/>
  <c r="CC9" i="27"/>
  <c r="DS9" i="27"/>
  <c r="CK9" i="27"/>
  <c r="BR9" i="27"/>
  <c r="CW9" i="27"/>
  <c r="DA9" i="27"/>
  <c r="DR9" i="27"/>
  <c r="FK14" i="27"/>
  <c r="BM5" i="27"/>
  <c r="AK5" i="27"/>
  <c r="CZ8" i="27"/>
  <c r="IJ21" i="27"/>
  <c r="HN21" i="27"/>
  <c r="HZ21" i="27"/>
  <c r="BM9" i="27"/>
  <c r="DD9" i="27"/>
  <c r="CY9" i="27"/>
  <c r="CO9" i="27"/>
  <c r="CN9" i="27"/>
  <c r="CL9" i="27"/>
  <c r="BU9" i="27"/>
  <c r="DB9" i="27"/>
  <c r="BV9" i="27"/>
  <c r="DK9" i="27"/>
  <c r="CA9" i="27"/>
  <c r="CB9" i="27"/>
  <c r="CV9" i="27"/>
  <c r="CT9" i="27"/>
  <c r="CP9" i="27"/>
  <c r="GC18" i="27"/>
  <c r="ES14" i="27"/>
  <c r="EB14" i="27"/>
  <c r="AS5" i="27"/>
  <c r="Z5" i="27"/>
  <c r="Z24" i="27" s="1"/>
  <c r="CD8" i="27"/>
  <c r="HJ17" i="27"/>
  <c r="HA17" i="27"/>
  <c r="FI17" i="27"/>
  <c r="FZ17" i="27"/>
  <c r="FH17" i="27"/>
  <c r="FG17" i="27"/>
  <c r="GX17" i="27"/>
  <c r="HV19" i="27"/>
  <c r="HS19" i="27"/>
  <c r="GI19" i="27"/>
  <c r="GZ19" i="27"/>
  <c r="HG19" i="27"/>
  <c r="HH19" i="27"/>
  <c r="IG19" i="27"/>
  <c r="FY15" i="27"/>
  <c r="ER15" i="27"/>
  <c r="HY21" i="27"/>
  <c r="HP21" i="27"/>
  <c r="HX21" i="27"/>
  <c r="IG21" i="27"/>
  <c r="HE21" i="27"/>
  <c r="II21" i="27"/>
  <c r="HF21" i="27"/>
  <c r="HC21" i="27"/>
  <c r="HO21" i="27"/>
  <c r="CK7" i="27"/>
  <c r="BM7" i="27"/>
  <c r="BN7" i="27"/>
  <c r="DJ11" i="27"/>
  <c r="EK11" i="27"/>
  <c r="CU11" i="27"/>
  <c r="CR11" i="27"/>
  <c r="CQ11" i="27"/>
  <c r="CK11" i="27"/>
  <c r="CY11" i="27"/>
  <c r="GD17" i="27"/>
  <c r="FJ17" i="27"/>
  <c r="GB17" i="27"/>
  <c r="GE17" i="27"/>
  <c r="GN17" i="27"/>
  <c r="HC17" i="27"/>
  <c r="GV17" i="27"/>
  <c r="HL17" i="27"/>
  <c r="GV19" i="27"/>
  <c r="HA19" i="27"/>
  <c r="GL19" i="27"/>
  <c r="HW19" i="27"/>
  <c r="IF19" i="27"/>
  <c r="HN19" i="27"/>
  <c r="GR19" i="27"/>
  <c r="EJ15" i="27"/>
  <c r="FD15" i="27"/>
  <c r="HG18" i="27"/>
  <c r="EM14" i="27"/>
  <c r="EF14" i="27"/>
  <c r="DU14" i="27"/>
  <c r="FE14" i="27"/>
  <c r="FD14" i="27"/>
  <c r="FU14" i="27"/>
  <c r="FO14" i="27"/>
  <c r="FN14" i="27"/>
  <c r="AT5" i="27"/>
  <c r="R5" i="27"/>
  <c r="R24" i="27" s="1"/>
  <c r="BC5" i="27"/>
  <c r="AV5" i="27"/>
  <c r="AQ5" i="27"/>
  <c r="BI5" i="27"/>
  <c r="BA5" i="27"/>
  <c r="CN8" i="27"/>
  <c r="CC8" i="27"/>
  <c r="BS8" i="27"/>
  <c r="CT8" i="27"/>
  <c r="EO11" i="27"/>
  <c r="DV11" i="27"/>
  <c r="DC11" i="27"/>
  <c r="CW11" i="27"/>
  <c r="EM11" i="27"/>
  <c r="CS11" i="27"/>
  <c r="DL11" i="27"/>
  <c r="GJ17" i="27"/>
  <c r="FR17" i="27"/>
  <c r="GM17" i="27"/>
  <c r="FQ17" i="27"/>
  <c r="FV17" i="27"/>
  <c r="HB17" i="27"/>
  <c r="FW17" i="27"/>
  <c r="FN17" i="27"/>
  <c r="HQ19" i="27"/>
  <c r="GT19" i="27"/>
  <c r="GS19" i="27"/>
  <c r="HD19" i="27"/>
  <c r="IE19" i="27"/>
  <c r="IB19" i="27"/>
  <c r="GH19" i="27"/>
  <c r="FQ15" i="27"/>
  <c r="FG15" i="27"/>
  <c r="GL18" i="27"/>
  <c r="EY14" i="27"/>
  <c r="EW14" i="27"/>
  <c r="FI14" i="27"/>
  <c r="GB14" i="27"/>
  <c r="FH14" i="27"/>
  <c r="DY14" i="27"/>
  <c r="DV14" i="27"/>
  <c r="AE5" i="27"/>
  <c r="AG5" i="27"/>
  <c r="AL5" i="27"/>
  <c r="U5" i="27"/>
  <c r="U24" i="27" s="1"/>
  <c r="AJ5" i="27"/>
  <c r="BG5" i="27"/>
  <c r="BB5" i="27"/>
  <c r="BK8" i="27"/>
  <c r="BM8" i="27"/>
  <c r="BA8" i="27"/>
  <c r="DC8" i="27"/>
  <c r="DP11" i="27"/>
  <c r="CP11" i="27"/>
  <c r="EQ11" i="27"/>
  <c r="EL11" i="27"/>
  <c r="DM11" i="27"/>
  <c r="DO11" i="27"/>
  <c r="EB11" i="27"/>
  <c r="DT11" i="27"/>
  <c r="GF17" i="27"/>
  <c r="GY17" i="27"/>
  <c r="FK17" i="27"/>
  <c r="FS17" i="27"/>
  <c r="HE17" i="27"/>
  <c r="GG17" i="27"/>
  <c r="GK17" i="27"/>
  <c r="HR19" i="27"/>
  <c r="HF19" i="27"/>
  <c r="HX19" i="27"/>
  <c r="GW19" i="27"/>
  <c r="HT19" i="27"/>
  <c r="ID19" i="27"/>
  <c r="GF19" i="27"/>
  <c r="HL19" i="27"/>
  <c r="GH15" i="27"/>
  <c r="HU18" i="27"/>
  <c r="GA14" i="27"/>
  <c r="EG14" i="27"/>
  <c r="FF14" i="27"/>
  <c r="FM14" i="27"/>
  <c r="ET14" i="27"/>
  <c r="EK14" i="27"/>
  <c r="EE14" i="27"/>
  <c r="AY5" i="27"/>
  <c r="X5" i="27"/>
  <c r="X24" i="27" s="1"/>
  <c r="BV5" i="27"/>
  <c r="BD5" i="27"/>
  <c r="AR5" i="27"/>
  <c r="BE5" i="27"/>
  <c r="BO8" i="27"/>
  <c r="BV8" i="27"/>
  <c r="CI8" i="27"/>
  <c r="DP13" i="27"/>
  <c r="FN13" i="27"/>
  <c r="DN13" i="27"/>
  <c r="DU13" i="27"/>
  <c r="EC13" i="27"/>
  <c r="DW13" i="27"/>
  <c r="EU13" i="27"/>
  <c r="EM13" i="27"/>
  <c r="EQ13" i="27"/>
  <c r="EE13" i="27"/>
  <c r="EN13" i="27"/>
  <c r="DM13" i="27"/>
  <c r="EL13" i="27"/>
  <c r="EB13" i="27"/>
  <c r="FH13" i="27"/>
  <c r="EZ13" i="27"/>
  <c r="DL13" i="27"/>
  <c r="FK13" i="27"/>
  <c r="EO13" i="27"/>
  <c r="EX13" i="27"/>
  <c r="FD13" i="27"/>
  <c r="DX13" i="27"/>
  <c r="EY13" i="27"/>
  <c r="EP13" i="27"/>
  <c r="FI13" i="27"/>
  <c r="EF13" i="27"/>
  <c r="FC13" i="27"/>
  <c r="DI13" i="27"/>
  <c r="DJ13" i="27"/>
  <c r="FE13" i="27"/>
  <c r="FO13" i="27"/>
  <c r="FP13" i="27"/>
  <c r="EA13" i="27"/>
  <c r="FL13" i="27"/>
  <c r="DY13" i="27"/>
  <c r="EW13" i="27"/>
  <c r="ET13" i="27"/>
  <c r="ER13" i="27"/>
  <c r="FM13" i="27"/>
  <c r="FA13" i="27"/>
  <c r="DO13" i="27"/>
  <c r="EI13" i="27"/>
  <c r="DZ13" i="27"/>
  <c r="FB13" i="27"/>
  <c r="FG13" i="27"/>
  <c r="ED10" i="27"/>
  <c r="DF10" i="27"/>
  <c r="BZ10" i="27"/>
  <c r="CZ10" i="27"/>
  <c r="CH10" i="27"/>
  <c r="CS10" i="27"/>
  <c r="EE10" i="27"/>
  <c r="CP10" i="27"/>
  <c r="DL10" i="27"/>
  <c r="CL10" i="27"/>
  <c r="DY10" i="27"/>
  <c r="DN10" i="27"/>
  <c r="DJ10" i="27"/>
  <c r="DU10" i="27"/>
  <c r="CB10" i="27"/>
  <c r="DR10" i="27"/>
  <c r="DX10" i="27"/>
  <c r="DS10" i="27"/>
  <c r="DV10" i="27"/>
  <c r="DT10" i="27"/>
  <c r="DG10" i="27"/>
  <c r="DI10" i="27"/>
  <c r="DO10" i="27"/>
  <c r="EC10" i="27"/>
  <c r="DA10" i="27"/>
  <c r="CK10" i="27"/>
  <c r="CJ10" i="27"/>
  <c r="DW10" i="27"/>
  <c r="CO10" i="27"/>
  <c r="CV10" i="27"/>
  <c r="EL12" i="27"/>
  <c r="EX12" i="27"/>
  <c r="FA12" i="27"/>
  <c r="DR12" i="27"/>
  <c r="EQ12" i="27"/>
  <c r="CY12" i="27"/>
  <c r="DH12" i="27"/>
  <c r="EW12" i="27"/>
  <c r="DA12" i="27"/>
  <c r="DV12" i="27"/>
  <c r="CZ12" i="27"/>
  <c r="ED12" i="27"/>
  <c r="EE12" i="27"/>
  <c r="FB12" i="27"/>
  <c r="DY12" i="27"/>
  <c r="EO12" i="27"/>
  <c r="EC12" i="27"/>
  <c r="DF12" i="27"/>
  <c r="DB12" i="27"/>
  <c r="EM12" i="27"/>
  <c r="ER12" i="27"/>
  <c r="EY12" i="27"/>
  <c r="DC12" i="27"/>
  <c r="DK12" i="27"/>
  <c r="EI12" i="27"/>
  <c r="DQ12" i="27"/>
  <c r="DW12" i="27"/>
  <c r="EV12" i="27"/>
  <c r="CX12" i="27"/>
  <c r="DL12" i="27"/>
  <c r="ES12" i="27"/>
  <c r="DT12" i="27"/>
  <c r="DM12" i="27"/>
  <c r="EK12" i="27"/>
  <c r="EB12" i="27"/>
  <c r="EJ12" i="27"/>
  <c r="EU12" i="27"/>
  <c r="DX12" i="27"/>
  <c r="ET12" i="27"/>
  <c r="DI12" i="27"/>
  <c r="FD12" i="27"/>
  <c r="DP12" i="27"/>
  <c r="DE12" i="27"/>
  <c r="EZ12" i="27"/>
  <c r="DJ12" i="27"/>
  <c r="GN16" i="27"/>
  <c r="GD16" i="27"/>
  <c r="GE16" i="27"/>
  <c r="FG16" i="27"/>
  <c r="GR16" i="27"/>
  <c r="FV16" i="27"/>
  <c r="EV16" i="27"/>
  <c r="EX16" i="27"/>
  <c r="FP16" i="27"/>
  <c r="ET16" i="27"/>
  <c r="GJ16" i="27"/>
  <c r="GK16" i="27"/>
  <c r="FK16" i="27"/>
  <c r="FC16" i="27"/>
  <c r="GS16" i="27"/>
  <c r="FB16" i="27"/>
  <c r="FH16" i="27"/>
  <c r="FN16" i="27"/>
  <c r="FU16" i="27"/>
  <c r="GM16" i="27"/>
  <c r="FF16" i="27"/>
  <c r="GA16" i="27"/>
  <c r="GY16" i="27"/>
  <c r="GL16" i="27"/>
  <c r="GU16" i="27"/>
  <c r="GP16" i="27"/>
  <c r="FQ16" i="27"/>
  <c r="FE16" i="27"/>
  <c r="FS16" i="27"/>
  <c r="FM16" i="27"/>
  <c r="GT16" i="27"/>
  <c r="FJ16" i="27"/>
  <c r="FZ16" i="27"/>
  <c r="EU16" i="27"/>
  <c r="FA16" i="27"/>
  <c r="GO16" i="27"/>
  <c r="FR16" i="27"/>
  <c r="ES16" i="27"/>
  <c r="GX16" i="27"/>
  <c r="EZ16" i="27"/>
  <c r="FI16" i="27"/>
  <c r="FX16" i="27"/>
  <c r="GZ16" i="27"/>
  <c r="FD16" i="27"/>
  <c r="GG16" i="27"/>
  <c r="HS22" i="27"/>
  <c r="IG22" i="27"/>
  <c r="HV22" i="27"/>
  <c r="HU22" i="27"/>
  <c r="IF22" i="27"/>
  <c r="HR22" i="27"/>
  <c r="IE22" i="27"/>
  <c r="HN22" i="27"/>
  <c r="IH22" i="27"/>
  <c r="HX22" i="27"/>
  <c r="HO22" i="27"/>
  <c r="HZ22" i="27"/>
  <c r="HW22" i="27"/>
  <c r="IJ22" i="27"/>
  <c r="HY22" i="27"/>
  <c r="IC22" i="27"/>
  <c r="IA22" i="27"/>
  <c r="HQ22" i="27"/>
  <c r="DQ13" i="27"/>
  <c r="DK13" i="27"/>
  <c r="DT13" i="27"/>
  <c r="GG15" i="27"/>
  <c r="EN15" i="27"/>
  <c r="FV15" i="27"/>
  <c r="FC15" i="27"/>
  <c r="GD15" i="27"/>
  <c r="FK15" i="27"/>
  <c r="FU15" i="27"/>
  <c r="FL15" i="27"/>
  <c r="FZ15" i="27"/>
  <c r="FM15" i="27"/>
  <c r="FI15" i="27"/>
  <c r="FS15" i="27"/>
  <c r="EG15" i="27"/>
  <c r="EK15" i="27"/>
  <c r="GB15" i="27"/>
  <c r="FJ15" i="27"/>
  <c r="EZ15" i="27"/>
  <c r="EX15" i="27"/>
  <c r="ES15" i="27"/>
  <c r="GC15" i="27"/>
  <c r="EL15" i="27"/>
  <c r="EQ15" i="27"/>
  <c r="GM15" i="27"/>
  <c r="EP15" i="27"/>
  <c r="EO15" i="27"/>
  <c r="FA15" i="27"/>
  <c r="FO15" i="27"/>
  <c r="FR15" i="27"/>
  <c r="EV15" i="27"/>
  <c r="GA15" i="27"/>
  <c r="FE15" i="27"/>
  <c r="FT15" i="27"/>
  <c r="EU15" i="27"/>
  <c r="FW15" i="27"/>
  <c r="EM15" i="27"/>
  <c r="FX15" i="27"/>
  <c r="FB15" i="27"/>
  <c r="FF15" i="27"/>
  <c r="ET15" i="27"/>
  <c r="EY15" i="27"/>
  <c r="GF15" i="27"/>
  <c r="EH15" i="27"/>
  <c r="GE15" i="27"/>
  <c r="GK15" i="27"/>
  <c r="GJ15" i="27"/>
  <c r="CM10" i="27"/>
  <c r="CT10" i="27"/>
  <c r="DC10" i="27"/>
  <c r="EB10" i="27"/>
  <c r="EA10" i="27"/>
  <c r="CU10" i="27"/>
  <c r="BY10" i="27"/>
  <c r="CE10" i="27"/>
  <c r="CJ7" i="27"/>
  <c r="CM7" i="27"/>
  <c r="CV7" i="27"/>
  <c r="BY7" i="27"/>
  <c r="EW16" i="27"/>
  <c r="GQ16" i="27"/>
  <c r="GW16" i="27"/>
  <c r="FL16" i="27"/>
  <c r="FC12" i="27"/>
  <c r="EG12" i="27"/>
  <c r="DS12" i="27"/>
  <c r="EH12" i="27"/>
  <c r="FN15" i="27"/>
  <c r="GL15" i="27"/>
  <c r="GN15" i="27"/>
  <c r="GG18" i="27"/>
  <c r="HO18" i="27"/>
  <c r="GM18" i="27"/>
  <c r="IB22" i="27"/>
  <c r="ES13" i="27"/>
  <c r="FF13" i="27"/>
  <c r="ED13" i="27"/>
  <c r="DS13" i="27"/>
  <c r="HQ18" i="27"/>
  <c r="FU18" i="27"/>
  <c r="FZ18" i="27"/>
  <c r="GQ18" i="27"/>
  <c r="FV18" i="27"/>
  <c r="GV18" i="27"/>
  <c r="GD18" i="27"/>
  <c r="GU18" i="27"/>
  <c r="HE18" i="27"/>
  <c r="HS18" i="27"/>
  <c r="GY18" i="27"/>
  <c r="GW18" i="27"/>
  <c r="GT18" i="27"/>
  <c r="HN18" i="27"/>
  <c r="FT18" i="27"/>
  <c r="GZ18" i="27"/>
  <c r="FX18" i="27"/>
  <c r="GR18" i="27"/>
  <c r="GS18" i="27"/>
  <c r="HP18" i="27"/>
  <c r="HW18" i="27"/>
  <c r="GJ18" i="27"/>
  <c r="HI18" i="27"/>
  <c r="GH18" i="27"/>
  <c r="HB18" i="27"/>
  <c r="GB18" i="27"/>
  <c r="FS18" i="27"/>
  <c r="FQ18" i="27"/>
  <c r="FR18" i="27"/>
  <c r="GK18" i="27"/>
  <c r="HD18" i="27"/>
  <c r="HK18" i="27"/>
  <c r="HL18" i="27"/>
  <c r="FW18" i="27"/>
  <c r="GI18" i="27"/>
  <c r="HR18" i="27"/>
  <c r="GE18" i="27"/>
  <c r="HF18" i="27"/>
  <c r="GF18" i="27"/>
  <c r="HX18" i="27"/>
  <c r="HM18" i="27"/>
  <c r="FY18" i="27"/>
  <c r="HV18" i="27"/>
  <c r="GN18" i="27"/>
  <c r="GO18" i="27"/>
  <c r="C17" i="23"/>
  <c r="C22" i="23" s="1"/>
  <c r="C12" i="19"/>
  <c r="C14" i="19" s="1"/>
  <c r="D14" i="23"/>
  <c r="CG10" i="27"/>
  <c r="DM10" i="27"/>
  <c r="CD10" i="27"/>
  <c r="CF10" i="27"/>
  <c r="DZ10" i="27"/>
  <c r="CX10" i="27"/>
  <c r="DE10" i="27"/>
  <c r="DH10" i="27"/>
  <c r="EY16" i="27"/>
  <c r="GI16" i="27"/>
  <c r="GB16" i="27"/>
  <c r="GH16" i="27"/>
  <c r="DN12" i="27"/>
  <c r="DG12" i="27"/>
  <c r="EF12" i="27"/>
  <c r="DD12" i="27"/>
  <c r="HC18" i="27"/>
  <c r="GX18" i="27"/>
  <c r="HJ18" i="27"/>
  <c r="ID22" i="27"/>
  <c r="HM22" i="27"/>
  <c r="EV13" i="27"/>
  <c r="DR13" i="27"/>
  <c r="EK13" i="27"/>
  <c r="FJ13" i="27"/>
  <c r="DK10" i="27"/>
  <c r="CQ10" i="27"/>
  <c r="CY10" i="27"/>
  <c r="CI10" i="27"/>
  <c r="DB10" i="27"/>
  <c r="EF10" i="27"/>
  <c r="CR10" i="27"/>
  <c r="BF7" i="27"/>
  <c r="BT7" i="27"/>
  <c r="CC7" i="27"/>
  <c r="CD7" i="27"/>
  <c r="CA7" i="27"/>
  <c r="CL7" i="27"/>
  <c r="AX7" i="27"/>
  <c r="BH7" i="27"/>
  <c r="BK7" i="27"/>
  <c r="BS7" i="27"/>
  <c r="AO7" i="27"/>
  <c r="AR7" i="27"/>
  <c r="CI7" i="27"/>
  <c r="BJ7" i="27"/>
  <c r="BR7" i="27"/>
  <c r="CE7" i="27"/>
  <c r="AV7" i="27"/>
  <c r="CQ7" i="27"/>
  <c r="CN7" i="27"/>
  <c r="BB7" i="27"/>
  <c r="BG7" i="27"/>
  <c r="CS7" i="27"/>
  <c r="AP7" i="27"/>
  <c r="BX7" i="27"/>
  <c r="CB7" i="27"/>
  <c r="BP7" i="27"/>
  <c r="AY7" i="27"/>
  <c r="CR7" i="27"/>
  <c r="BV7" i="27"/>
  <c r="BA7" i="27"/>
  <c r="AQ7" i="27"/>
  <c r="CG7" i="27"/>
  <c r="CT7" i="27"/>
  <c r="AT7" i="27"/>
  <c r="AS7" i="27"/>
  <c r="BD7" i="27"/>
  <c r="CO7" i="27"/>
  <c r="BW7" i="27"/>
  <c r="BI7" i="27"/>
  <c r="AZ7" i="27"/>
  <c r="CP7" i="27"/>
  <c r="IA23" i="27"/>
  <c r="IG23" i="27"/>
  <c r="HZ23" i="27"/>
  <c r="IF23" i="27"/>
  <c r="IJ23" i="27"/>
  <c r="II23" i="27"/>
  <c r="IC23" i="27"/>
  <c r="FY16" i="27"/>
  <c r="GC16" i="27"/>
  <c r="GV16" i="27"/>
  <c r="FT16" i="27"/>
  <c r="DO12" i="27"/>
  <c r="EP12" i="27"/>
  <c r="DU12" i="27"/>
  <c r="FH15" i="27"/>
  <c r="EW15" i="27"/>
  <c r="EI15" i="27"/>
  <c r="GI15" i="27"/>
  <c r="HA18" i="27"/>
  <c r="GP18" i="27"/>
  <c r="HT18" i="27"/>
  <c r="GA18" i="27"/>
  <c r="II22" i="27"/>
  <c r="HT22" i="27"/>
  <c r="EJ13" i="27"/>
  <c r="EH13" i="27"/>
  <c r="EG13" i="27"/>
  <c r="DV13" i="27"/>
  <c r="CK8" i="27"/>
  <c r="DB8" i="27"/>
  <c r="CE8" i="27"/>
  <c r="CR8" i="27"/>
  <c r="DG8" i="27"/>
  <c r="BX8" i="27"/>
  <c r="BU8" i="27"/>
  <c r="Q5" i="27"/>
  <c r="ER11" i="27"/>
  <c r="CM11" i="27"/>
  <c r="DN11" i="27"/>
  <c r="DU11" i="27"/>
  <c r="ED11" i="27"/>
  <c r="DQ11" i="27"/>
  <c r="DF11" i="27"/>
  <c r="DW11" i="27"/>
  <c r="CT11" i="27"/>
  <c r="EI11" i="27"/>
  <c r="EG11" i="27"/>
  <c r="CV11" i="27"/>
  <c r="EE11" i="27"/>
  <c r="DX11" i="27"/>
  <c r="DS11" i="27"/>
  <c r="FU17" i="27"/>
  <c r="FF17" i="27"/>
  <c r="GZ17" i="27"/>
  <c r="HI17" i="27"/>
  <c r="GU17" i="27"/>
  <c r="HG17" i="27"/>
  <c r="GH17" i="27"/>
  <c r="GC17" i="27"/>
  <c r="FM17" i="27"/>
  <c r="HD17" i="27"/>
  <c r="GQ17" i="27"/>
  <c r="HK17" i="27"/>
  <c r="GL17" i="27"/>
  <c r="FY17" i="27"/>
  <c r="HP19" i="27"/>
  <c r="GP19" i="27"/>
  <c r="GJ19" i="27"/>
  <c r="GE19" i="27"/>
  <c r="IC19" i="27"/>
  <c r="II19" i="27"/>
  <c r="GN19" i="27"/>
  <c r="HO19" i="27"/>
  <c r="HM19" i="27"/>
  <c r="GM19" i="27"/>
  <c r="IJ19" i="27"/>
  <c r="HK19" i="27"/>
  <c r="HE19" i="27"/>
  <c r="GX19" i="27"/>
  <c r="GQ19" i="27"/>
  <c r="EJ14" i="27"/>
  <c r="FG14" i="27"/>
  <c r="EH14" i="27"/>
  <c r="FW14" i="27"/>
  <c r="FB14" i="27"/>
  <c r="FL14" i="27"/>
  <c r="FA14" i="27"/>
  <c r="EQ14" i="27"/>
  <c r="ER14" i="27"/>
  <c r="DZ14" i="27"/>
  <c r="EO14" i="27"/>
  <c r="FV14" i="27"/>
  <c r="EU14" i="27"/>
  <c r="DW14" i="27"/>
  <c r="FR14" i="27"/>
  <c r="AD5" i="27"/>
  <c r="AZ5" i="27"/>
  <c r="AB5" i="27"/>
  <c r="AB24" i="27" s="1"/>
  <c r="AF5" i="27"/>
  <c r="AX5" i="27"/>
  <c r="AP5" i="27"/>
  <c r="AN5" i="27"/>
  <c r="BP5" i="27"/>
  <c r="BF5" i="27"/>
  <c r="BX5" i="27"/>
  <c r="BU5" i="27"/>
  <c r="AA5" i="27"/>
  <c r="AA24" i="27" s="1"/>
  <c r="BK5" i="27"/>
  <c r="W5" i="27"/>
  <c r="W24" i="27" s="1"/>
  <c r="AU5" i="27"/>
  <c r="BB8" i="27"/>
  <c r="CA8" i="27"/>
  <c r="BL8" i="27"/>
  <c r="BI8" i="27"/>
  <c r="DA8" i="27"/>
  <c r="CB8" i="27"/>
  <c r="DD8" i="27"/>
  <c r="CU8" i="27"/>
  <c r="BG8" i="27"/>
  <c r="BE8" i="27"/>
  <c r="CV8" i="27"/>
  <c r="CL8" i="27"/>
  <c r="BT8" i="27"/>
  <c r="CY8" i="27"/>
  <c r="CG8" i="27"/>
  <c r="CF8" i="27"/>
  <c r="BN8" i="27"/>
  <c r="CX8" i="27"/>
  <c r="CP8" i="27"/>
  <c r="BD8" i="27"/>
  <c r="BC8" i="27"/>
  <c r="CJ8" i="27"/>
  <c r="BZ8" i="27"/>
  <c r="EF11" i="27"/>
  <c r="DY11" i="27"/>
  <c r="CZ11" i="27"/>
  <c r="DR11" i="27"/>
  <c r="CL11" i="27"/>
  <c r="CN11" i="27"/>
  <c r="CO11" i="27"/>
  <c r="DA11" i="27"/>
  <c r="EH11" i="27"/>
  <c r="DE11" i="27"/>
  <c r="DB11" i="27"/>
  <c r="DZ11" i="27"/>
  <c r="DD11" i="27"/>
  <c r="EP11" i="27"/>
  <c r="FO17" i="27"/>
  <c r="GT17" i="27"/>
  <c r="GW17" i="27"/>
  <c r="GS17" i="27"/>
  <c r="GR17" i="27"/>
  <c r="FP17" i="27"/>
  <c r="GI17" i="27"/>
  <c r="FX17" i="27"/>
  <c r="FE17" i="27"/>
  <c r="FT17" i="27"/>
  <c r="HF17" i="27"/>
  <c r="GP17" i="27"/>
  <c r="GO17" i="27"/>
  <c r="GA17" i="27"/>
  <c r="HH17" i="27"/>
  <c r="GG19" i="27"/>
  <c r="GD19" i="27"/>
  <c r="GK19" i="27"/>
  <c r="HY19" i="27"/>
  <c r="HC19" i="27"/>
  <c r="GY19" i="27"/>
  <c r="GC19" i="27"/>
  <c r="GU19" i="27"/>
  <c r="HI19" i="27"/>
  <c r="HZ19" i="27"/>
  <c r="HJ19" i="27"/>
  <c r="HB19" i="27"/>
  <c r="IH19" i="27"/>
  <c r="HU19" i="27"/>
  <c r="GO19" i="27"/>
  <c r="EA14" i="27"/>
  <c r="FS14" i="27"/>
  <c r="EX14" i="27"/>
  <c r="EI14" i="27"/>
  <c r="EV14" i="27"/>
  <c r="FP14" i="27"/>
  <c r="FQ14" i="27"/>
  <c r="FT14" i="27"/>
  <c r="EP14" i="27"/>
  <c r="FZ14" i="27"/>
  <c r="FY14" i="27"/>
  <c r="EC14" i="27"/>
  <c r="EL14" i="27"/>
  <c r="EN14" i="27"/>
  <c r="EZ14" i="27"/>
  <c r="AW5" i="27"/>
  <c r="BQ5" i="27"/>
  <c r="AM5" i="27"/>
  <c r="BJ5" i="27"/>
  <c r="S5" i="27"/>
  <c r="S24" i="27" s="1"/>
  <c r="BS5" i="27"/>
  <c r="T5" i="27"/>
  <c r="T24" i="27" s="1"/>
  <c r="V5" i="27"/>
  <c r="V24" i="27" s="1"/>
  <c r="BW5" i="27"/>
  <c r="BN5" i="27"/>
  <c r="AH5" i="27"/>
  <c r="BO5" i="27"/>
  <c r="BT5" i="27"/>
  <c r="AO5" i="27"/>
  <c r="Y5" i="27"/>
  <c r="Y24" i="27" s="1"/>
  <c r="BW8" i="27"/>
  <c r="BF8" i="27"/>
  <c r="CM8" i="27"/>
  <c r="BY8" i="27"/>
  <c r="DH8" i="27"/>
  <c r="CH8" i="27"/>
  <c r="DE8" i="27"/>
  <c r="CW8" i="27"/>
  <c r="BJ8" i="27"/>
  <c r="CQ8" i="27"/>
  <c r="BQ8" i="27"/>
  <c r="BR8" i="27"/>
  <c r="CS8" i="27"/>
  <c r="BP8" i="27"/>
  <c r="R25" i="33"/>
  <c r="Q31" i="33"/>
  <c r="K21" i="40"/>
  <c r="K24" i="40" s="1"/>
  <c r="K25" i="40" s="1"/>
  <c r="K26" i="40" s="1"/>
  <c r="L23" i="40" s="1"/>
  <c r="N74" i="30"/>
  <c r="Q45" i="32"/>
  <c r="J16" i="10"/>
  <c r="M27" i="11"/>
  <c r="M44" i="11" s="1"/>
  <c r="M31" i="11"/>
  <c r="M48" i="11" s="1"/>
  <c r="M35" i="11"/>
  <c r="M52" i="11" s="1"/>
  <c r="M26" i="11"/>
  <c r="M43" i="11" s="1"/>
  <c r="M32" i="11"/>
  <c r="M49" i="11" s="1"/>
  <c r="M37" i="11"/>
  <c r="M54" i="11" s="1"/>
  <c r="M12" i="17" s="1"/>
  <c r="M28" i="11"/>
  <c r="M45" i="11" s="1"/>
  <c r="M33" i="11"/>
  <c r="M50" i="11" s="1"/>
  <c r="M8" i="17" s="1"/>
  <c r="M24" i="11"/>
  <c r="M41" i="11" s="1"/>
  <c r="M29" i="11"/>
  <c r="M46" i="11" s="1"/>
  <c r="M34" i="11"/>
  <c r="M51" i="11" s="1"/>
  <c r="M9" i="17" s="1"/>
  <c r="M25" i="11"/>
  <c r="M42" i="11" s="1"/>
  <c r="M30" i="11"/>
  <c r="M47" i="11" s="1"/>
  <c r="M36" i="11"/>
  <c r="M53" i="11" s="1"/>
  <c r="M11" i="17" s="1"/>
  <c r="N20" i="11"/>
  <c r="J9" i="19"/>
  <c r="J9" i="20" s="1"/>
  <c r="J17" i="17"/>
  <c r="K15" i="10"/>
  <c r="K16" i="10" s="1"/>
  <c r="K15" i="17" s="1"/>
  <c r="K19" i="19" s="1"/>
  <c r="O73" i="30"/>
  <c r="R44" i="32"/>
  <c r="N35" i="10"/>
  <c r="N34" i="10"/>
  <c r="O9" i="10"/>
  <c r="N20" i="10"/>
  <c r="N21" i="10"/>
  <c r="N24" i="10"/>
  <c r="N36" i="10"/>
  <c r="N31" i="10"/>
  <c r="N28" i="10"/>
  <c r="N27" i="10"/>
  <c r="N30" i="10"/>
  <c r="N29" i="10"/>
  <c r="N22" i="10"/>
  <c r="N25" i="10"/>
  <c r="N32" i="10"/>
  <c r="N31" i="17" s="1"/>
  <c r="N33" i="10"/>
  <c r="N23" i="10"/>
  <c r="G19" i="19"/>
  <c r="G16" i="17"/>
  <c r="G39" i="17" s="1"/>
  <c r="N72" i="30"/>
  <c r="Q43" i="32"/>
  <c r="GN7" i="16"/>
  <c r="GM8" i="16"/>
  <c r="M31" i="17"/>
  <c r="M37" i="17" s="1"/>
  <c r="M21" i="19" s="1"/>
  <c r="P24" i="33"/>
  <c r="O30" i="33"/>
  <c r="L55" i="11"/>
  <c r="L40" i="11"/>
  <c r="L37" i="17"/>
  <c r="L21" i="19" s="1"/>
  <c r="M18" i="10"/>
  <c r="K13" i="17"/>
  <c r="A20" i="37"/>
  <c r="B21" i="37"/>
  <c r="M13" i="10"/>
  <c r="N7" i="10"/>
  <c r="B18" i="35"/>
  <c r="A19" i="35"/>
  <c r="AK24" i="27" l="1"/>
  <c r="C18" i="23"/>
  <c r="C32" i="19" s="1"/>
  <c r="C17" i="20" s="1"/>
  <c r="AH24" i="27"/>
  <c r="AM24" i="27"/>
  <c r="BC24" i="27"/>
  <c r="AW24" i="27"/>
  <c r="AD24" i="27"/>
  <c r="AG24" i="27"/>
  <c r="AI24" i="27"/>
  <c r="AP24" i="27"/>
  <c r="CI24" i="27"/>
  <c r="AL24" i="27"/>
  <c r="DF24" i="27"/>
  <c r="CZ24" i="27"/>
  <c r="FO24" i="27"/>
  <c r="BE24" i="27"/>
  <c r="AY24" i="27"/>
  <c r="AJ24" i="27"/>
  <c r="AE24" i="27"/>
  <c r="AC24" i="27"/>
  <c r="IK6" i="27"/>
  <c r="BI24" i="27"/>
  <c r="AF24" i="27"/>
  <c r="AO24" i="27"/>
  <c r="BR24" i="27"/>
  <c r="BO24" i="27"/>
  <c r="FQ24" i="27"/>
  <c r="BL24" i="27"/>
  <c r="AU24" i="27"/>
  <c r="AN24" i="27"/>
  <c r="EN24" i="27"/>
  <c r="FV24" i="27"/>
  <c r="DL24" i="27"/>
  <c r="AQ24" i="27"/>
  <c r="DH24" i="27"/>
  <c r="CF24" i="27"/>
  <c r="CK24" i="27"/>
  <c r="AT24" i="27"/>
  <c r="CQ24" i="27"/>
  <c r="DK24" i="27"/>
  <c r="EK24" i="27"/>
  <c r="AR24" i="27"/>
  <c r="BH24" i="27"/>
  <c r="IK9" i="27"/>
  <c r="EA24" i="27"/>
  <c r="CY24" i="27"/>
  <c r="FG24" i="27"/>
  <c r="CP24" i="27"/>
  <c r="CA24" i="27"/>
  <c r="FH24" i="27"/>
  <c r="FT24" i="27"/>
  <c r="DZ24" i="27"/>
  <c r="AS24" i="27"/>
  <c r="CC24" i="27"/>
  <c r="FF24" i="27"/>
  <c r="EY24" i="27"/>
  <c r="FM24" i="27"/>
  <c r="ET24" i="27"/>
  <c r="ES24" i="27"/>
  <c r="FK24" i="27"/>
  <c r="GF24" i="27"/>
  <c r="DP24" i="27"/>
  <c r="AV24" i="27"/>
  <c r="DS24" i="27"/>
  <c r="CU24" i="27"/>
  <c r="CL24" i="27"/>
  <c r="DO24" i="27"/>
  <c r="CO24" i="27"/>
  <c r="CT24" i="27"/>
  <c r="GC24" i="27"/>
  <c r="FI24" i="27"/>
  <c r="FR24" i="27"/>
  <c r="FS24" i="27"/>
  <c r="CN24" i="27"/>
  <c r="FL24" i="27"/>
  <c r="FC24" i="27"/>
  <c r="GK24" i="27"/>
  <c r="FD24" i="27"/>
  <c r="EC24" i="27"/>
  <c r="EQ24" i="27"/>
  <c r="DV24" i="27"/>
  <c r="CB24" i="27"/>
  <c r="FB24" i="27"/>
  <c r="FA24" i="27"/>
  <c r="EW24" i="27"/>
  <c r="EM24" i="27"/>
  <c r="DU24" i="27"/>
  <c r="BM24" i="27"/>
  <c r="FW24" i="27"/>
  <c r="FU24" i="27"/>
  <c r="DA24" i="27"/>
  <c r="FP24" i="27"/>
  <c r="DW24" i="27"/>
  <c r="CH24" i="27"/>
  <c r="GI24" i="27"/>
  <c r="CV24" i="27"/>
  <c r="BX24" i="27"/>
  <c r="AZ24" i="27"/>
  <c r="EJ24" i="27"/>
  <c r="ER24" i="27"/>
  <c r="BY24" i="27"/>
  <c r="EB24" i="27"/>
  <c r="GD24" i="27"/>
  <c r="DN24" i="27"/>
  <c r="DT24" i="27"/>
  <c r="BV24" i="27"/>
  <c r="BA24" i="27"/>
  <c r="IK21" i="27"/>
  <c r="FY24" i="27"/>
  <c r="EX24" i="27"/>
  <c r="DB24" i="27"/>
  <c r="BP24" i="27"/>
  <c r="EO24" i="27"/>
  <c r="EG24" i="27"/>
  <c r="FJ24" i="27"/>
  <c r="CJ24" i="27"/>
  <c r="GJ24" i="27"/>
  <c r="GG24" i="27"/>
  <c r="EI24" i="27"/>
  <c r="EL24" i="27"/>
  <c r="DY24" i="27"/>
  <c r="EZ24" i="27"/>
  <c r="CW24" i="27"/>
  <c r="BN24" i="27"/>
  <c r="EV24" i="27"/>
  <c r="EH24" i="27"/>
  <c r="IK11" i="27"/>
  <c r="BZ24" i="27"/>
  <c r="DM24" i="27"/>
  <c r="IK8" i="27"/>
  <c r="CS24" i="27"/>
  <c r="FZ24" i="27"/>
  <c r="DQ24" i="27"/>
  <c r="EU24" i="27"/>
  <c r="IK12" i="27"/>
  <c r="EE24" i="27"/>
  <c r="BS24" i="27"/>
  <c r="EP24" i="27"/>
  <c r="EF24" i="27"/>
  <c r="BG24" i="27"/>
  <c r="DE24" i="27"/>
  <c r="CM24" i="27"/>
  <c r="DR24" i="27"/>
  <c r="CX24" i="27"/>
  <c r="DD24" i="27"/>
  <c r="BK24" i="27"/>
  <c r="AX24" i="27"/>
  <c r="DG24" i="27"/>
  <c r="IK23" i="27"/>
  <c r="BD24" i="27"/>
  <c r="CG24" i="27"/>
  <c r="CR24" i="27"/>
  <c r="BB24" i="27"/>
  <c r="CE24" i="27"/>
  <c r="CD24" i="27"/>
  <c r="GN24" i="27"/>
  <c r="GH24" i="27"/>
  <c r="GL24" i="27"/>
  <c r="GE24" i="27"/>
  <c r="GM24" i="27"/>
  <c r="GB24" i="27"/>
  <c r="FX24" i="27"/>
  <c r="GA24" i="27"/>
  <c r="DC24" i="27"/>
  <c r="DX24" i="27"/>
  <c r="DJ24" i="27"/>
  <c r="ED24" i="27"/>
  <c r="FE24" i="27"/>
  <c r="FN24" i="27"/>
  <c r="BJ24" i="27"/>
  <c r="IK17" i="27"/>
  <c r="Q24" i="27"/>
  <c r="IK5" i="27"/>
  <c r="IK13" i="27"/>
  <c r="BU24" i="27"/>
  <c r="D17" i="23"/>
  <c r="D22" i="23" s="1"/>
  <c r="D12" i="19"/>
  <c r="D14" i="19" s="1"/>
  <c r="E14" i="23"/>
  <c r="IK10" i="27"/>
  <c r="BQ24" i="27"/>
  <c r="IK14" i="27"/>
  <c r="IK22" i="27"/>
  <c r="IK18" i="27"/>
  <c r="IK15" i="27"/>
  <c r="IK16" i="27"/>
  <c r="BT24" i="27"/>
  <c r="BW24" i="27"/>
  <c r="IK19" i="27"/>
  <c r="DI24" i="27"/>
  <c r="BF24" i="27"/>
  <c r="IK7" i="27"/>
  <c r="E32" i="32"/>
  <c r="O74" i="30"/>
  <c r="R45" i="32"/>
  <c r="R31" i="33"/>
  <c r="S25" i="33"/>
  <c r="O72" i="30"/>
  <c r="R43" i="32"/>
  <c r="N24" i="17"/>
  <c r="E25" i="32"/>
  <c r="J15" i="17"/>
  <c r="A21" i="37"/>
  <c r="B22" i="37"/>
  <c r="P30" i="33"/>
  <c r="Q24" i="33"/>
  <c r="N22" i="17"/>
  <c r="E23" i="32"/>
  <c r="N21" i="17"/>
  <c r="E22" i="32"/>
  <c r="N27" i="17"/>
  <c r="E28" i="32"/>
  <c r="N20" i="17"/>
  <c r="E21" i="32"/>
  <c r="B9" i="43" s="1"/>
  <c r="E35" i="32"/>
  <c r="N34" i="17"/>
  <c r="N25" i="11"/>
  <c r="N42" i="11" s="1"/>
  <c r="N29" i="11"/>
  <c r="N46" i="11" s="1"/>
  <c r="N33" i="11"/>
  <c r="N50" i="11" s="1"/>
  <c r="N8" i="17" s="1"/>
  <c r="N37" i="11"/>
  <c r="N54" i="11" s="1"/>
  <c r="N12" i="17" s="1"/>
  <c r="N28" i="11"/>
  <c r="N45" i="11" s="1"/>
  <c r="N34" i="11"/>
  <c r="N51" i="11" s="1"/>
  <c r="N9" i="17" s="1"/>
  <c r="N24" i="11"/>
  <c r="N41" i="11" s="1"/>
  <c r="N30" i="11"/>
  <c r="N47" i="11" s="1"/>
  <c r="N35" i="11"/>
  <c r="N52" i="11" s="1"/>
  <c r="N10" i="17" s="1"/>
  <c r="N26" i="11"/>
  <c r="N43" i="11" s="1"/>
  <c r="N31" i="11"/>
  <c r="N48" i="11" s="1"/>
  <c r="N36" i="11"/>
  <c r="N53" i="11" s="1"/>
  <c r="N11" i="17" s="1"/>
  <c r="N32" i="11"/>
  <c r="N49" i="11" s="1"/>
  <c r="N27" i="11"/>
  <c r="N44" i="11" s="1"/>
  <c r="O20" i="11"/>
  <c r="M10" i="17"/>
  <c r="N26" i="17"/>
  <c r="E27" i="32"/>
  <c r="N23" i="17"/>
  <c r="E24" i="32"/>
  <c r="N33" i="17"/>
  <c r="E34" i="32"/>
  <c r="L7" i="17"/>
  <c r="L13" i="17" s="1"/>
  <c r="GN8" i="16"/>
  <c r="GO7" i="16"/>
  <c r="N32" i="17"/>
  <c r="E33" i="32"/>
  <c r="N28" i="17"/>
  <c r="E29" i="32"/>
  <c r="N30" i="17"/>
  <c r="E31" i="32"/>
  <c r="E20" i="32"/>
  <c r="N18" i="10"/>
  <c r="C38" i="10" s="1"/>
  <c r="P73" i="30"/>
  <c r="S44" i="32"/>
  <c r="N13" i="10"/>
  <c r="E13" i="32" s="1"/>
  <c r="B2" i="43" s="1"/>
  <c r="O7" i="10"/>
  <c r="K9" i="19"/>
  <c r="K9" i="20" s="1"/>
  <c r="K17" i="17"/>
  <c r="K16" i="17"/>
  <c r="K39" i="17" s="1"/>
  <c r="L14" i="10"/>
  <c r="N29" i="17"/>
  <c r="E30" i="32"/>
  <c r="N35" i="17"/>
  <c r="E36" i="32"/>
  <c r="O35" i="10"/>
  <c r="O34" i="10"/>
  <c r="P9" i="10"/>
  <c r="O20" i="10"/>
  <c r="O22" i="10"/>
  <c r="O25" i="10"/>
  <c r="O29" i="10"/>
  <c r="O31" i="10"/>
  <c r="O28" i="10"/>
  <c r="O27" i="10"/>
  <c r="O21" i="10"/>
  <c r="O24" i="10"/>
  <c r="O36" i="10"/>
  <c r="O30" i="10"/>
  <c r="O33" i="10"/>
  <c r="O32" i="10"/>
  <c r="O23" i="10"/>
  <c r="M40" i="11"/>
  <c r="M7" i="17" s="1"/>
  <c r="M55" i="11"/>
  <c r="M14" i="10" s="1"/>
  <c r="M15" i="10" s="1"/>
  <c r="M16" i="10" s="1"/>
  <c r="M15" i="17" s="1"/>
  <c r="B19" i="35"/>
  <c r="A20" i="35"/>
  <c r="L21" i="40"/>
  <c r="L24" i="40" s="1"/>
  <c r="L25" i="40" s="1"/>
  <c r="L26" i="40" s="1"/>
  <c r="M23" i="40" s="1"/>
  <c r="M13" i="17" l="1"/>
  <c r="M9" i="19" s="1"/>
  <c r="E38" i="32"/>
  <c r="C28" i="30"/>
  <c r="B23" i="43"/>
  <c r="C21" i="30"/>
  <c r="B16" i="43"/>
  <c r="C26" i="30"/>
  <c r="B21" i="43"/>
  <c r="C27" i="30"/>
  <c r="B22" i="43"/>
  <c r="C29" i="30"/>
  <c r="B24" i="43"/>
  <c r="C23" i="30"/>
  <c r="B18" i="43"/>
  <c r="C20" i="30"/>
  <c r="B15" i="43"/>
  <c r="C15" i="30"/>
  <c r="B10" i="43"/>
  <c r="C18" i="30"/>
  <c r="B13" i="43"/>
  <c r="C25" i="30"/>
  <c r="B20" i="43"/>
  <c r="C24" i="30"/>
  <c r="B19" i="43"/>
  <c r="C22" i="30"/>
  <c r="B17" i="43"/>
  <c r="C17" i="30"/>
  <c r="B12" i="43"/>
  <c r="C13" i="30"/>
  <c r="B8" i="43"/>
  <c r="C16" i="30"/>
  <c r="B11" i="43"/>
  <c r="E12" i="19"/>
  <c r="E14" i="19" s="1"/>
  <c r="E17" i="23"/>
  <c r="E22" i="23" s="1"/>
  <c r="F14" i="23"/>
  <c r="D18" i="23"/>
  <c r="D32" i="19" s="1"/>
  <c r="S31" i="33"/>
  <c r="T25" i="33"/>
  <c r="P74" i="30"/>
  <c r="S45" i="32"/>
  <c r="N37" i="17"/>
  <c r="N21" i="19" s="1"/>
  <c r="O29" i="17"/>
  <c r="O33" i="17"/>
  <c r="L15" i="10"/>
  <c r="L16" i="10" s="1"/>
  <c r="Q73" i="30"/>
  <c r="T44" i="32"/>
  <c r="J19" i="19"/>
  <c r="J16" i="17"/>
  <c r="J39" i="17" s="1"/>
  <c r="O22" i="17"/>
  <c r="O21" i="17"/>
  <c r="C7" i="30"/>
  <c r="L9" i="19"/>
  <c r="L9" i="20" s="1"/>
  <c r="L17" i="17"/>
  <c r="B23" i="37"/>
  <c r="A22" i="37"/>
  <c r="O26" i="17"/>
  <c r="O13" i="10"/>
  <c r="P7" i="10"/>
  <c r="C14" i="30"/>
  <c r="O35" i="17"/>
  <c r="O27" i="17"/>
  <c r="O34" i="17"/>
  <c r="O31" i="17"/>
  <c r="O23" i="17"/>
  <c r="O30" i="17"/>
  <c r="O18" i="10"/>
  <c r="GP7" i="16"/>
  <c r="GO8" i="16"/>
  <c r="O24" i="17"/>
  <c r="M19" i="19"/>
  <c r="O32" i="17"/>
  <c r="O20" i="17"/>
  <c r="O28" i="17"/>
  <c r="P34" i="10"/>
  <c r="P33" i="17" s="1"/>
  <c r="P35" i="10"/>
  <c r="P34" i="17" s="1"/>
  <c r="P20" i="10"/>
  <c r="Q9" i="10"/>
  <c r="P21" i="10"/>
  <c r="P20" i="17" s="1"/>
  <c r="P24" i="10"/>
  <c r="P23" i="17" s="1"/>
  <c r="P36" i="10"/>
  <c r="P35" i="17" s="1"/>
  <c r="P28" i="10"/>
  <c r="P27" i="17" s="1"/>
  <c r="P27" i="10"/>
  <c r="P26" i="17" s="1"/>
  <c r="P30" i="10"/>
  <c r="P29" i="17" s="1"/>
  <c r="P31" i="10"/>
  <c r="P30" i="17" s="1"/>
  <c r="P22" i="10"/>
  <c r="P21" i="17" s="1"/>
  <c r="P25" i="10"/>
  <c r="P24" i="17" s="1"/>
  <c r="P29" i="10"/>
  <c r="P28" i="17" s="1"/>
  <c r="P33" i="10"/>
  <c r="P32" i="17" s="1"/>
  <c r="P32" i="10"/>
  <c r="P31" i="17" s="1"/>
  <c r="P23" i="10"/>
  <c r="P22" i="17" s="1"/>
  <c r="O24" i="11"/>
  <c r="O29" i="11"/>
  <c r="O34" i="11"/>
  <c r="O31" i="11"/>
  <c r="O35" i="11"/>
  <c r="O25" i="11"/>
  <c r="O30" i="11"/>
  <c r="O36" i="11"/>
  <c r="O33" i="11"/>
  <c r="D19" i="38"/>
  <c r="O26" i="11"/>
  <c r="O27" i="11"/>
  <c r="O28" i="11"/>
  <c r="O32" i="11"/>
  <c r="O37" i="11"/>
  <c r="P20" i="11"/>
  <c r="N40" i="11"/>
  <c r="N7" i="17" s="1"/>
  <c r="N13" i="17" s="1"/>
  <c r="N55" i="11"/>
  <c r="R24" i="33"/>
  <c r="Q30" i="33"/>
  <c r="P72" i="30"/>
  <c r="S43" i="32"/>
  <c r="A21" i="35"/>
  <c r="B20" i="35"/>
  <c r="M21" i="40"/>
  <c r="M24" i="40" s="1"/>
  <c r="M25" i="40" s="1"/>
  <c r="M26" i="40" s="1"/>
  <c r="N23" i="40" s="1"/>
  <c r="M16" i="17" l="1"/>
  <c r="M39" i="17" s="1"/>
  <c r="M17" i="17"/>
  <c r="B26" i="43"/>
  <c r="E18" i="23"/>
  <c r="E32" i="19" s="1"/>
  <c r="C31" i="30"/>
  <c r="G14" i="23"/>
  <c r="F17" i="23"/>
  <c r="F22" i="23" s="1"/>
  <c r="F12" i="19"/>
  <c r="F14" i="19" s="1"/>
  <c r="Q74" i="30"/>
  <c r="T45" i="32"/>
  <c r="T31" i="33"/>
  <c r="U25" i="33"/>
  <c r="D36" i="38"/>
  <c r="D54" i="38" s="1"/>
  <c r="O54" i="11"/>
  <c r="O12" i="17" s="1"/>
  <c r="D33" i="38"/>
  <c r="D51" i="38" s="1"/>
  <c r="O51" i="11"/>
  <c r="O9" i="17" s="1"/>
  <c r="L15" i="17"/>
  <c r="N14" i="10"/>
  <c r="E14" i="32" s="1"/>
  <c r="B3" i="43" s="1"/>
  <c r="C56" i="11"/>
  <c r="D24" i="38"/>
  <c r="D42" i="38" s="1"/>
  <c r="O42" i="11"/>
  <c r="D28" i="38"/>
  <c r="D46" i="38" s="1"/>
  <c r="O46" i="11"/>
  <c r="P18" i="10"/>
  <c r="B24" i="37"/>
  <c r="A23" i="37"/>
  <c r="R73" i="30"/>
  <c r="U44" i="32"/>
  <c r="Q72" i="30"/>
  <c r="T43" i="32"/>
  <c r="D25" i="38"/>
  <c r="D43" i="38" s="1"/>
  <c r="O43" i="11"/>
  <c r="Q34" i="10"/>
  <c r="Q33" i="17" s="1"/>
  <c r="Q35" i="10"/>
  <c r="R9" i="10"/>
  <c r="Q20" i="10"/>
  <c r="Q22" i="10"/>
  <c r="Q21" i="17" s="1"/>
  <c r="Q25" i="10"/>
  <c r="Q24" i="17" s="1"/>
  <c r="Q29" i="10"/>
  <c r="Q31" i="10"/>
  <c r="Q30" i="17" s="1"/>
  <c r="Q30" i="10"/>
  <c r="Q29" i="17" s="1"/>
  <c r="Q21" i="10"/>
  <c r="Q20" i="17" s="1"/>
  <c r="Q24" i="10"/>
  <c r="Q23" i="17" s="1"/>
  <c r="Q36" i="10"/>
  <c r="Q35" i="17" s="1"/>
  <c r="Q28" i="10"/>
  <c r="Q27" i="17" s="1"/>
  <c r="Q27" i="10"/>
  <c r="Q26" i="17" s="1"/>
  <c r="Q33" i="10"/>
  <c r="Q32" i="17" s="1"/>
  <c r="Q32" i="10"/>
  <c r="Q31" i="17" s="1"/>
  <c r="Q23" i="10"/>
  <c r="Q22" i="17" s="1"/>
  <c r="M9" i="20"/>
  <c r="D31" i="38"/>
  <c r="D49" i="38" s="1"/>
  <c r="O49" i="11"/>
  <c r="N9" i="19"/>
  <c r="N9" i="20" s="1"/>
  <c r="N17" i="17"/>
  <c r="D27" i="38"/>
  <c r="D45" i="38" s="1"/>
  <c r="O45" i="11"/>
  <c r="D32" i="38"/>
  <c r="D50" i="38" s="1"/>
  <c r="O50" i="11"/>
  <c r="O8" i="17" s="1"/>
  <c r="D34" i="38"/>
  <c r="D52" i="38" s="1"/>
  <c r="O52" i="11"/>
  <c r="O10" i="17" s="1"/>
  <c r="D23" i="38"/>
  <c r="D41" i="38" s="1"/>
  <c r="O41" i="11"/>
  <c r="GQ7" i="16"/>
  <c r="GP8" i="16"/>
  <c r="O37" i="17"/>
  <c r="O21" i="19" s="1"/>
  <c r="D29" i="38"/>
  <c r="D47" i="38" s="1"/>
  <c r="O47" i="11"/>
  <c r="P13" i="10"/>
  <c r="Q7" i="10"/>
  <c r="R30" i="33"/>
  <c r="S24" i="33"/>
  <c r="P26" i="11"/>
  <c r="P43" i="11" s="1"/>
  <c r="P30" i="11"/>
  <c r="P47" i="11" s="1"/>
  <c r="P34" i="11"/>
  <c r="P51" i="11" s="1"/>
  <c r="P9" i="17" s="1"/>
  <c r="P27" i="11"/>
  <c r="P44" i="11" s="1"/>
  <c r="P32" i="11"/>
  <c r="P49" i="11" s="1"/>
  <c r="P37" i="11"/>
  <c r="P54" i="11" s="1"/>
  <c r="P12" i="17" s="1"/>
  <c r="P28" i="11"/>
  <c r="P45" i="11" s="1"/>
  <c r="P33" i="11"/>
  <c r="P50" i="11" s="1"/>
  <c r="P8" i="17" s="1"/>
  <c r="P24" i="11"/>
  <c r="P41" i="11" s="1"/>
  <c r="P29" i="11"/>
  <c r="P46" i="11" s="1"/>
  <c r="P35" i="11"/>
  <c r="P52" i="11" s="1"/>
  <c r="P10" i="17" s="1"/>
  <c r="P31" i="11"/>
  <c r="P48" i="11" s="1"/>
  <c r="P36" i="11"/>
  <c r="P53" i="11" s="1"/>
  <c r="P11" i="17" s="1"/>
  <c r="P25" i="11"/>
  <c r="P42" i="11" s="1"/>
  <c r="Q20" i="11"/>
  <c r="D26" i="38"/>
  <c r="D44" i="38" s="1"/>
  <c r="O44" i="11"/>
  <c r="D35" i="38"/>
  <c r="D53" i="38" s="1"/>
  <c r="O53" i="11"/>
  <c r="O11" i="17" s="1"/>
  <c r="D30" i="38"/>
  <c r="D48" i="38" s="1"/>
  <c r="O48" i="11"/>
  <c r="P37" i="17"/>
  <c r="P21" i="19" s="1"/>
  <c r="A22" i="35"/>
  <c r="B21" i="35"/>
  <c r="N21" i="40"/>
  <c r="N24" i="40" s="1"/>
  <c r="N25" i="40" s="1"/>
  <c r="N26" i="40" s="1"/>
  <c r="O23" i="40" s="1"/>
  <c r="F18" i="23" l="1"/>
  <c r="F32" i="19" s="1"/>
  <c r="G17" i="23"/>
  <c r="G22" i="23" s="1"/>
  <c r="G12" i="19"/>
  <c r="G14" i="19" s="1"/>
  <c r="H14" i="23"/>
  <c r="V25" i="33"/>
  <c r="U31" i="33"/>
  <c r="R74" i="30"/>
  <c r="U45" i="32"/>
  <c r="GR7" i="16"/>
  <c r="GQ8" i="16"/>
  <c r="Q18" i="10"/>
  <c r="S73" i="30"/>
  <c r="V44" i="32"/>
  <c r="L19" i="19"/>
  <c r="L16" i="17"/>
  <c r="L39" i="17" s="1"/>
  <c r="P40" i="11"/>
  <c r="P7" i="17" s="1"/>
  <c r="P13" i="17" s="1"/>
  <c r="P55" i="11"/>
  <c r="P14" i="10" s="1"/>
  <c r="P15" i="10" s="1"/>
  <c r="O40" i="11"/>
  <c r="O7" i="17" s="1"/>
  <c r="O13" i="17" s="1"/>
  <c r="O55" i="11"/>
  <c r="Q28" i="17"/>
  <c r="R34" i="10"/>
  <c r="R35" i="10"/>
  <c r="R34" i="17" s="1"/>
  <c r="R20" i="10"/>
  <c r="S9" i="10"/>
  <c r="R21" i="10"/>
  <c r="R24" i="10"/>
  <c r="R36" i="10"/>
  <c r="R35" i="17" s="1"/>
  <c r="R28" i="10"/>
  <c r="R27" i="10"/>
  <c r="R30" i="10"/>
  <c r="R31" i="10"/>
  <c r="R22" i="10"/>
  <c r="R21" i="17" s="1"/>
  <c r="R25" i="10"/>
  <c r="R24" i="17" s="1"/>
  <c r="R29" i="10"/>
  <c r="R28" i="17" s="1"/>
  <c r="R33" i="10"/>
  <c r="R32" i="17" s="1"/>
  <c r="R32" i="10"/>
  <c r="R31" i="17" s="1"/>
  <c r="R23" i="10"/>
  <c r="R22" i="17" s="1"/>
  <c r="E6" i="32"/>
  <c r="Q13" i="10"/>
  <c r="R7" i="10"/>
  <c r="A24" i="37"/>
  <c r="B25" i="37"/>
  <c r="T24" i="33"/>
  <c r="S30" i="33"/>
  <c r="D55" i="38"/>
  <c r="Q34" i="17"/>
  <c r="R72" i="30"/>
  <c r="U43" i="32"/>
  <c r="N15" i="10"/>
  <c r="Q24" i="11"/>
  <c r="Q41" i="11" s="1"/>
  <c r="Q28" i="11"/>
  <c r="Q45" i="11" s="1"/>
  <c r="Q32" i="11"/>
  <c r="Q49" i="11" s="1"/>
  <c r="Q36" i="11"/>
  <c r="Q53" i="11" s="1"/>
  <c r="Q11" i="17" s="1"/>
  <c r="Q29" i="11"/>
  <c r="Q46" i="11" s="1"/>
  <c r="Q34" i="11"/>
  <c r="Q51" i="11" s="1"/>
  <c r="Q9" i="17" s="1"/>
  <c r="Q25" i="11"/>
  <c r="Q42" i="11" s="1"/>
  <c r="Q30" i="11"/>
  <c r="Q47" i="11" s="1"/>
  <c r="Q35" i="11"/>
  <c r="Q52" i="11" s="1"/>
  <c r="Q10" i="17" s="1"/>
  <c r="Q26" i="11"/>
  <c r="Q43" i="11" s="1"/>
  <c r="Q31" i="11"/>
  <c r="Q48" i="11" s="1"/>
  <c r="Q37" i="11"/>
  <c r="Q54" i="11" s="1"/>
  <c r="Q12" i="17" s="1"/>
  <c r="Q27" i="11"/>
  <c r="Q44" i="11" s="1"/>
  <c r="Q33" i="11"/>
  <c r="Q50" i="11" s="1"/>
  <c r="Q8" i="17" s="1"/>
  <c r="R20" i="11"/>
  <c r="B22" i="35"/>
  <c r="A23" i="35"/>
  <c r="O21" i="40"/>
  <c r="O24" i="40" s="1"/>
  <c r="O25" i="40" s="1"/>
  <c r="O26" i="40" s="1"/>
  <c r="P23" i="40" s="1"/>
  <c r="G18" i="23" l="1"/>
  <c r="G32" i="19" s="1"/>
  <c r="Q37" i="17"/>
  <c r="Q21" i="19" s="1"/>
  <c r="H17" i="23"/>
  <c r="H22" i="23" s="1"/>
  <c r="I14" i="23"/>
  <c r="H12" i="19"/>
  <c r="H14" i="19" s="1"/>
  <c r="V45" i="32"/>
  <c r="S74" i="30"/>
  <c r="V31" i="33"/>
  <c r="W25" i="33"/>
  <c r="R23" i="17"/>
  <c r="C8" i="30"/>
  <c r="A25" i="37"/>
  <c r="B26" i="37"/>
  <c r="O9" i="19"/>
  <c r="O9" i="20" s="1"/>
  <c r="O17" i="17"/>
  <c r="R26" i="17"/>
  <c r="R20" i="17"/>
  <c r="R33" i="17"/>
  <c r="R29" i="17"/>
  <c r="O14" i="10"/>
  <c r="R26" i="11"/>
  <c r="R43" i="11" s="1"/>
  <c r="R30" i="11"/>
  <c r="R47" i="11" s="1"/>
  <c r="R34" i="11"/>
  <c r="R51" i="11" s="1"/>
  <c r="R9" i="17" s="1"/>
  <c r="R25" i="11"/>
  <c r="R42" i="11" s="1"/>
  <c r="R31" i="11"/>
  <c r="R48" i="11" s="1"/>
  <c r="R36" i="11"/>
  <c r="R53" i="11" s="1"/>
  <c r="R11" i="17" s="1"/>
  <c r="R27" i="11"/>
  <c r="R44" i="11" s="1"/>
  <c r="R32" i="11"/>
  <c r="R49" i="11" s="1"/>
  <c r="R37" i="11"/>
  <c r="R54" i="11" s="1"/>
  <c r="R12" i="17" s="1"/>
  <c r="R28" i="11"/>
  <c r="R45" i="11" s="1"/>
  <c r="R33" i="11"/>
  <c r="R50" i="11" s="1"/>
  <c r="R8" i="17" s="1"/>
  <c r="R24" i="11"/>
  <c r="R41" i="11" s="1"/>
  <c r="R29" i="11"/>
  <c r="R46" i="11" s="1"/>
  <c r="R35" i="11"/>
  <c r="R52" i="11" s="1"/>
  <c r="R10" i="17" s="1"/>
  <c r="S20" i="11"/>
  <c r="N16" i="10"/>
  <c r="E15" i="32"/>
  <c r="V43" i="32"/>
  <c r="S72" i="30"/>
  <c r="T30" i="33"/>
  <c r="U24" i="33"/>
  <c r="R27" i="17"/>
  <c r="S34" i="10"/>
  <c r="S33" i="17" s="1"/>
  <c r="S35" i="10"/>
  <c r="T9" i="10"/>
  <c r="S20" i="10"/>
  <c r="S22" i="10"/>
  <c r="S25" i="10"/>
  <c r="S29" i="10"/>
  <c r="S28" i="17" s="1"/>
  <c r="S31" i="10"/>
  <c r="S30" i="17" s="1"/>
  <c r="S28" i="10"/>
  <c r="S27" i="17" s="1"/>
  <c r="S30" i="10"/>
  <c r="S29" i="17" s="1"/>
  <c r="S21" i="10"/>
  <c r="S20" i="17" s="1"/>
  <c r="S24" i="10"/>
  <c r="S23" i="17" s="1"/>
  <c r="S36" i="10"/>
  <c r="S27" i="10"/>
  <c r="S26" i="17" s="1"/>
  <c r="S33" i="10"/>
  <c r="S32" i="10"/>
  <c r="S23" i="10"/>
  <c r="P16" i="10"/>
  <c r="P15" i="17" s="1"/>
  <c r="P19" i="19" s="1"/>
  <c r="P9" i="19"/>
  <c r="P17" i="17"/>
  <c r="Q40" i="11"/>
  <c r="Q7" i="17" s="1"/>
  <c r="Q13" i="17" s="1"/>
  <c r="Q55" i="11"/>
  <c r="Q14" i="10" s="1"/>
  <c r="R13" i="10"/>
  <c r="S7" i="10"/>
  <c r="R30" i="17"/>
  <c r="R18" i="10"/>
  <c r="T73" i="30"/>
  <c r="W44" i="32"/>
  <c r="GS7" i="16"/>
  <c r="GR8" i="16"/>
  <c r="N23" i="35"/>
  <c r="I23" i="35"/>
  <c r="M23" i="35"/>
  <c r="A24" i="35"/>
  <c r="B23" i="35"/>
  <c r="H23" i="35"/>
  <c r="P21" i="40"/>
  <c r="P24" i="40" s="1"/>
  <c r="P25" i="40" s="1"/>
  <c r="P26" i="40" s="1"/>
  <c r="Q23" i="40" s="1"/>
  <c r="H18" i="23" l="1"/>
  <c r="H32" i="19" s="1"/>
  <c r="C9" i="30"/>
  <c r="C10" i="30" s="1"/>
  <c r="C32" i="30" s="1"/>
  <c r="C34" i="30" s="1"/>
  <c r="C36" i="30" s="1"/>
  <c r="B4" i="43"/>
  <c r="I17" i="23"/>
  <c r="I22" i="23" s="1"/>
  <c r="J14" i="23"/>
  <c r="I12" i="19"/>
  <c r="I14" i="19" s="1"/>
  <c r="X25" i="33"/>
  <c r="W31" i="33"/>
  <c r="R37" i="17"/>
  <c r="R21" i="19" s="1"/>
  <c r="W45" i="32"/>
  <c r="T74" i="30"/>
  <c r="P16" i="17"/>
  <c r="P39" i="17" s="1"/>
  <c r="Q17" i="17"/>
  <c r="Q9" i="19"/>
  <c r="Q9" i="20" s="1"/>
  <c r="S24" i="17"/>
  <c r="V24" i="33"/>
  <c r="U30" i="33"/>
  <c r="S24" i="11"/>
  <c r="S41" i="11" s="1"/>
  <c r="S28" i="11"/>
  <c r="S45" i="11" s="1"/>
  <c r="S32" i="11"/>
  <c r="S49" i="11" s="1"/>
  <c r="S36" i="11"/>
  <c r="S53" i="11" s="1"/>
  <c r="S11" i="17" s="1"/>
  <c r="S27" i="11"/>
  <c r="S44" i="11" s="1"/>
  <c r="S33" i="11"/>
  <c r="S50" i="11" s="1"/>
  <c r="S8" i="17" s="1"/>
  <c r="S29" i="11"/>
  <c r="S46" i="11" s="1"/>
  <c r="S34" i="11"/>
  <c r="S51" i="11" s="1"/>
  <c r="S9" i="17" s="1"/>
  <c r="S25" i="11"/>
  <c r="S42" i="11" s="1"/>
  <c r="S30" i="11"/>
  <c r="S47" i="11" s="1"/>
  <c r="S35" i="11"/>
  <c r="S52" i="11" s="1"/>
  <c r="S10" i="17" s="1"/>
  <c r="S31" i="11"/>
  <c r="S48" i="11" s="1"/>
  <c r="S37" i="11"/>
  <c r="S54" i="11" s="1"/>
  <c r="S12" i="17" s="1"/>
  <c r="S26" i="11"/>
  <c r="S43" i="11" s="1"/>
  <c r="T20" i="11"/>
  <c r="O15" i="10"/>
  <c r="O16" i="10" s="1"/>
  <c r="O15" i="17" s="1"/>
  <c r="S22" i="17"/>
  <c r="S35" i="17"/>
  <c r="S21" i="17"/>
  <c r="B27" i="37"/>
  <c r="A26" i="37"/>
  <c r="S13" i="10"/>
  <c r="T7" i="10"/>
  <c r="S34" i="17"/>
  <c r="GT7" i="16"/>
  <c r="GS8" i="16"/>
  <c r="Q15" i="10"/>
  <c r="Q16" i="10" s="1"/>
  <c r="Q15" i="17" s="1"/>
  <c r="P9" i="20"/>
  <c r="S31" i="17"/>
  <c r="S18" i="10"/>
  <c r="N15" i="17"/>
  <c r="U73" i="30"/>
  <c r="X44" i="32"/>
  <c r="V73" i="30" s="1"/>
  <c r="S32" i="17"/>
  <c r="T34" i="10"/>
  <c r="T33" i="17" s="1"/>
  <c r="T35" i="10"/>
  <c r="T34" i="17" s="1"/>
  <c r="T20" i="10"/>
  <c r="U9" i="10"/>
  <c r="T21" i="10"/>
  <c r="T20" i="17" s="1"/>
  <c r="T24" i="10"/>
  <c r="T23" i="17" s="1"/>
  <c r="T36" i="10"/>
  <c r="T35" i="17" s="1"/>
  <c r="T31" i="10"/>
  <c r="T28" i="10"/>
  <c r="T27" i="17" s="1"/>
  <c r="T27" i="10"/>
  <c r="T26" i="17" s="1"/>
  <c r="T30" i="10"/>
  <c r="T29" i="17" s="1"/>
  <c r="T29" i="10"/>
  <c r="T22" i="10"/>
  <c r="T21" i="17" s="1"/>
  <c r="T25" i="10"/>
  <c r="T24" i="17" s="1"/>
  <c r="T33" i="10"/>
  <c r="T32" i="17" s="1"/>
  <c r="T32" i="10"/>
  <c r="T31" i="17" s="1"/>
  <c r="T23" i="10"/>
  <c r="T22" i="17" s="1"/>
  <c r="W43" i="32"/>
  <c r="T72" i="30"/>
  <c r="R40" i="11"/>
  <c r="R7" i="17" s="1"/>
  <c r="R13" i="17" s="1"/>
  <c r="R55" i="11"/>
  <c r="R14" i="10" s="1"/>
  <c r="R15" i="10" s="1"/>
  <c r="R16" i="10" s="1"/>
  <c r="R15" i="17" s="1"/>
  <c r="E16" i="32"/>
  <c r="B5" i="43" s="1"/>
  <c r="M24" i="35"/>
  <c r="N24" i="35"/>
  <c r="I24" i="35"/>
  <c r="B24" i="35"/>
  <c r="A25" i="35"/>
  <c r="H24" i="35"/>
  <c r="Q21" i="40"/>
  <c r="Q24" i="40" s="1"/>
  <c r="Q25" i="40" s="1"/>
  <c r="Q26" i="40" s="1"/>
  <c r="R23" i="40" s="1"/>
  <c r="R19" i="19" l="1"/>
  <c r="I18" i="23"/>
  <c r="I32" i="19" s="1"/>
  <c r="K14" i="23"/>
  <c r="J17" i="23"/>
  <c r="J22" i="23" s="1"/>
  <c r="J12" i="19"/>
  <c r="J14" i="19" s="1"/>
  <c r="X45" i="32"/>
  <c r="V74" i="30" s="1"/>
  <c r="U74" i="30"/>
  <c r="X31" i="33"/>
  <c r="Y25" i="33"/>
  <c r="C78" i="30"/>
  <c r="L9" i="37" s="1"/>
  <c r="M9" i="37" s="1"/>
  <c r="P9" i="37" s="1"/>
  <c r="N9" i="37" s="1"/>
  <c r="Q16" i="17"/>
  <c r="Q39" i="17" s="1"/>
  <c r="Q19" i="19"/>
  <c r="W24" i="33"/>
  <c r="V30" i="33"/>
  <c r="U72" i="30"/>
  <c r="X43" i="32"/>
  <c r="V72" i="30" s="1"/>
  <c r="T13" i="10"/>
  <c r="U7" i="10"/>
  <c r="B28" i="37"/>
  <c r="A27" i="37"/>
  <c r="S37" i="17"/>
  <c r="S21" i="19" s="1"/>
  <c r="O19" i="19"/>
  <c r="O16" i="17"/>
  <c r="O39" i="17" s="1"/>
  <c r="T18" i="10"/>
  <c r="N16" i="17"/>
  <c r="N39" i="17" s="1"/>
  <c r="N19" i="19"/>
  <c r="T26" i="11"/>
  <c r="T43" i="11" s="1"/>
  <c r="T30" i="11"/>
  <c r="T47" i="11" s="1"/>
  <c r="T34" i="11"/>
  <c r="T51" i="11" s="1"/>
  <c r="T9" i="17" s="1"/>
  <c r="T24" i="11"/>
  <c r="T41" i="11" s="1"/>
  <c r="T29" i="11"/>
  <c r="T46" i="11" s="1"/>
  <c r="T35" i="11"/>
  <c r="T52" i="11" s="1"/>
  <c r="T10" i="17" s="1"/>
  <c r="T25" i="11"/>
  <c r="T42" i="11" s="1"/>
  <c r="T31" i="11"/>
  <c r="T48" i="11" s="1"/>
  <c r="T36" i="11"/>
  <c r="T53" i="11" s="1"/>
  <c r="T11" i="17" s="1"/>
  <c r="T27" i="11"/>
  <c r="T44" i="11" s="1"/>
  <c r="T32" i="11"/>
  <c r="T49" i="11" s="1"/>
  <c r="T37" i="11"/>
  <c r="T54" i="11" s="1"/>
  <c r="T12" i="17" s="1"/>
  <c r="T28" i="11"/>
  <c r="T45" i="11" s="1"/>
  <c r="T33" i="11"/>
  <c r="T50" i="11" s="1"/>
  <c r="T8" i="17" s="1"/>
  <c r="U20" i="11"/>
  <c r="GU7" i="16"/>
  <c r="GT8" i="16"/>
  <c r="D6" i="33"/>
  <c r="C38" i="30"/>
  <c r="S40" i="11"/>
  <c r="S7" i="17" s="1"/>
  <c r="S13" i="17" s="1"/>
  <c r="S55" i="11"/>
  <c r="R9" i="19"/>
  <c r="R9" i="20" s="1"/>
  <c r="R17" i="17"/>
  <c r="R16" i="17"/>
  <c r="R39" i="17" s="1"/>
  <c r="T28" i="17"/>
  <c r="T30" i="17"/>
  <c r="U34" i="10"/>
  <c r="U35" i="10"/>
  <c r="U34" i="17" s="1"/>
  <c r="V9" i="10"/>
  <c r="U20" i="10"/>
  <c r="U22" i="10"/>
  <c r="U25" i="10"/>
  <c r="U24" i="17" s="1"/>
  <c r="U27" i="10"/>
  <c r="U29" i="10"/>
  <c r="U28" i="17" s="1"/>
  <c r="U31" i="10"/>
  <c r="U30" i="17" s="1"/>
  <c r="U28" i="10"/>
  <c r="U30" i="10"/>
  <c r="U29" i="17" s="1"/>
  <c r="U21" i="10"/>
  <c r="U20" i="17" s="1"/>
  <c r="U24" i="10"/>
  <c r="U23" i="17" s="1"/>
  <c r="U36" i="10"/>
  <c r="U35" i="17" s="1"/>
  <c r="U33" i="10"/>
  <c r="U32" i="17" s="1"/>
  <c r="U32" i="10"/>
  <c r="U23" i="10"/>
  <c r="H25" i="35"/>
  <c r="I25" i="35"/>
  <c r="M25" i="35"/>
  <c r="E25" i="35"/>
  <c r="A26" i="35"/>
  <c r="N25" i="35"/>
  <c r="B25" i="35"/>
  <c r="D25" i="35"/>
  <c r="C25" i="35"/>
  <c r="R21" i="40"/>
  <c r="R24" i="40" s="1"/>
  <c r="R25" i="40" s="1"/>
  <c r="R26" i="40" s="1"/>
  <c r="S23" i="40" s="1"/>
  <c r="L14" i="37" l="1"/>
  <c r="M14" i="37" s="1"/>
  <c r="P14" i="37" s="1"/>
  <c r="N14" i="37" s="1"/>
  <c r="J18" i="23"/>
  <c r="J32" i="19" s="1"/>
  <c r="K17" i="23"/>
  <c r="K22" i="23" s="1"/>
  <c r="K12" i="19"/>
  <c r="K14" i="19" s="1"/>
  <c r="L14" i="23"/>
  <c r="Z25" i="33"/>
  <c r="Y31" i="33"/>
  <c r="T37" i="17"/>
  <c r="T21" i="19" s="1"/>
  <c r="L17" i="37"/>
  <c r="M17" i="37" s="1"/>
  <c r="P17" i="37" s="1"/>
  <c r="N17" i="37" s="1"/>
  <c r="L16" i="37"/>
  <c r="M16" i="37" s="1"/>
  <c r="P16" i="37" s="1"/>
  <c r="N16" i="37" s="1"/>
  <c r="L10" i="37"/>
  <c r="M10" i="37" s="1"/>
  <c r="P10" i="37" s="1"/>
  <c r="N10" i="37" s="1"/>
  <c r="L13" i="37"/>
  <c r="M13" i="37" s="1"/>
  <c r="P13" i="37" s="1"/>
  <c r="N13" i="37" s="1"/>
  <c r="L11" i="37"/>
  <c r="M11" i="37" s="1"/>
  <c r="P11" i="37" s="1"/>
  <c r="N11" i="37" s="1"/>
  <c r="L18" i="37"/>
  <c r="M18" i="37" s="1"/>
  <c r="P18" i="37" s="1"/>
  <c r="N18" i="37" s="1"/>
  <c r="L8" i="37"/>
  <c r="M8" i="37" s="1"/>
  <c r="P8" i="37" s="1"/>
  <c r="L19" i="37"/>
  <c r="M19" i="37" s="1"/>
  <c r="P19" i="37" s="1"/>
  <c r="N19" i="37" s="1"/>
  <c r="L15" i="37"/>
  <c r="M15" i="37" s="1"/>
  <c r="P15" i="37" s="1"/>
  <c r="N15" i="37" s="1"/>
  <c r="L12" i="37"/>
  <c r="M12" i="37" s="1"/>
  <c r="P12" i="37" s="1"/>
  <c r="N12" i="37" s="1"/>
  <c r="U33" i="17"/>
  <c r="S9" i="19"/>
  <c r="S9" i="20" s="1"/>
  <c r="S17" i="17"/>
  <c r="U31" i="17"/>
  <c r="U18" i="10"/>
  <c r="X24" i="33"/>
  <c r="W30" i="33"/>
  <c r="U22" i="17"/>
  <c r="U21" i="17"/>
  <c r="S14" i="10"/>
  <c r="GV7" i="16"/>
  <c r="GU8" i="16"/>
  <c r="U13" i="10"/>
  <c r="V7" i="10"/>
  <c r="U26" i="17"/>
  <c r="V34" i="10"/>
  <c r="V33" i="17" s="1"/>
  <c r="V35" i="10"/>
  <c r="V34" i="17" s="1"/>
  <c r="W9" i="10"/>
  <c r="V20" i="10"/>
  <c r="V21" i="10"/>
  <c r="V20" i="17" s="1"/>
  <c r="V24" i="10"/>
  <c r="V23" i="17" s="1"/>
  <c r="V36" i="10"/>
  <c r="V35" i="17" s="1"/>
  <c r="V28" i="10"/>
  <c r="V27" i="17" s="1"/>
  <c r="V27" i="10"/>
  <c r="V26" i="17" s="1"/>
  <c r="V30" i="10"/>
  <c r="V29" i="17" s="1"/>
  <c r="V29" i="10"/>
  <c r="V22" i="10"/>
  <c r="V21" i="17" s="1"/>
  <c r="V25" i="10"/>
  <c r="V24" i="17" s="1"/>
  <c r="V31" i="10"/>
  <c r="V30" i="17" s="1"/>
  <c r="V33" i="10"/>
  <c r="V32" i="17" s="1"/>
  <c r="V32" i="10"/>
  <c r="V31" i="17" s="1"/>
  <c r="V23" i="10"/>
  <c r="V22" i="17" s="1"/>
  <c r="T40" i="11"/>
  <c r="T7" i="17" s="1"/>
  <c r="T13" i="17" s="1"/>
  <c r="T55" i="11"/>
  <c r="T14" i="10" s="1"/>
  <c r="T15" i="10" s="1"/>
  <c r="T16" i="10" s="1"/>
  <c r="T15" i="17" s="1"/>
  <c r="U27" i="17"/>
  <c r="U24" i="11"/>
  <c r="U41" i="11" s="1"/>
  <c r="U28" i="11"/>
  <c r="U45" i="11" s="1"/>
  <c r="U26" i="11"/>
  <c r="U43" i="11" s="1"/>
  <c r="U31" i="11"/>
  <c r="U48" i="11" s="1"/>
  <c r="U35" i="11"/>
  <c r="U52" i="11" s="1"/>
  <c r="U10" i="17" s="1"/>
  <c r="U27" i="11"/>
  <c r="U44" i="11" s="1"/>
  <c r="U32" i="11"/>
  <c r="U49" i="11" s="1"/>
  <c r="U36" i="11"/>
  <c r="U53" i="11" s="1"/>
  <c r="U11" i="17" s="1"/>
  <c r="U29" i="11"/>
  <c r="U46" i="11" s="1"/>
  <c r="U33" i="11"/>
  <c r="U50" i="11" s="1"/>
  <c r="U8" i="17" s="1"/>
  <c r="U37" i="11"/>
  <c r="U54" i="11" s="1"/>
  <c r="U12" i="17" s="1"/>
  <c r="U25" i="11"/>
  <c r="U42" i="11" s="1"/>
  <c r="U30" i="11"/>
  <c r="U47" i="11" s="1"/>
  <c r="U34" i="11"/>
  <c r="U51" i="11" s="1"/>
  <c r="U9" i="17" s="1"/>
  <c r="V20" i="11"/>
  <c r="A28" i="37"/>
  <c r="B29" i="37"/>
  <c r="I26" i="35"/>
  <c r="B26" i="35"/>
  <c r="N26" i="35"/>
  <c r="E26" i="35"/>
  <c r="H26" i="35"/>
  <c r="A27" i="35"/>
  <c r="M26" i="35"/>
  <c r="D26" i="35"/>
  <c r="C26" i="35"/>
  <c r="S21" i="40"/>
  <c r="S24" i="40" s="1"/>
  <c r="S25" i="40" s="1"/>
  <c r="S26" i="40" s="1"/>
  <c r="T23" i="40" s="1"/>
  <c r="K18" i="23" l="1"/>
  <c r="K32" i="19" s="1"/>
  <c r="M14" i="23"/>
  <c r="L12" i="19"/>
  <c r="L14" i="19" s="1"/>
  <c r="L17" i="23"/>
  <c r="L22" i="23" s="1"/>
  <c r="Z31" i="33"/>
  <c r="AA25" i="33"/>
  <c r="U37" i="17"/>
  <c r="U21" i="19" s="1"/>
  <c r="T17" i="17"/>
  <c r="T9" i="19"/>
  <c r="T9" i="20" s="1"/>
  <c r="V25" i="11"/>
  <c r="V42" i="11" s="1"/>
  <c r="V29" i="11"/>
  <c r="V46" i="11" s="1"/>
  <c r="V32" i="11"/>
  <c r="V49" i="11" s="1"/>
  <c r="V36" i="11"/>
  <c r="V53" i="11" s="1"/>
  <c r="V11" i="17" s="1"/>
  <c r="V26" i="11"/>
  <c r="V43" i="11" s="1"/>
  <c r="V33" i="11"/>
  <c r="V50" i="11" s="1"/>
  <c r="V8" i="17" s="1"/>
  <c r="V37" i="11"/>
  <c r="V54" i="11" s="1"/>
  <c r="V12" i="17" s="1"/>
  <c r="V27" i="11"/>
  <c r="V44" i="11" s="1"/>
  <c r="V30" i="11"/>
  <c r="V47" i="11" s="1"/>
  <c r="V34" i="11"/>
  <c r="V51" i="11" s="1"/>
  <c r="V9" i="17" s="1"/>
  <c r="V28" i="11"/>
  <c r="V45" i="11" s="1"/>
  <c r="V31" i="11"/>
  <c r="V48" i="11" s="1"/>
  <c r="V35" i="11"/>
  <c r="V52" i="11" s="1"/>
  <c r="V10" i="17" s="1"/>
  <c r="V24" i="11"/>
  <c r="V41" i="11" s="1"/>
  <c r="W20" i="11"/>
  <c r="V18" i="10"/>
  <c r="Y24" i="33"/>
  <c r="X30" i="33"/>
  <c r="A29" i="37"/>
  <c r="B30" i="37"/>
  <c r="T16" i="17"/>
  <c r="T39" i="17" s="1"/>
  <c r="T19" i="19"/>
  <c r="V28" i="17"/>
  <c r="V37" i="17" s="1"/>
  <c r="V21" i="19" s="1"/>
  <c r="W35" i="10"/>
  <c r="W34" i="17" s="1"/>
  <c r="W34" i="10"/>
  <c r="W33" i="17" s="1"/>
  <c r="X9" i="10"/>
  <c r="W20" i="10"/>
  <c r="W22" i="10"/>
  <c r="W21" i="17" s="1"/>
  <c r="W25" i="10"/>
  <c r="W24" i="17" s="1"/>
  <c r="W27" i="10"/>
  <c r="W26" i="17" s="1"/>
  <c r="W29" i="10"/>
  <c r="W28" i="17" s="1"/>
  <c r="W31" i="10"/>
  <c r="W30" i="17" s="1"/>
  <c r="W28" i="10"/>
  <c r="W27" i="17" s="1"/>
  <c r="W30" i="10"/>
  <c r="W29" i="17" s="1"/>
  <c r="W21" i="10"/>
  <c r="W20" i="17" s="1"/>
  <c r="W24" i="10"/>
  <c r="W23" i="17" s="1"/>
  <c r="W36" i="10"/>
  <c r="W35" i="17" s="1"/>
  <c r="W33" i="10"/>
  <c r="W32" i="17" s="1"/>
  <c r="W32" i="10"/>
  <c r="W31" i="17" s="1"/>
  <c r="W23" i="10"/>
  <c r="W22" i="17" s="1"/>
  <c r="GV8" i="16"/>
  <c r="GW7" i="16"/>
  <c r="N8" i="37"/>
  <c r="Q8" i="37"/>
  <c r="R8" i="37" s="1"/>
  <c r="O9" i="37" s="1"/>
  <c r="Q9" i="37" s="1"/>
  <c r="R9" i="37" s="1"/>
  <c r="O10" i="37" s="1"/>
  <c r="Q10" i="37" s="1"/>
  <c r="R10" i="37" s="1"/>
  <c r="O11" i="37" s="1"/>
  <c r="S15" i="10"/>
  <c r="U40" i="11"/>
  <c r="U7" i="17" s="1"/>
  <c r="U13" i="17" s="1"/>
  <c r="U55" i="11"/>
  <c r="U14" i="10" s="1"/>
  <c r="U15" i="10" s="1"/>
  <c r="U16" i="10" s="1"/>
  <c r="U15" i="17" s="1"/>
  <c r="V13" i="10"/>
  <c r="W7" i="10"/>
  <c r="I27" i="35"/>
  <c r="A28" i="35"/>
  <c r="N27" i="35"/>
  <c r="B27" i="35"/>
  <c r="H27" i="35"/>
  <c r="M27" i="35"/>
  <c r="E27" i="35"/>
  <c r="D27" i="35"/>
  <c r="C27" i="35"/>
  <c r="T21" i="40"/>
  <c r="T24" i="40" s="1"/>
  <c r="T25" i="40" s="1"/>
  <c r="T26" i="40" s="1"/>
  <c r="U23" i="40" s="1"/>
  <c r="L18" i="23" l="1"/>
  <c r="L32" i="19" s="1"/>
  <c r="N14" i="23"/>
  <c r="M12" i="19"/>
  <c r="M14" i="19" s="1"/>
  <c r="M17" i="23"/>
  <c r="M22" i="23" s="1"/>
  <c r="AB25" i="33"/>
  <c r="AA31" i="33"/>
  <c r="U19" i="19"/>
  <c r="Q11" i="37"/>
  <c r="R11" i="37" s="1"/>
  <c r="O12" i="37" s="1"/>
  <c r="W13" i="10"/>
  <c r="X7" i="10"/>
  <c r="W37" i="17"/>
  <c r="W21" i="19" s="1"/>
  <c r="Z24" i="33"/>
  <c r="Y30" i="33"/>
  <c r="U17" i="17"/>
  <c r="U9" i="19"/>
  <c r="U9" i="20" s="1"/>
  <c r="U16" i="17"/>
  <c r="U39" i="17" s="1"/>
  <c r="V40" i="11"/>
  <c r="V7" i="17" s="1"/>
  <c r="V13" i="17" s="1"/>
  <c r="V55" i="11"/>
  <c r="S16" i="10"/>
  <c r="S15" i="17" s="1"/>
  <c r="W18" i="10"/>
  <c r="B31" i="37"/>
  <c r="A30" i="37"/>
  <c r="GX7" i="16"/>
  <c r="GW8" i="16"/>
  <c r="X34" i="10"/>
  <c r="X33" i="17" s="1"/>
  <c r="X35" i="10"/>
  <c r="X34" i="17" s="1"/>
  <c r="X20" i="10"/>
  <c r="Y9" i="10"/>
  <c r="X21" i="10"/>
  <c r="X20" i="17" s="1"/>
  <c r="X24" i="10"/>
  <c r="X23" i="17" s="1"/>
  <c r="X36" i="10"/>
  <c r="X35" i="17" s="1"/>
  <c r="X28" i="10"/>
  <c r="X27" i="17" s="1"/>
  <c r="X27" i="10"/>
  <c r="X26" i="17" s="1"/>
  <c r="X30" i="10"/>
  <c r="X29" i="17" s="1"/>
  <c r="X29" i="10"/>
  <c r="X28" i="17" s="1"/>
  <c r="X22" i="10"/>
  <c r="X21" i="17" s="1"/>
  <c r="X25" i="10"/>
  <c r="X24" i="17" s="1"/>
  <c r="X31" i="10"/>
  <c r="X30" i="17" s="1"/>
  <c r="X33" i="10"/>
  <c r="X32" i="17" s="1"/>
  <c r="X32" i="10"/>
  <c r="X31" i="17" s="1"/>
  <c r="X23" i="10"/>
  <c r="X22" i="17" s="1"/>
  <c r="W26" i="11"/>
  <c r="W43" i="11" s="1"/>
  <c r="W30" i="11"/>
  <c r="W47" i="11" s="1"/>
  <c r="W34" i="11"/>
  <c r="W51" i="11" s="1"/>
  <c r="W9" i="17" s="1"/>
  <c r="W27" i="11"/>
  <c r="W44" i="11" s="1"/>
  <c r="W31" i="11"/>
  <c r="W48" i="11" s="1"/>
  <c r="W35" i="11"/>
  <c r="W52" i="11" s="1"/>
  <c r="W10" i="17" s="1"/>
  <c r="W24" i="11"/>
  <c r="W41" i="11" s="1"/>
  <c r="W28" i="11"/>
  <c r="W45" i="11" s="1"/>
  <c r="W32" i="11"/>
  <c r="W49" i="11" s="1"/>
  <c r="W36" i="11"/>
  <c r="W53" i="11" s="1"/>
  <c r="W11" i="17" s="1"/>
  <c r="W29" i="11"/>
  <c r="W46" i="11" s="1"/>
  <c r="W33" i="11"/>
  <c r="W50" i="11" s="1"/>
  <c r="W8" i="17" s="1"/>
  <c r="W37" i="11"/>
  <c r="W54" i="11" s="1"/>
  <c r="W12" i="17" s="1"/>
  <c r="W25" i="11"/>
  <c r="W42" i="11" s="1"/>
  <c r="X20" i="11"/>
  <c r="I28" i="35"/>
  <c r="B28" i="35"/>
  <c r="N28" i="35"/>
  <c r="E28" i="35"/>
  <c r="H28" i="35"/>
  <c r="A29" i="35"/>
  <c r="M28" i="35"/>
  <c r="D28" i="35"/>
  <c r="C28" i="35"/>
  <c r="U21" i="40"/>
  <c r="U24" i="40" s="1"/>
  <c r="U25" i="40" s="1"/>
  <c r="M18" i="23" l="1"/>
  <c r="M32" i="19" s="1"/>
  <c r="O14" i="23"/>
  <c r="N17" i="23"/>
  <c r="N22" i="23" s="1"/>
  <c r="N12" i="19"/>
  <c r="N14" i="19" s="1"/>
  <c r="AC25" i="33"/>
  <c r="AC31" i="33" s="1"/>
  <c r="AB31" i="33"/>
  <c r="Q12" i="37"/>
  <c r="R12" i="37" s="1"/>
  <c r="O13" i="37" s="1"/>
  <c r="Q13" i="37" s="1"/>
  <c r="R13" i="37" s="1"/>
  <c r="O14" i="37" s="1"/>
  <c r="Q14" i="37" s="1"/>
  <c r="R14" i="37" s="1"/>
  <c r="O15" i="37" s="1"/>
  <c r="Q15" i="37" s="1"/>
  <c r="R15" i="37" s="1"/>
  <c r="O16" i="37" s="1"/>
  <c r="Q16" i="37" s="1"/>
  <c r="R16" i="37" s="1"/>
  <c r="O17" i="37" s="1"/>
  <c r="Q17" i="37" s="1"/>
  <c r="R17" i="37" s="1"/>
  <c r="O18" i="37" s="1"/>
  <c r="Q18" i="37" s="1"/>
  <c r="R18" i="37" s="1"/>
  <c r="O19" i="37" s="1"/>
  <c r="X13" i="10"/>
  <c r="Y7" i="10"/>
  <c r="X18" i="10"/>
  <c r="GY7" i="16"/>
  <c r="GX8" i="16"/>
  <c r="V14" i="10"/>
  <c r="X37" i="17"/>
  <c r="X21" i="19" s="1"/>
  <c r="B32" i="37"/>
  <c r="A31" i="37"/>
  <c r="S19" i="19"/>
  <c r="S16" i="17"/>
  <c r="S39" i="17" s="1"/>
  <c r="AA24" i="33"/>
  <c r="Z30" i="33"/>
  <c r="X24" i="11"/>
  <c r="X41" i="11" s="1"/>
  <c r="X28" i="11"/>
  <c r="X45" i="11" s="1"/>
  <c r="X32" i="11"/>
  <c r="X49" i="11" s="1"/>
  <c r="X36" i="11"/>
  <c r="X53" i="11" s="1"/>
  <c r="X11" i="17" s="1"/>
  <c r="X25" i="11"/>
  <c r="X42" i="11" s="1"/>
  <c r="X29" i="11"/>
  <c r="X46" i="11" s="1"/>
  <c r="X33" i="11"/>
  <c r="X50" i="11" s="1"/>
  <c r="X8" i="17" s="1"/>
  <c r="X37" i="11"/>
  <c r="X54" i="11" s="1"/>
  <c r="X12" i="17" s="1"/>
  <c r="X26" i="11"/>
  <c r="X43" i="11" s="1"/>
  <c r="X30" i="11"/>
  <c r="X47" i="11" s="1"/>
  <c r="X34" i="11"/>
  <c r="X51" i="11" s="1"/>
  <c r="X9" i="17" s="1"/>
  <c r="X31" i="11"/>
  <c r="X48" i="11" s="1"/>
  <c r="X35" i="11"/>
  <c r="X52" i="11" s="1"/>
  <c r="X10" i="17" s="1"/>
  <c r="X27" i="11"/>
  <c r="X44" i="11" s="1"/>
  <c r="Y20" i="11"/>
  <c r="W40" i="11"/>
  <c r="W7" i="17" s="1"/>
  <c r="W13" i="17" s="1"/>
  <c r="W55" i="11"/>
  <c r="W14" i="10" s="1"/>
  <c r="W15" i="10" s="1"/>
  <c r="W16" i="10" s="1"/>
  <c r="W15" i="17" s="1"/>
  <c r="W19" i="19" s="1"/>
  <c r="Y34" i="10"/>
  <c r="Y33" i="17" s="1"/>
  <c r="Y35" i="10"/>
  <c r="Y34" i="17" s="1"/>
  <c r="Z9" i="10"/>
  <c r="Y20" i="10"/>
  <c r="Y22" i="10"/>
  <c r="Y21" i="17" s="1"/>
  <c r="Y25" i="10"/>
  <c r="Y24" i="17" s="1"/>
  <c r="Y30" i="10"/>
  <c r="Y29" i="17" s="1"/>
  <c r="Y29" i="10"/>
  <c r="Y28" i="17" s="1"/>
  <c r="Y31" i="10"/>
  <c r="Y30" i="17" s="1"/>
  <c r="Y28" i="10"/>
  <c r="Y27" i="17" s="1"/>
  <c r="Y27" i="10"/>
  <c r="Y26" i="17" s="1"/>
  <c r="Y21" i="10"/>
  <c r="Y20" i="17" s="1"/>
  <c r="Y24" i="10"/>
  <c r="Y23" i="17" s="1"/>
  <c r="Y36" i="10"/>
  <c r="Y35" i="17" s="1"/>
  <c r="Y33" i="10"/>
  <c r="Y32" i="17" s="1"/>
  <c r="Y32" i="10"/>
  <c r="Y31" i="17" s="1"/>
  <c r="Y23" i="10"/>
  <c r="Y22" i="17" s="1"/>
  <c r="V17" i="17"/>
  <c r="V9" i="19"/>
  <c r="V9" i="20" s="1"/>
  <c r="I29" i="35"/>
  <c r="N29" i="35"/>
  <c r="B29" i="35"/>
  <c r="M29" i="35"/>
  <c r="E29" i="35"/>
  <c r="H29" i="35"/>
  <c r="D29" i="35"/>
  <c r="C29" i="35"/>
  <c r="V21" i="40"/>
  <c r="U26" i="40"/>
  <c r="V23" i="40" s="1"/>
  <c r="N18" i="23" l="1"/>
  <c r="N32" i="19" s="1"/>
  <c r="O17" i="23"/>
  <c r="O22" i="23" s="1"/>
  <c r="O12" i="19"/>
  <c r="P14" i="23"/>
  <c r="W9" i="19"/>
  <c r="W9" i="20" s="1"/>
  <c r="W17" i="17"/>
  <c r="W16" i="17"/>
  <c r="W39" i="17" s="1"/>
  <c r="V15" i="10"/>
  <c r="Y13" i="10"/>
  <c r="Z7" i="10"/>
  <c r="X40" i="11"/>
  <c r="X7" i="17" s="1"/>
  <c r="X13" i="17" s="1"/>
  <c r="X55" i="11"/>
  <c r="X14" i="10" s="1"/>
  <c r="X15" i="10" s="1"/>
  <c r="Y37" i="17"/>
  <c r="Y21" i="19" s="1"/>
  <c r="Y26" i="11"/>
  <c r="Y43" i="11" s="1"/>
  <c r="Y30" i="11"/>
  <c r="Y47" i="11" s="1"/>
  <c r="Y34" i="11"/>
  <c r="Y51" i="11" s="1"/>
  <c r="Y9" i="17" s="1"/>
  <c r="Y27" i="11"/>
  <c r="Y44" i="11" s="1"/>
  <c r="Y31" i="11"/>
  <c r="Y48" i="11" s="1"/>
  <c r="Y35" i="11"/>
  <c r="Y52" i="11" s="1"/>
  <c r="Y10" i="17" s="1"/>
  <c r="Y24" i="11"/>
  <c r="Y41" i="11" s="1"/>
  <c r="Y28" i="11"/>
  <c r="Y45" i="11" s="1"/>
  <c r="Y32" i="11"/>
  <c r="Y49" i="11" s="1"/>
  <c r="Y36" i="11"/>
  <c r="Y53" i="11" s="1"/>
  <c r="Y11" i="17" s="1"/>
  <c r="Y33" i="11"/>
  <c r="Y50" i="11" s="1"/>
  <c r="Y8" i="17" s="1"/>
  <c r="Y37" i="11"/>
  <c r="Y54" i="11" s="1"/>
  <c r="Y12" i="17" s="1"/>
  <c r="Y25" i="11"/>
  <c r="Y42" i="11" s="1"/>
  <c r="Y29" i="11"/>
  <c r="Y46" i="11" s="1"/>
  <c r="Z20" i="11"/>
  <c r="AB24" i="33"/>
  <c r="AA30" i="33"/>
  <c r="A32" i="37"/>
  <c r="B33" i="37"/>
  <c r="Z34" i="10"/>
  <c r="Z35" i="10"/>
  <c r="Z20" i="10"/>
  <c r="AA9" i="10"/>
  <c r="Z21" i="10"/>
  <c r="Z24" i="10"/>
  <c r="Z36" i="10"/>
  <c r="Z31" i="10"/>
  <c r="Z28" i="10"/>
  <c r="Z27" i="10"/>
  <c r="Z30" i="10"/>
  <c r="Z29" i="10"/>
  <c r="Z22" i="10"/>
  <c r="Z25" i="10"/>
  <c r="Z33" i="10"/>
  <c r="Z32" i="10"/>
  <c r="Z23" i="10"/>
  <c r="Y18" i="10"/>
  <c r="GZ7" i="16"/>
  <c r="GY8" i="16"/>
  <c r="V24" i="40"/>
  <c r="V25" i="40" s="1"/>
  <c r="V26" i="40" s="1"/>
  <c r="W23" i="40" s="1"/>
  <c r="Q19" i="37"/>
  <c r="R19" i="37" s="1"/>
  <c r="O20" i="37" s="1"/>
  <c r="O18" i="23" l="1"/>
  <c r="O32" i="19" s="1"/>
  <c r="P17" i="23"/>
  <c r="P22" i="23" s="1"/>
  <c r="Q14" i="23"/>
  <c r="P12" i="19"/>
  <c r="Z32" i="17"/>
  <c r="F33" i="32"/>
  <c r="Z18" i="10"/>
  <c r="O38" i="10" s="1"/>
  <c r="F20" i="32"/>
  <c r="Z34" i="17"/>
  <c r="F35" i="32"/>
  <c r="Z29" i="17"/>
  <c r="F30" i="32"/>
  <c r="B34" i="37"/>
  <c r="A33" i="37"/>
  <c r="Y55" i="11"/>
  <c r="Y14" i="10" s="1"/>
  <c r="Y15" i="10" s="1"/>
  <c r="Z24" i="17"/>
  <c r="F25" i="32"/>
  <c r="Z26" i="17"/>
  <c r="F27" i="32"/>
  <c r="Z23" i="17"/>
  <c r="F24" i="32"/>
  <c r="Y40" i="11"/>
  <c r="Y7" i="17" s="1"/>
  <c r="Y13" i="17" s="1"/>
  <c r="X9" i="19"/>
  <c r="X9" i="20" s="1"/>
  <c r="X17" i="17"/>
  <c r="V16" i="10"/>
  <c r="V15" i="17" s="1"/>
  <c r="Z22" i="17"/>
  <c r="F23" i="32"/>
  <c r="Z21" i="17"/>
  <c r="F22" i="32"/>
  <c r="Z27" i="17"/>
  <c r="F28" i="32"/>
  <c r="Z20" i="17"/>
  <c r="F21" i="32"/>
  <c r="C9" i="43" s="1"/>
  <c r="Z33" i="17"/>
  <c r="F34" i="32"/>
  <c r="Z13" i="10"/>
  <c r="AA7" i="10"/>
  <c r="HA7" i="16"/>
  <c r="GZ8" i="16"/>
  <c r="Z35" i="17"/>
  <c r="F36" i="32"/>
  <c r="Z24" i="11"/>
  <c r="Z41" i="11" s="1"/>
  <c r="Z28" i="11"/>
  <c r="Z45" i="11" s="1"/>
  <c r="Z32" i="11"/>
  <c r="Z49" i="11" s="1"/>
  <c r="Z36" i="11"/>
  <c r="Z53" i="11" s="1"/>
  <c r="Z11" i="17" s="1"/>
  <c r="Z25" i="11"/>
  <c r="Z42" i="11" s="1"/>
  <c r="Z29" i="11"/>
  <c r="Z46" i="11" s="1"/>
  <c r="Z33" i="11"/>
  <c r="Z50" i="11" s="1"/>
  <c r="Z8" i="17" s="1"/>
  <c r="Z37" i="11"/>
  <c r="Z54" i="11" s="1"/>
  <c r="Z12" i="17" s="1"/>
  <c r="Z26" i="11"/>
  <c r="Z43" i="11" s="1"/>
  <c r="Z30" i="11"/>
  <c r="Z47" i="11" s="1"/>
  <c r="Z34" i="11"/>
  <c r="Z51" i="11" s="1"/>
  <c r="Z9" i="17" s="1"/>
  <c r="Z35" i="11"/>
  <c r="Z52" i="11" s="1"/>
  <c r="Z10" i="17" s="1"/>
  <c r="Z27" i="11"/>
  <c r="Z44" i="11" s="1"/>
  <c r="Z31" i="11"/>
  <c r="Z48" i="11" s="1"/>
  <c r="AA20" i="11"/>
  <c r="Z31" i="17"/>
  <c r="F32" i="32"/>
  <c r="Z28" i="17"/>
  <c r="F29" i="32"/>
  <c r="Z30" i="17"/>
  <c r="F31" i="32"/>
  <c r="AA35" i="10"/>
  <c r="AA34" i="10"/>
  <c r="AB9" i="10"/>
  <c r="AA20" i="10"/>
  <c r="AA28" i="10"/>
  <c r="AA27" i="10"/>
  <c r="AA30" i="10"/>
  <c r="AA21" i="10"/>
  <c r="AA22" i="10"/>
  <c r="AA25" i="10"/>
  <c r="AA24" i="10"/>
  <c r="AA29" i="10"/>
  <c r="AA31" i="10"/>
  <c r="AA36" i="10"/>
  <c r="AA33" i="10"/>
  <c r="AA32" i="10"/>
  <c r="AA23" i="10"/>
  <c r="X16" i="10"/>
  <c r="X15" i="17" s="1"/>
  <c r="X19" i="19" s="1"/>
  <c r="AC24" i="33"/>
  <c r="AC30" i="33" s="1"/>
  <c r="AB30" i="33"/>
  <c r="W21" i="40"/>
  <c r="W24" i="40" s="1"/>
  <c r="W25" i="40" s="1"/>
  <c r="W26" i="40" s="1"/>
  <c r="X23" i="40" s="1"/>
  <c r="P18" i="23" l="1"/>
  <c r="P32" i="19" s="1"/>
  <c r="F38" i="32"/>
  <c r="D13" i="30"/>
  <c r="C8" i="43"/>
  <c r="D26" i="30"/>
  <c r="C21" i="43"/>
  <c r="D21" i="30"/>
  <c r="C16" i="43"/>
  <c r="Y16" i="10"/>
  <c r="Y15" i="17" s="1"/>
  <c r="Y19" i="19" s="1"/>
  <c r="D28" i="30"/>
  <c r="C23" i="43"/>
  <c r="D24" i="30"/>
  <c r="C19" i="43"/>
  <c r="D15" i="30"/>
  <c r="C10" i="43"/>
  <c r="D17" i="30"/>
  <c r="C12" i="43"/>
  <c r="D22" i="30"/>
  <c r="C17" i="43"/>
  <c r="D23" i="30"/>
  <c r="C18" i="43"/>
  <c r="D27" i="30"/>
  <c r="C22" i="43"/>
  <c r="D16" i="30"/>
  <c r="C11" i="43"/>
  <c r="D20" i="30"/>
  <c r="C15" i="43"/>
  <c r="D25" i="30"/>
  <c r="C20" i="43"/>
  <c r="D29" i="30"/>
  <c r="C24" i="43"/>
  <c r="D18" i="30"/>
  <c r="C13" i="43"/>
  <c r="R14" i="23"/>
  <c r="Q12" i="19"/>
  <c r="Q17" i="23"/>
  <c r="Q22" i="23" s="1"/>
  <c r="Z40" i="11"/>
  <c r="Z7" i="17" s="1"/>
  <c r="Z13" i="17" s="1"/>
  <c r="AA29" i="17"/>
  <c r="Z37" i="17"/>
  <c r="Z21" i="19" s="1"/>
  <c r="AA24" i="17"/>
  <c r="AA33" i="17"/>
  <c r="AA13" i="10"/>
  <c r="AB7" i="10"/>
  <c r="D14" i="30"/>
  <c r="AA23" i="17"/>
  <c r="Z55" i="11"/>
  <c r="HB7" i="16"/>
  <c r="HA8" i="16"/>
  <c r="Y9" i="19"/>
  <c r="Y9" i="20" s="1"/>
  <c r="Y17" i="17"/>
  <c r="AA35" i="17"/>
  <c r="AA26" i="17"/>
  <c r="AA22" i="17"/>
  <c r="AA30" i="17"/>
  <c r="AA21" i="17"/>
  <c r="AA27" i="17"/>
  <c r="AA34" i="17"/>
  <c r="E19" i="38"/>
  <c r="AA27" i="11"/>
  <c r="AA28" i="11"/>
  <c r="AA32" i="11"/>
  <c r="AA36" i="11"/>
  <c r="AA26" i="11"/>
  <c r="AA30" i="11"/>
  <c r="AA34" i="11"/>
  <c r="AA31" i="11"/>
  <c r="AA37" i="11"/>
  <c r="AA25" i="11"/>
  <c r="AA24" i="11"/>
  <c r="AA29" i="11"/>
  <c r="AA33" i="11"/>
  <c r="AA35" i="11"/>
  <c r="AB20" i="11"/>
  <c r="F13" i="32"/>
  <c r="C2" i="43" s="1"/>
  <c r="V16" i="17"/>
  <c r="V39" i="17" s="1"/>
  <c r="V19" i="19"/>
  <c r="AA32" i="17"/>
  <c r="AB35" i="10"/>
  <c r="AB34" i="17" s="1"/>
  <c r="AB34" i="10"/>
  <c r="AB33" i="17" s="1"/>
  <c r="AB20" i="10"/>
  <c r="AC9" i="10"/>
  <c r="AB29" i="10"/>
  <c r="AB28" i="17" s="1"/>
  <c r="AB31" i="10"/>
  <c r="AB30" i="17" s="1"/>
  <c r="AB21" i="10"/>
  <c r="AB20" i="17" s="1"/>
  <c r="AB24" i="10"/>
  <c r="AB23" i="17" s="1"/>
  <c r="AB36" i="10"/>
  <c r="AB35" i="17" s="1"/>
  <c r="AB25" i="10"/>
  <c r="AB24" i="17" s="1"/>
  <c r="AB28" i="10"/>
  <c r="AB27" i="17" s="1"/>
  <c r="AB27" i="10"/>
  <c r="AB26" i="17" s="1"/>
  <c r="AB30" i="10"/>
  <c r="AB29" i="17" s="1"/>
  <c r="AB22" i="10"/>
  <c r="AB21" i="17" s="1"/>
  <c r="AB33" i="10"/>
  <c r="AB32" i="17" s="1"/>
  <c r="AB32" i="10"/>
  <c r="AB31" i="17" s="1"/>
  <c r="AB23" i="10"/>
  <c r="AB22" i="17" s="1"/>
  <c r="AA31" i="17"/>
  <c r="AA28" i="17"/>
  <c r="AA20" i="17"/>
  <c r="AA18" i="10"/>
  <c r="X16" i="17"/>
  <c r="X39" i="17" s="1"/>
  <c r="A34" i="37"/>
  <c r="B35" i="37"/>
  <c r="X21" i="40"/>
  <c r="X24" i="40" s="1"/>
  <c r="X25" i="40" s="1"/>
  <c r="X26" i="40" s="1"/>
  <c r="Y23" i="40" s="1"/>
  <c r="Y16" i="17" l="1"/>
  <c r="Y39" i="17" s="1"/>
  <c r="D31" i="30"/>
  <c r="Q18" i="23"/>
  <c r="Q32" i="19" s="1"/>
  <c r="C26" i="43"/>
  <c r="R17" i="23"/>
  <c r="R22" i="23" s="1"/>
  <c r="R12" i="19"/>
  <c r="S14" i="23"/>
  <c r="E24" i="38"/>
  <c r="E42" i="38" s="1"/>
  <c r="AA42" i="11"/>
  <c r="E32" i="38"/>
  <c r="E50" i="38" s="1"/>
  <c r="AA50" i="11"/>
  <c r="AA8" i="17" s="1"/>
  <c r="E36" i="38"/>
  <c r="E54" i="38" s="1"/>
  <c r="AA54" i="11"/>
  <c r="AA12" i="17" s="1"/>
  <c r="E25" i="38"/>
  <c r="E43" i="38" s="1"/>
  <c r="AA43" i="11"/>
  <c r="E26" i="38"/>
  <c r="E44" i="38" s="1"/>
  <c r="AA44" i="11"/>
  <c r="AB18" i="10"/>
  <c r="E34" i="38"/>
  <c r="E52" i="38" s="1"/>
  <c r="AA52" i="11"/>
  <c r="AA10" i="17" s="1"/>
  <c r="E29" i="38"/>
  <c r="E47" i="38" s="1"/>
  <c r="AA47" i="11"/>
  <c r="B36" i="37"/>
  <c r="A35" i="37"/>
  <c r="AB37" i="17"/>
  <c r="AB21" i="19" s="1"/>
  <c r="Z9" i="19"/>
  <c r="Z9" i="20" s="1"/>
  <c r="Z17" i="17"/>
  <c r="E28" i="38"/>
  <c r="E46" i="38" s="1"/>
  <c r="AA46" i="11"/>
  <c r="E30" i="38"/>
  <c r="E48" i="38" s="1"/>
  <c r="AA48" i="11"/>
  <c r="E35" i="38"/>
  <c r="E53" i="38" s="1"/>
  <c r="AA53" i="11"/>
  <c r="AA11" i="17" s="1"/>
  <c r="HC7" i="16"/>
  <c r="HB8" i="16"/>
  <c r="D7" i="30"/>
  <c r="E27" i="38"/>
  <c r="E45" i="38" s="1"/>
  <c r="AA45" i="11"/>
  <c r="AB13" i="10"/>
  <c r="AC7" i="10"/>
  <c r="AC34" i="10"/>
  <c r="AC33" i="17" s="1"/>
  <c r="AC35" i="10"/>
  <c r="AC34" i="17" s="1"/>
  <c r="AD9" i="10"/>
  <c r="AC20" i="10"/>
  <c r="AC28" i="10"/>
  <c r="AC27" i="17" s="1"/>
  <c r="AC27" i="10"/>
  <c r="AC30" i="10"/>
  <c r="AC36" i="10"/>
  <c r="AC35" i="17" s="1"/>
  <c r="AC22" i="10"/>
  <c r="AC25" i="10"/>
  <c r="AC24" i="17" s="1"/>
  <c r="AC24" i="10"/>
  <c r="AC23" i="17" s="1"/>
  <c r="AC29" i="10"/>
  <c r="AC31" i="10"/>
  <c r="AC30" i="17" s="1"/>
  <c r="AC21" i="10"/>
  <c r="AC20" i="17" s="1"/>
  <c r="AC33" i="10"/>
  <c r="AC32" i="17" s="1"/>
  <c r="AC32" i="10"/>
  <c r="AC31" i="17" s="1"/>
  <c r="AC23" i="10"/>
  <c r="AB24" i="11"/>
  <c r="AB41" i="11" s="1"/>
  <c r="AB28" i="11"/>
  <c r="AB45" i="11" s="1"/>
  <c r="AB32" i="11"/>
  <c r="AB49" i="11" s="1"/>
  <c r="AB36" i="11"/>
  <c r="AB53" i="11" s="1"/>
  <c r="AB11" i="17" s="1"/>
  <c r="AB25" i="11"/>
  <c r="AB42" i="11" s="1"/>
  <c r="AB29" i="11"/>
  <c r="AB46" i="11" s="1"/>
  <c r="AB33" i="11"/>
  <c r="AB50" i="11" s="1"/>
  <c r="AB8" i="17" s="1"/>
  <c r="AB37" i="11"/>
  <c r="AB54" i="11" s="1"/>
  <c r="AB12" i="17" s="1"/>
  <c r="AB31" i="11"/>
  <c r="AB48" i="11" s="1"/>
  <c r="AB26" i="11"/>
  <c r="AB43" i="11" s="1"/>
  <c r="AB34" i="11"/>
  <c r="AB51" i="11" s="1"/>
  <c r="AB9" i="17" s="1"/>
  <c r="AB27" i="11"/>
  <c r="AB44" i="11" s="1"/>
  <c r="AB35" i="11"/>
  <c r="AB52" i="11" s="1"/>
  <c r="AB10" i="17" s="1"/>
  <c r="AB30" i="11"/>
  <c r="AB47" i="11" s="1"/>
  <c r="AC20" i="11"/>
  <c r="E23" i="38"/>
  <c r="E41" i="38" s="1"/>
  <c r="AA41" i="11"/>
  <c r="E33" i="38"/>
  <c r="E51" i="38" s="1"/>
  <c r="AA51" i="11"/>
  <c r="AA9" i="17" s="1"/>
  <c r="E31" i="38"/>
  <c r="E49" i="38" s="1"/>
  <c r="AA49" i="11"/>
  <c r="AA37" i="17"/>
  <c r="AA21" i="19" s="1"/>
  <c r="Z14" i="10"/>
  <c r="O56" i="11"/>
  <c r="Y21" i="40"/>
  <c r="Y24" i="40" s="1"/>
  <c r="Y25" i="40" s="1"/>
  <c r="Y26" i="40" s="1"/>
  <c r="Z23" i="40" s="1"/>
  <c r="R18" i="23" l="1"/>
  <c r="R32" i="19" s="1"/>
  <c r="S12" i="19"/>
  <c r="T14" i="23"/>
  <c r="S17" i="23"/>
  <c r="S22" i="23" s="1"/>
  <c r="AA40" i="11"/>
  <c r="AA7" i="17" s="1"/>
  <c r="AA13" i="17" s="1"/>
  <c r="AA55" i="11"/>
  <c r="AB40" i="11"/>
  <c r="AB7" i="17" s="1"/>
  <c r="AB13" i="17" s="1"/>
  <c r="AB55" i="11"/>
  <c r="AB14" i="10" s="1"/>
  <c r="AB15" i="10" s="1"/>
  <c r="AC29" i="17"/>
  <c r="AC13" i="10"/>
  <c r="AD7" i="10"/>
  <c r="E55" i="38"/>
  <c r="AC26" i="17"/>
  <c r="F6" i="32"/>
  <c r="F7" i="32" s="1"/>
  <c r="AD34" i="10"/>
  <c r="AD33" i="17" s="1"/>
  <c r="AD35" i="10"/>
  <c r="AE9" i="10"/>
  <c r="AD20" i="10"/>
  <c r="AD22" i="10"/>
  <c r="AD21" i="17" s="1"/>
  <c r="AD25" i="10"/>
  <c r="AD24" i="17" s="1"/>
  <c r="AD29" i="10"/>
  <c r="AD28" i="17" s="1"/>
  <c r="AD31" i="10"/>
  <c r="AD30" i="17" s="1"/>
  <c r="AD36" i="10"/>
  <c r="AD35" i="17" s="1"/>
  <c r="AD27" i="10"/>
  <c r="AD26" i="17" s="1"/>
  <c r="AD21" i="10"/>
  <c r="AD24" i="10"/>
  <c r="AD23" i="17" s="1"/>
  <c r="AD28" i="10"/>
  <c r="AD27" i="17" s="1"/>
  <c r="AD30" i="10"/>
  <c r="AD29" i="17" s="1"/>
  <c r="AD33" i="10"/>
  <c r="AD32" i="17" s="1"/>
  <c r="AD32" i="10"/>
  <c r="AD31" i="17" s="1"/>
  <c r="AD23" i="10"/>
  <c r="AD22" i="17" s="1"/>
  <c r="HD7" i="16"/>
  <c r="HC8" i="16"/>
  <c r="Z15" i="10"/>
  <c r="F15" i="32" s="1"/>
  <c r="F14" i="32"/>
  <c r="C3" i="43" s="1"/>
  <c r="AC26" i="11"/>
  <c r="AC43" i="11" s="1"/>
  <c r="AC30" i="11"/>
  <c r="AC47" i="11" s="1"/>
  <c r="AC34" i="11"/>
  <c r="AC51" i="11" s="1"/>
  <c r="AC9" i="17" s="1"/>
  <c r="AC27" i="11"/>
  <c r="AC44" i="11" s="1"/>
  <c r="AC31" i="11"/>
  <c r="AC48" i="11" s="1"/>
  <c r="AC35" i="11"/>
  <c r="AC52" i="11" s="1"/>
  <c r="AC10" i="17" s="1"/>
  <c r="AC25" i="11"/>
  <c r="AC42" i="11" s="1"/>
  <c r="AC33" i="11"/>
  <c r="AC50" i="11" s="1"/>
  <c r="AC8" i="17" s="1"/>
  <c r="AC28" i="11"/>
  <c r="AC45" i="11" s="1"/>
  <c r="AC36" i="11"/>
  <c r="AC53" i="11" s="1"/>
  <c r="AC11" i="17" s="1"/>
  <c r="AC29" i="11"/>
  <c r="AC46" i="11" s="1"/>
  <c r="AC37" i="11"/>
  <c r="AC54" i="11" s="1"/>
  <c r="AC12" i="17" s="1"/>
  <c r="AC24" i="11"/>
  <c r="AC41" i="11" s="1"/>
  <c r="AC32" i="11"/>
  <c r="AC49" i="11" s="1"/>
  <c r="AD20" i="11"/>
  <c r="AC22" i="17"/>
  <c r="AC21" i="17"/>
  <c r="AC28" i="17"/>
  <c r="AC18" i="10"/>
  <c r="A36" i="37"/>
  <c r="B37" i="37"/>
  <c r="Z21" i="40"/>
  <c r="Z24" i="40" s="1"/>
  <c r="Z25" i="40" s="1"/>
  <c r="Z26" i="40" s="1"/>
  <c r="AA23" i="40" s="1"/>
  <c r="S18" i="23" l="1"/>
  <c r="S32" i="19" s="1"/>
  <c r="D9" i="30"/>
  <c r="C4" i="43"/>
  <c r="T17" i="23"/>
  <c r="T22" i="23" s="1"/>
  <c r="U14" i="23"/>
  <c r="T12" i="19"/>
  <c r="AD18" i="10"/>
  <c r="AB16" i="10"/>
  <c r="AB15" i="17" s="1"/>
  <c r="AB19" i="19" s="1"/>
  <c r="AD20" i="17"/>
  <c r="AE35" i="10"/>
  <c r="AE34" i="17" s="1"/>
  <c r="AE34" i="10"/>
  <c r="AF9" i="10"/>
  <c r="AE20" i="10"/>
  <c r="AE29" i="10"/>
  <c r="AE31" i="10"/>
  <c r="AE30" i="17" s="1"/>
  <c r="AE36" i="10"/>
  <c r="AE35" i="17" s="1"/>
  <c r="AE25" i="10"/>
  <c r="AE21" i="10"/>
  <c r="AE20" i="17" s="1"/>
  <c r="AE24" i="10"/>
  <c r="AE23" i="17" s="1"/>
  <c r="AE22" i="10"/>
  <c r="AE28" i="10"/>
  <c r="AE27" i="10"/>
  <c r="AE26" i="17" s="1"/>
  <c r="AE30" i="10"/>
  <c r="AE29" i="17" s="1"/>
  <c r="AE33" i="10"/>
  <c r="AE32" i="17" s="1"/>
  <c r="AE32" i="10"/>
  <c r="AE31" i="17" s="1"/>
  <c r="AE23" i="10"/>
  <c r="D5" i="30"/>
  <c r="F9" i="32"/>
  <c r="D6" i="30" s="1"/>
  <c r="F17" i="32"/>
  <c r="AD13" i="10"/>
  <c r="AE7" i="10"/>
  <c r="AA9" i="19"/>
  <c r="AA9" i="20" s="1"/>
  <c r="AC40" i="11"/>
  <c r="AC7" i="17" s="1"/>
  <c r="AC13" i="17" s="1"/>
  <c r="AC55" i="11"/>
  <c r="AC14" i="10" s="1"/>
  <c r="AC15" i="10" s="1"/>
  <c r="AC16" i="10" s="1"/>
  <c r="AC15" i="17" s="1"/>
  <c r="AC37" i="17"/>
  <c r="AC21" i="19" s="1"/>
  <c r="Z16" i="10"/>
  <c r="Z15" i="17" s="1"/>
  <c r="HD8" i="16"/>
  <c r="HE7" i="16"/>
  <c r="AD34" i="17"/>
  <c r="AB9" i="19"/>
  <c r="B38" i="37"/>
  <c r="A37" i="37"/>
  <c r="AD24" i="11"/>
  <c r="AD41" i="11" s="1"/>
  <c r="AD28" i="11"/>
  <c r="AD45" i="11" s="1"/>
  <c r="AD32" i="11"/>
  <c r="AD49" i="11" s="1"/>
  <c r="AD36" i="11"/>
  <c r="AD53" i="11" s="1"/>
  <c r="AD11" i="17" s="1"/>
  <c r="AD25" i="11"/>
  <c r="AD42" i="11" s="1"/>
  <c r="AD29" i="11"/>
  <c r="AD46" i="11" s="1"/>
  <c r="AD33" i="11"/>
  <c r="AD50" i="11" s="1"/>
  <c r="AD8" i="17" s="1"/>
  <c r="AD37" i="11"/>
  <c r="AD54" i="11" s="1"/>
  <c r="AD12" i="17" s="1"/>
  <c r="AD27" i="11"/>
  <c r="AD44" i="11" s="1"/>
  <c r="AD35" i="11"/>
  <c r="AD52" i="11" s="1"/>
  <c r="AD10" i="17" s="1"/>
  <c r="AD30" i="11"/>
  <c r="AD47" i="11" s="1"/>
  <c r="AD31" i="11"/>
  <c r="AD48" i="11" s="1"/>
  <c r="AD26" i="11"/>
  <c r="AD43" i="11" s="1"/>
  <c r="AD34" i="11"/>
  <c r="AD51" i="11" s="1"/>
  <c r="AD9" i="17" s="1"/>
  <c r="AE20" i="11"/>
  <c r="D8" i="30"/>
  <c r="F16" i="32"/>
  <c r="C5" i="43" s="1"/>
  <c r="AA14" i="10"/>
  <c r="AA21" i="40"/>
  <c r="AA24" i="40" s="1"/>
  <c r="AA25" i="40" s="1"/>
  <c r="AA26" i="40" s="1"/>
  <c r="AB23" i="40" s="1"/>
  <c r="AB9" i="20" l="1"/>
  <c r="T18" i="23"/>
  <c r="T32" i="19" s="1"/>
  <c r="U17" i="23"/>
  <c r="U22" i="23" s="1"/>
  <c r="V14" i="23"/>
  <c r="U12" i="19"/>
  <c r="AD37" i="17"/>
  <c r="AD21" i="19" s="1"/>
  <c r="AB16" i="17"/>
  <c r="AB39" i="17" s="1"/>
  <c r="D10" i="30"/>
  <c r="D32" i="30" s="1"/>
  <c r="D34" i="30" s="1"/>
  <c r="D78" i="30" s="1"/>
  <c r="AE21" i="17"/>
  <c r="AD40" i="11"/>
  <c r="AD7" i="17" s="1"/>
  <c r="AD13" i="17" s="1"/>
  <c r="AD55" i="11"/>
  <c r="D45" i="30"/>
  <c r="D50" i="30"/>
  <c r="D59" i="30"/>
  <c r="D41" i="30"/>
  <c r="D46" i="30"/>
  <c r="D47" i="30"/>
  <c r="D52" i="30"/>
  <c r="D51" i="30"/>
  <c r="D53" i="30"/>
  <c r="D58" i="30"/>
  <c r="D40" i="30"/>
  <c r="D49" i="30"/>
  <c r="D54" i="30"/>
  <c r="D55" i="30"/>
  <c r="D60" i="30"/>
  <c r="D42" i="30"/>
  <c r="D56" i="30"/>
  <c r="E3" i="30"/>
  <c r="D44" i="30"/>
  <c r="D61" i="30"/>
  <c r="D43" i="30"/>
  <c r="D48" i="30"/>
  <c r="D57" i="30"/>
  <c r="D62" i="30"/>
  <c r="D75" i="30"/>
  <c r="D39" i="30"/>
  <c r="AE33" i="17"/>
  <c r="AA15" i="10"/>
  <c r="A38" i="37"/>
  <c r="B39" i="37"/>
  <c r="HF7" i="16"/>
  <c r="HE8" i="16"/>
  <c r="AE13" i="10"/>
  <c r="AF7" i="10"/>
  <c r="AF35" i="10"/>
  <c r="AF34" i="10"/>
  <c r="AF33" i="17" s="1"/>
  <c r="AF20" i="10"/>
  <c r="AG9" i="10"/>
  <c r="AF28" i="10"/>
  <c r="AF27" i="17" s="1"/>
  <c r="AF27" i="10"/>
  <c r="AF30" i="10"/>
  <c r="AF21" i="10"/>
  <c r="AF20" i="17" s="1"/>
  <c r="AF22" i="10"/>
  <c r="AF21" i="17" s="1"/>
  <c r="AF25" i="10"/>
  <c r="AF24" i="17" s="1"/>
  <c r="AF24" i="10"/>
  <c r="AF36" i="10"/>
  <c r="AF35" i="17" s="1"/>
  <c r="AF29" i="10"/>
  <c r="AF28" i="17" s="1"/>
  <c r="AF31" i="10"/>
  <c r="AF33" i="10"/>
  <c r="AF32" i="17" s="1"/>
  <c r="AF32" i="10"/>
  <c r="AF23" i="10"/>
  <c r="AF22" i="17" s="1"/>
  <c r="AC9" i="19"/>
  <c r="AC9" i="20" s="1"/>
  <c r="AC16" i="17"/>
  <c r="AC39" i="17" s="1"/>
  <c r="Z16" i="17"/>
  <c r="Z39" i="17" s="1"/>
  <c r="Z19" i="19"/>
  <c r="AC19" i="19"/>
  <c r="AE22" i="17"/>
  <c r="AE28" i="17"/>
  <c r="AE26" i="11"/>
  <c r="AE43" i="11" s="1"/>
  <c r="AE30" i="11"/>
  <c r="AE47" i="11" s="1"/>
  <c r="AE34" i="11"/>
  <c r="AE51" i="11" s="1"/>
  <c r="AE9" i="17" s="1"/>
  <c r="AE27" i="11"/>
  <c r="AE44" i="11" s="1"/>
  <c r="AE31" i="11"/>
  <c r="AE48" i="11" s="1"/>
  <c r="AE35" i="11"/>
  <c r="AE52" i="11" s="1"/>
  <c r="AE10" i="17" s="1"/>
  <c r="AE29" i="11"/>
  <c r="AE46" i="11" s="1"/>
  <c r="AE37" i="11"/>
  <c r="AE54" i="11" s="1"/>
  <c r="AE12" i="17" s="1"/>
  <c r="AE24" i="11"/>
  <c r="AE41" i="11" s="1"/>
  <c r="AE32" i="11"/>
  <c r="AE49" i="11" s="1"/>
  <c r="AE25" i="11"/>
  <c r="AE42" i="11" s="1"/>
  <c r="AE33" i="11"/>
  <c r="AE50" i="11" s="1"/>
  <c r="AE8" i="17" s="1"/>
  <c r="AE28" i="11"/>
  <c r="AE45" i="11" s="1"/>
  <c r="AE36" i="11"/>
  <c r="AE53" i="11" s="1"/>
  <c r="AE11" i="17" s="1"/>
  <c r="AF20" i="11"/>
  <c r="AE27" i="17"/>
  <c r="AE24" i="17"/>
  <c r="AE18" i="10"/>
  <c r="AB21" i="40"/>
  <c r="AB24" i="40" s="1"/>
  <c r="AB25" i="40" s="1"/>
  <c r="AB26" i="40" s="1"/>
  <c r="AC23" i="40" s="1"/>
  <c r="V17" i="23" l="1"/>
  <c r="V22" i="23" s="1"/>
  <c r="V12" i="19"/>
  <c r="W14" i="23"/>
  <c r="U18" i="23"/>
  <c r="U32" i="19" s="1"/>
  <c r="AB17" i="17"/>
  <c r="D36" i="30"/>
  <c r="D38" i="30" s="1"/>
  <c r="AG34" i="10"/>
  <c r="AG33" i="17" s="1"/>
  <c r="AG35" i="10"/>
  <c r="AG34" i="17" s="1"/>
  <c r="AH9" i="10"/>
  <c r="AG20" i="10"/>
  <c r="AG29" i="10"/>
  <c r="AG31" i="10"/>
  <c r="AG30" i="17" s="1"/>
  <c r="AG21" i="10"/>
  <c r="AG20" i="17" s="1"/>
  <c r="AG24" i="10"/>
  <c r="AG23" i="17" s="1"/>
  <c r="AG36" i="10"/>
  <c r="AG35" i="17" s="1"/>
  <c r="AG22" i="10"/>
  <c r="AG21" i="17" s="1"/>
  <c r="AG28" i="10"/>
  <c r="AG27" i="10"/>
  <c r="AG26" i="17" s="1"/>
  <c r="AG30" i="10"/>
  <c r="AG29" i="17" s="1"/>
  <c r="AG25" i="10"/>
  <c r="AG33" i="10"/>
  <c r="AG32" i="17" s="1"/>
  <c r="AG32" i="10"/>
  <c r="AG31" i="17" s="1"/>
  <c r="AG23" i="10"/>
  <c r="AG22" i="17" s="1"/>
  <c r="AF13" i="10"/>
  <c r="AG7" i="10"/>
  <c r="B40" i="37"/>
  <c r="A39" i="37"/>
  <c r="AF24" i="11"/>
  <c r="AF41" i="11" s="1"/>
  <c r="AF28" i="11"/>
  <c r="AF45" i="11" s="1"/>
  <c r="AF32" i="11"/>
  <c r="AF49" i="11" s="1"/>
  <c r="AF36" i="11"/>
  <c r="AF53" i="11" s="1"/>
  <c r="AF11" i="17" s="1"/>
  <c r="AF25" i="11"/>
  <c r="AF42" i="11" s="1"/>
  <c r="AF29" i="11"/>
  <c r="AF46" i="11" s="1"/>
  <c r="AF33" i="11"/>
  <c r="AF50" i="11" s="1"/>
  <c r="AF8" i="17" s="1"/>
  <c r="AF37" i="11"/>
  <c r="AF54" i="11" s="1"/>
  <c r="AF12" i="17" s="1"/>
  <c r="AF31" i="11"/>
  <c r="AF48" i="11" s="1"/>
  <c r="AF26" i="11"/>
  <c r="AF43" i="11" s="1"/>
  <c r="AF34" i="11"/>
  <c r="AF51" i="11" s="1"/>
  <c r="AF9" i="17" s="1"/>
  <c r="AF27" i="11"/>
  <c r="AF44" i="11" s="1"/>
  <c r="AF35" i="11"/>
  <c r="AF52" i="11" s="1"/>
  <c r="AF10" i="17" s="1"/>
  <c r="AF30" i="11"/>
  <c r="AF47" i="11" s="1"/>
  <c r="AG20" i="11"/>
  <c r="AF23" i="17"/>
  <c r="AF29" i="17"/>
  <c r="AF18" i="10"/>
  <c r="L23" i="37"/>
  <c r="M23" i="37" s="1"/>
  <c r="P23" i="37" s="1"/>
  <c r="N23" i="37" s="1"/>
  <c r="L28" i="37"/>
  <c r="M28" i="37" s="1"/>
  <c r="P28" i="37" s="1"/>
  <c r="N28" i="37" s="1"/>
  <c r="L24" i="37"/>
  <c r="M24" i="37" s="1"/>
  <c r="P24" i="37" s="1"/>
  <c r="N24" i="37" s="1"/>
  <c r="L25" i="37"/>
  <c r="M25" i="37" s="1"/>
  <c r="P25" i="37" s="1"/>
  <c r="N25" i="37" s="1"/>
  <c r="L21" i="37"/>
  <c r="M21" i="37" s="1"/>
  <c r="P21" i="37" s="1"/>
  <c r="N21" i="37" s="1"/>
  <c r="L30" i="37"/>
  <c r="M30" i="37" s="1"/>
  <c r="P30" i="37" s="1"/>
  <c r="N30" i="37" s="1"/>
  <c r="L27" i="37"/>
  <c r="M27" i="37" s="1"/>
  <c r="P27" i="37" s="1"/>
  <c r="N27" i="37" s="1"/>
  <c r="L22" i="37"/>
  <c r="M22" i="37" s="1"/>
  <c r="P22" i="37" s="1"/>
  <c r="N22" i="37" s="1"/>
  <c r="L20" i="37"/>
  <c r="M20" i="37" s="1"/>
  <c r="L29" i="37"/>
  <c r="M29" i="37" s="1"/>
  <c r="P29" i="37" s="1"/>
  <c r="N29" i="37" s="1"/>
  <c r="L31" i="37"/>
  <c r="M31" i="37" s="1"/>
  <c r="P31" i="37" s="1"/>
  <c r="N31" i="37" s="1"/>
  <c r="L26" i="37"/>
  <c r="M26" i="37" s="1"/>
  <c r="P26" i="37" s="1"/>
  <c r="N26" i="37" s="1"/>
  <c r="AF30" i="17"/>
  <c r="AF26" i="17"/>
  <c r="AD9" i="19"/>
  <c r="AD9" i="20" s="1"/>
  <c r="AD14" i="10"/>
  <c r="AF31" i="17"/>
  <c r="AE40" i="11"/>
  <c r="AE7" i="17" s="1"/>
  <c r="AE13" i="17" s="1"/>
  <c r="AE55" i="11"/>
  <c r="AE14" i="10" s="1"/>
  <c r="AE15" i="10" s="1"/>
  <c r="AE16" i="10" s="1"/>
  <c r="AE15" i="17" s="1"/>
  <c r="AE37" i="17"/>
  <c r="AE21" i="19" s="1"/>
  <c r="AC17" i="17"/>
  <c r="AF34" i="17"/>
  <c r="HG7" i="16"/>
  <c r="HF8" i="16"/>
  <c r="AA16" i="10"/>
  <c r="AA15" i="17" s="1"/>
  <c r="AC21" i="40"/>
  <c r="AC24" i="40" s="1"/>
  <c r="V18" i="23" l="1"/>
  <c r="V32" i="19" s="1"/>
  <c r="X14" i="23"/>
  <c r="W17" i="23"/>
  <c r="W22" i="23" s="1"/>
  <c r="W12" i="19"/>
  <c r="AF37" i="17"/>
  <c r="AF21" i="19" s="1"/>
  <c r="AE19" i="19"/>
  <c r="E6" i="33"/>
  <c r="F6" i="33" s="1"/>
  <c r="AE9" i="19"/>
  <c r="AE9" i="20" s="1"/>
  <c r="AE16" i="17"/>
  <c r="AE39" i="17" s="1"/>
  <c r="AG28" i="17"/>
  <c r="AD15" i="10"/>
  <c r="AG26" i="11"/>
  <c r="AG43" i="11" s="1"/>
  <c r="AG30" i="11"/>
  <c r="AG47" i="11" s="1"/>
  <c r="AG34" i="11"/>
  <c r="AG51" i="11" s="1"/>
  <c r="AG9" i="17" s="1"/>
  <c r="AG27" i="11"/>
  <c r="AG44" i="11" s="1"/>
  <c r="AG31" i="11"/>
  <c r="AG48" i="11" s="1"/>
  <c r="AG35" i="11"/>
  <c r="AG52" i="11" s="1"/>
  <c r="AG10" i="17" s="1"/>
  <c r="AG25" i="11"/>
  <c r="AG42" i="11" s="1"/>
  <c r="AG33" i="11"/>
  <c r="AG50" i="11" s="1"/>
  <c r="AG8" i="17" s="1"/>
  <c r="AG28" i="11"/>
  <c r="AG45" i="11" s="1"/>
  <c r="AG36" i="11"/>
  <c r="AG53" i="11" s="1"/>
  <c r="AG11" i="17" s="1"/>
  <c r="AG29" i="11"/>
  <c r="AG46" i="11" s="1"/>
  <c r="AG37" i="11"/>
  <c r="AG54" i="11" s="1"/>
  <c r="AG12" i="17" s="1"/>
  <c r="AG32" i="11"/>
  <c r="AG49" i="11" s="1"/>
  <c r="AG24" i="11"/>
  <c r="AG41" i="11" s="1"/>
  <c r="AH20" i="11"/>
  <c r="A40" i="37"/>
  <c r="B41" i="37"/>
  <c r="AG18" i="10"/>
  <c r="HH7" i="16"/>
  <c r="HG8" i="16"/>
  <c r="AG13" i="10"/>
  <c r="AH7" i="10"/>
  <c r="AG27" i="17"/>
  <c r="AH34" i="10"/>
  <c r="AH33" i="17" s="1"/>
  <c r="AH35" i="10"/>
  <c r="AH20" i="10"/>
  <c r="AI9" i="10"/>
  <c r="AH21" i="10"/>
  <c r="AH20" i="17" s="1"/>
  <c r="AH24" i="10"/>
  <c r="AH23" i="17" s="1"/>
  <c r="AH29" i="10"/>
  <c r="AH28" i="17" s="1"/>
  <c r="AH28" i="10"/>
  <c r="AH27" i="17" s="1"/>
  <c r="AH27" i="10"/>
  <c r="AH30" i="10"/>
  <c r="AH29" i="17" s="1"/>
  <c r="AH36" i="10"/>
  <c r="AH35" i="17" s="1"/>
  <c r="AH22" i="10"/>
  <c r="AH25" i="10"/>
  <c r="AH24" i="17" s="1"/>
  <c r="AH31" i="10"/>
  <c r="AH30" i="17" s="1"/>
  <c r="AH33" i="10"/>
  <c r="AH32" i="17" s="1"/>
  <c r="AH32" i="10"/>
  <c r="AH31" i="17" s="1"/>
  <c r="AH23" i="10"/>
  <c r="AH22" i="17" s="1"/>
  <c r="AA19" i="19"/>
  <c r="AA16" i="17"/>
  <c r="P20" i="37"/>
  <c r="N20" i="37" s="1"/>
  <c r="N308" i="37" s="1"/>
  <c r="AF40" i="11"/>
  <c r="AF7" i="17" s="1"/>
  <c r="AF13" i="17" s="1"/>
  <c r="AF55" i="11"/>
  <c r="AG24" i="17"/>
  <c r="AC25" i="40"/>
  <c r="AC26" i="40" s="1"/>
  <c r="AG37" i="17" l="1"/>
  <c r="AG21" i="19" s="1"/>
  <c r="W18" i="23"/>
  <c r="W32" i="19" s="1"/>
  <c r="X17" i="23"/>
  <c r="X22" i="23" s="1"/>
  <c r="Y14" i="23"/>
  <c r="X12" i="19"/>
  <c r="AF9" i="19"/>
  <c r="AF9" i="20" s="1"/>
  <c r="AH24" i="11"/>
  <c r="AH41" i="11" s="1"/>
  <c r="AH28" i="11"/>
  <c r="AH45" i="11" s="1"/>
  <c r="AH32" i="11"/>
  <c r="AH49" i="11" s="1"/>
  <c r="AH36" i="11"/>
  <c r="AH53" i="11" s="1"/>
  <c r="AH11" i="17" s="1"/>
  <c r="AH25" i="11"/>
  <c r="AH42" i="11" s="1"/>
  <c r="AH29" i="11"/>
  <c r="AH46" i="11" s="1"/>
  <c r="AH33" i="11"/>
  <c r="AH50" i="11" s="1"/>
  <c r="AH8" i="17" s="1"/>
  <c r="AH37" i="11"/>
  <c r="AH54" i="11" s="1"/>
  <c r="AH12" i="17" s="1"/>
  <c r="AH27" i="11"/>
  <c r="AH44" i="11" s="1"/>
  <c r="AH35" i="11"/>
  <c r="AH52" i="11" s="1"/>
  <c r="AH10" i="17" s="1"/>
  <c r="AH30" i="11"/>
  <c r="AH47" i="11" s="1"/>
  <c r="AH31" i="11"/>
  <c r="AH48" i="11" s="1"/>
  <c r="AH26" i="11"/>
  <c r="AH43" i="11" s="1"/>
  <c r="AH34" i="11"/>
  <c r="AH51" i="11" s="1"/>
  <c r="AH9" i="17" s="1"/>
  <c r="AI20" i="11"/>
  <c r="P308" i="37"/>
  <c r="Q20" i="37"/>
  <c r="R20" i="37" s="1"/>
  <c r="O21" i="37" s="1"/>
  <c r="Q21" i="37" s="1"/>
  <c r="R21" i="37" s="1"/>
  <c r="O22" i="37" s="1"/>
  <c r="Q22" i="37" s="1"/>
  <c r="R22" i="37" s="1"/>
  <c r="O23" i="37" s="1"/>
  <c r="Q23" i="37" s="1"/>
  <c r="R23" i="37" s="1"/>
  <c r="O24" i="37" s="1"/>
  <c r="Q24" i="37" s="1"/>
  <c r="R24" i="37" s="1"/>
  <c r="O25" i="37" s="1"/>
  <c r="Q25" i="37" s="1"/>
  <c r="R25" i="37" s="1"/>
  <c r="O26" i="37" s="1"/>
  <c r="Q26" i="37" s="1"/>
  <c r="R26" i="37" s="1"/>
  <c r="O27" i="37" s="1"/>
  <c r="Q27" i="37" s="1"/>
  <c r="R27" i="37" s="1"/>
  <c r="O28" i="37" s="1"/>
  <c r="Q28" i="37" s="1"/>
  <c r="R28" i="37" s="1"/>
  <c r="O29" i="37" s="1"/>
  <c r="Q29" i="37" s="1"/>
  <c r="R29" i="37" s="1"/>
  <c r="O30" i="37" s="1"/>
  <c r="Q30" i="37" s="1"/>
  <c r="R30" i="37" s="1"/>
  <c r="O31" i="37" s="1"/>
  <c r="B42" i="37"/>
  <c r="A41" i="37"/>
  <c r="AG55" i="11"/>
  <c r="AG14" i="10" s="1"/>
  <c r="AG15" i="10" s="1"/>
  <c r="AG16" i="10" s="1"/>
  <c r="AG15" i="17" s="1"/>
  <c r="AG19" i="19" s="1"/>
  <c r="AG40" i="11"/>
  <c r="AG7" i="17" s="1"/>
  <c r="AG13" i="17" s="1"/>
  <c r="AH26" i="17"/>
  <c r="AF14" i="10"/>
  <c r="AH21" i="17"/>
  <c r="AI35" i="10"/>
  <c r="AI34" i="17" s="1"/>
  <c r="AI34" i="10"/>
  <c r="AI33" i="17" s="1"/>
  <c r="AJ9" i="10"/>
  <c r="AI20" i="10"/>
  <c r="AI21" i="10"/>
  <c r="AI20" i="17" s="1"/>
  <c r="AI24" i="10"/>
  <c r="AI23" i="17" s="1"/>
  <c r="AI27" i="10"/>
  <c r="AI26" i="17" s="1"/>
  <c r="AI30" i="10"/>
  <c r="AI29" i="17" s="1"/>
  <c r="AI25" i="10"/>
  <c r="AI24" i="17" s="1"/>
  <c r="AI28" i="10"/>
  <c r="AI27" i="17" s="1"/>
  <c r="AI22" i="10"/>
  <c r="AI21" i="17" s="1"/>
  <c r="AI29" i="10"/>
  <c r="AI28" i="17" s="1"/>
  <c r="AI31" i="10"/>
  <c r="AI30" i="17" s="1"/>
  <c r="AI36" i="10"/>
  <c r="AI35" i="17" s="1"/>
  <c r="AI33" i="10"/>
  <c r="AI32" i="17" s="1"/>
  <c r="AI32" i="10"/>
  <c r="AI31" i="17" s="1"/>
  <c r="AI23" i="10"/>
  <c r="AI22" i="17" s="1"/>
  <c r="AA39" i="17"/>
  <c r="AA17" i="17"/>
  <c r="AH18" i="10"/>
  <c r="HI7" i="16"/>
  <c r="HH8" i="16"/>
  <c r="AD16" i="10"/>
  <c r="AD15" i="17" s="1"/>
  <c r="AE17" i="17"/>
  <c r="AH34" i="17"/>
  <c r="AH13" i="10"/>
  <c r="AI7" i="10"/>
  <c r="X18" i="23" l="1"/>
  <c r="X32" i="19" s="1"/>
  <c r="Y12" i="19"/>
  <c r="Y17" i="23"/>
  <c r="Y22" i="23" s="1"/>
  <c r="Z14" i="23"/>
  <c r="AH37" i="17"/>
  <c r="AH21" i="19" s="1"/>
  <c r="Q31" i="37"/>
  <c r="R31" i="37" s="1"/>
  <c r="AI18" i="10"/>
  <c r="AJ35" i="10"/>
  <c r="AJ34" i="17" s="1"/>
  <c r="AJ34" i="10"/>
  <c r="AJ33" i="17" s="1"/>
  <c r="AJ20" i="10"/>
  <c r="AK9" i="10"/>
  <c r="AJ28" i="10"/>
  <c r="AJ27" i="17" s="1"/>
  <c r="AJ27" i="10"/>
  <c r="AJ26" i="17" s="1"/>
  <c r="AJ30" i="10"/>
  <c r="AJ29" i="17" s="1"/>
  <c r="AJ22" i="10"/>
  <c r="AJ21" i="17" s="1"/>
  <c r="AJ25" i="10"/>
  <c r="AJ24" i="17" s="1"/>
  <c r="AJ24" i="10"/>
  <c r="AJ23" i="17" s="1"/>
  <c r="AJ36" i="10"/>
  <c r="AJ35" i="17" s="1"/>
  <c r="AJ31" i="10"/>
  <c r="AJ30" i="17" s="1"/>
  <c r="AJ29" i="10"/>
  <c r="AJ28" i="17" s="1"/>
  <c r="AJ21" i="10"/>
  <c r="AJ20" i="17" s="1"/>
  <c r="AJ33" i="10"/>
  <c r="AJ32" i="17" s="1"/>
  <c r="AJ32" i="10"/>
  <c r="AJ31" i="17" s="1"/>
  <c r="AJ23" i="10"/>
  <c r="AJ22" i="17" s="1"/>
  <c r="AH40" i="11"/>
  <c r="AH7" i="17" s="1"/>
  <c r="AH13" i="17" s="1"/>
  <c r="AH55" i="11"/>
  <c r="AG9" i="19"/>
  <c r="AG9" i="20" s="1"/>
  <c r="AG16" i="17"/>
  <c r="AG39" i="17" s="1"/>
  <c r="AD16" i="17"/>
  <c r="AD19" i="19"/>
  <c r="AI13" i="10"/>
  <c r="AJ7" i="10"/>
  <c r="HJ7" i="16"/>
  <c r="HI8" i="16"/>
  <c r="AI37" i="17"/>
  <c r="AI21" i="19" s="1"/>
  <c r="AF15" i="10"/>
  <c r="A42" i="37"/>
  <c r="B43" i="37"/>
  <c r="AI26" i="11"/>
  <c r="AI43" i="11" s="1"/>
  <c r="AI30" i="11"/>
  <c r="AI47" i="11" s="1"/>
  <c r="AI34" i="11"/>
  <c r="AI51" i="11" s="1"/>
  <c r="AI9" i="17" s="1"/>
  <c r="AI27" i="11"/>
  <c r="AI44" i="11" s="1"/>
  <c r="AI31" i="11"/>
  <c r="AI48" i="11" s="1"/>
  <c r="AI35" i="11"/>
  <c r="AI52" i="11" s="1"/>
  <c r="AI10" i="17" s="1"/>
  <c r="AI29" i="11"/>
  <c r="AI46" i="11" s="1"/>
  <c r="AI37" i="11"/>
  <c r="AI54" i="11" s="1"/>
  <c r="AI12" i="17" s="1"/>
  <c r="AI24" i="11"/>
  <c r="AI41" i="11" s="1"/>
  <c r="AI32" i="11"/>
  <c r="AI49" i="11" s="1"/>
  <c r="AI25" i="11"/>
  <c r="AI42" i="11" s="1"/>
  <c r="AI33" i="11"/>
  <c r="AI50" i="11" s="1"/>
  <c r="AI8" i="17" s="1"/>
  <c r="AI36" i="11"/>
  <c r="AI53" i="11" s="1"/>
  <c r="AI11" i="17" s="1"/>
  <c r="AI28" i="11"/>
  <c r="AI45" i="11" s="1"/>
  <c r="AJ20" i="11"/>
  <c r="AA14" i="23" l="1"/>
  <c r="Z17" i="23"/>
  <c r="Z22" i="23" s="1"/>
  <c r="Z12" i="19"/>
  <c r="Y18" i="23"/>
  <c r="Y32" i="19" s="1"/>
  <c r="AJ37" i="17"/>
  <c r="AJ21" i="19" s="1"/>
  <c r="AH9" i="19"/>
  <c r="AH9" i="20" s="1"/>
  <c r="HK7" i="16"/>
  <c r="HJ8" i="16"/>
  <c r="AK34" i="10"/>
  <c r="AK33" i="17" s="1"/>
  <c r="AK35" i="10"/>
  <c r="AK34" i="17" s="1"/>
  <c r="AL9" i="10"/>
  <c r="AK20" i="10"/>
  <c r="AK29" i="10"/>
  <c r="AK28" i="17" s="1"/>
  <c r="AK31" i="10"/>
  <c r="AK30" i="17" s="1"/>
  <c r="AK21" i="10"/>
  <c r="AK20" i="17" s="1"/>
  <c r="AK24" i="10"/>
  <c r="AK23" i="17" s="1"/>
  <c r="AK36" i="10"/>
  <c r="AK35" i="17" s="1"/>
  <c r="AK28" i="10"/>
  <c r="AK27" i="17" s="1"/>
  <c r="AK27" i="10"/>
  <c r="AK26" i="17" s="1"/>
  <c r="AK30" i="10"/>
  <c r="AK29" i="17" s="1"/>
  <c r="AK22" i="10"/>
  <c r="AK21" i="17" s="1"/>
  <c r="AK25" i="10"/>
  <c r="AK24" i="17" s="1"/>
  <c r="AK33" i="10"/>
  <c r="AK32" i="17" s="1"/>
  <c r="AK32" i="10"/>
  <c r="AK31" i="17" s="1"/>
  <c r="AK23" i="10"/>
  <c r="AK22" i="17" s="1"/>
  <c r="AJ24" i="11"/>
  <c r="AJ41" i="11" s="1"/>
  <c r="AJ28" i="11"/>
  <c r="AJ45" i="11" s="1"/>
  <c r="AJ32" i="11"/>
  <c r="AJ49" i="11" s="1"/>
  <c r="AJ36" i="11"/>
  <c r="AJ53" i="11" s="1"/>
  <c r="AJ11" i="17" s="1"/>
  <c r="AJ25" i="11"/>
  <c r="AJ42" i="11" s="1"/>
  <c r="AJ29" i="11"/>
  <c r="AJ46" i="11" s="1"/>
  <c r="AJ33" i="11"/>
  <c r="AJ50" i="11" s="1"/>
  <c r="AJ8" i="17" s="1"/>
  <c r="AJ37" i="11"/>
  <c r="AJ54" i="11" s="1"/>
  <c r="AJ12" i="17" s="1"/>
  <c r="AJ31" i="11"/>
  <c r="AJ48" i="11" s="1"/>
  <c r="AJ26" i="11"/>
  <c r="AJ43" i="11" s="1"/>
  <c r="AJ34" i="11"/>
  <c r="AJ51" i="11" s="1"/>
  <c r="AJ9" i="17" s="1"/>
  <c r="AJ27" i="11"/>
  <c r="AJ44" i="11" s="1"/>
  <c r="AJ35" i="11"/>
  <c r="AJ52" i="11" s="1"/>
  <c r="AJ10" i="17" s="1"/>
  <c r="AJ30" i="11"/>
  <c r="AJ47" i="11" s="1"/>
  <c r="AK20" i="11"/>
  <c r="AI40" i="11"/>
  <c r="AI7" i="17" s="1"/>
  <c r="AI13" i="17" s="1"/>
  <c r="AI55" i="11"/>
  <c r="AI14" i="10" s="1"/>
  <c r="AI15" i="10" s="1"/>
  <c r="AF16" i="10"/>
  <c r="AF15" i="17" s="1"/>
  <c r="AJ13" i="10"/>
  <c r="AK7" i="10"/>
  <c r="AD39" i="17"/>
  <c r="AD17" i="17"/>
  <c r="AH14" i="10"/>
  <c r="AJ18" i="10"/>
  <c r="B44" i="37"/>
  <c r="A43" i="37"/>
  <c r="AG17" i="17"/>
  <c r="Z18" i="23" l="1"/>
  <c r="Z32" i="19" s="1"/>
  <c r="AB14" i="23"/>
  <c r="AA17" i="23"/>
  <c r="AA22" i="23" s="1"/>
  <c r="AA12" i="19"/>
  <c r="AI16" i="10"/>
  <c r="AI15" i="17" s="1"/>
  <c r="AI19" i="19" s="1"/>
  <c r="AF19" i="19"/>
  <c r="AF16" i="17"/>
  <c r="AL34" i="10"/>
  <c r="AL35" i="10"/>
  <c r="AM9" i="10"/>
  <c r="AL21" i="10"/>
  <c r="AL24" i="10"/>
  <c r="AL28" i="10"/>
  <c r="AL27" i="10"/>
  <c r="AL30" i="10"/>
  <c r="AL22" i="10"/>
  <c r="AL25" i="10"/>
  <c r="AL29" i="10"/>
  <c r="AL31" i="10"/>
  <c r="AL36" i="10"/>
  <c r="AL20" i="10"/>
  <c r="AL33" i="10"/>
  <c r="AL32" i="10"/>
  <c r="AL23" i="10"/>
  <c r="HL7" i="16"/>
  <c r="HK8" i="16"/>
  <c r="A44" i="37"/>
  <c r="B45" i="37"/>
  <c r="AK26" i="11"/>
  <c r="AK43" i="11" s="1"/>
  <c r="AK30" i="11"/>
  <c r="AK47" i="11" s="1"/>
  <c r="AK34" i="11"/>
  <c r="AK51" i="11" s="1"/>
  <c r="AK9" i="17" s="1"/>
  <c r="AK27" i="11"/>
  <c r="AK44" i="11" s="1"/>
  <c r="AK31" i="11"/>
  <c r="AK48" i="11" s="1"/>
  <c r="AK35" i="11"/>
  <c r="AK52" i="11" s="1"/>
  <c r="AK10" i="17" s="1"/>
  <c r="AK25" i="11"/>
  <c r="AK42" i="11" s="1"/>
  <c r="AK33" i="11"/>
  <c r="AK50" i="11" s="1"/>
  <c r="AK8" i="17" s="1"/>
  <c r="AK28" i="11"/>
  <c r="AK45" i="11" s="1"/>
  <c r="AK36" i="11"/>
  <c r="AK53" i="11" s="1"/>
  <c r="AK11" i="17" s="1"/>
  <c r="AK29" i="11"/>
  <c r="AK46" i="11" s="1"/>
  <c r="AK37" i="11"/>
  <c r="AK54" i="11" s="1"/>
  <c r="AK12" i="17" s="1"/>
  <c r="AK24" i="11"/>
  <c r="AK41" i="11" s="1"/>
  <c r="AK32" i="11"/>
  <c r="AK49" i="11" s="1"/>
  <c r="AL20" i="11"/>
  <c r="AK18" i="10"/>
  <c r="AK13" i="10"/>
  <c r="AL7" i="10"/>
  <c r="AJ40" i="11"/>
  <c r="AJ7" i="17" s="1"/>
  <c r="AJ13" i="17" s="1"/>
  <c r="AJ55" i="11"/>
  <c r="AH15" i="10"/>
  <c r="AI9" i="19"/>
  <c r="AI9" i="20" s="1"/>
  <c r="AK37" i="17"/>
  <c r="AK21" i="19" s="1"/>
  <c r="AA18" i="23" l="1"/>
  <c r="AA32" i="19" s="1"/>
  <c r="AB17" i="23"/>
  <c r="AB22" i="23" s="1"/>
  <c r="AC14" i="23"/>
  <c r="AB12" i="19"/>
  <c r="AI16" i="17"/>
  <c r="AI39" i="17" s="1"/>
  <c r="AJ9" i="19"/>
  <c r="AJ9" i="20" s="1"/>
  <c r="AL28" i="17"/>
  <c r="G29" i="32"/>
  <c r="AM34" i="10"/>
  <c r="AM35" i="10"/>
  <c r="AM34" i="17" s="1"/>
  <c r="AN9" i="10"/>
  <c r="AM20" i="10"/>
  <c r="AM22" i="10"/>
  <c r="AM25" i="10"/>
  <c r="AM29" i="10"/>
  <c r="AM31" i="10"/>
  <c r="AM21" i="10"/>
  <c r="AM24" i="10"/>
  <c r="AM36" i="10"/>
  <c r="AM30" i="10"/>
  <c r="AM27" i="10"/>
  <c r="AM28" i="10"/>
  <c r="AM33" i="10"/>
  <c r="AM32" i="10"/>
  <c r="AM23" i="10"/>
  <c r="AK40" i="11"/>
  <c r="AK7" i="17" s="1"/>
  <c r="AK13" i="17" s="1"/>
  <c r="AK55" i="11"/>
  <c r="AK14" i="10" s="1"/>
  <c r="AK15" i="10" s="1"/>
  <c r="AK16" i="10" s="1"/>
  <c r="AK15" i="17" s="1"/>
  <c r="AK19" i="19" s="1"/>
  <c r="HL8" i="16"/>
  <c r="HM7" i="16"/>
  <c r="AL18" i="10"/>
  <c r="AA38" i="10" s="1"/>
  <c r="G20" i="32"/>
  <c r="AL24" i="17"/>
  <c r="G25" i="32"/>
  <c r="AL27" i="17"/>
  <c r="G28" i="32"/>
  <c r="AL34" i="17"/>
  <c r="G35" i="32"/>
  <c r="AL26" i="17"/>
  <c r="G27" i="32"/>
  <c r="AJ14" i="10"/>
  <c r="B46" i="37"/>
  <c r="A45" i="37"/>
  <c r="AL22" i="17"/>
  <c r="G23" i="32"/>
  <c r="AL35" i="17"/>
  <c r="G36" i="32"/>
  <c r="AL21" i="17"/>
  <c r="G22" i="32"/>
  <c r="AL23" i="17"/>
  <c r="G24" i="32"/>
  <c r="AL33" i="17"/>
  <c r="G34" i="32"/>
  <c r="AL32" i="17"/>
  <c r="G33" i="32"/>
  <c r="AH16" i="10"/>
  <c r="AH15" i="17" s="1"/>
  <c r="AL13" i="10"/>
  <c r="G13" i="32" s="1"/>
  <c r="D2" i="43" s="1"/>
  <c r="AM7" i="10"/>
  <c r="AL24" i="11"/>
  <c r="AL41" i="11" s="1"/>
  <c r="AL28" i="11"/>
  <c r="AL45" i="11" s="1"/>
  <c r="AL32" i="11"/>
  <c r="AL49" i="11" s="1"/>
  <c r="AL36" i="11"/>
  <c r="AL53" i="11" s="1"/>
  <c r="AL11" i="17" s="1"/>
  <c r="AL25" i="11"/>
  <c r="AL42" i="11" s="1"/>
  <c r="AL29" i="11"/>
  <c r="AL46" i="11" s="1"/>
  <c r="AL33" i="11"/>
  <c r="AL50" i="11" s="1"/>
  <c r="AL8" i="17" s="1"/>
  <c r="AL37" i="11"/>
  <c r="AL54" i="11" s="1"/>
  <c r="AL12" i="17" s="1"/>
  <c r="AL27" i="11"/>
  <c r="AL44" i="11" s="1"/>
  <c r="AL35" i="11"/>
  <c r="AL52" i="11" s="1"/>
  <c r="AL10" i="17" s="1"/>
  <c r="AL30" i="11"/>
  <c r="AL47" i="11" s="1"/>
  <c r="AL31" i="11"/>
  <c r="AL48" i="11" s="1"/>
  <c r="AL26" i="11"/>
  <c r="AL43" i="11" s="1"/>
  <c r="AL34" i="11"/>
  <c r="AL51" i="11" s="1"/>
  <c r="AL9" i="17" s="1"/>
  <c r="AM20" i="11"/>
  <c r="AL31" i="17"/>
  <c r="G32" i="32"/>
  <c r="AL30" i="17"/>
  <c r="G31" i="32"/>
  <c r="AL29" i="17"/>
  <c r="G30" i="32"/>
  <c r="AL20" i="17"/>
  <c r="G21" i="32"/>
  <c r="D9" i="43" s="1"/>
  <c r="AF39" i="17"/>
  <c r="AF17" i="17"/>
  <c r="AB18" i="23" l="1"/>
  <c r="AB32" i="19" s="1"/>
  <c r="G38" i="32"/>
  <c r="E22" i="30"/>
  <c r="D17" i="43"/>
  <c r="E29" i="30"/>
  <c r="D24" i="43"/>
  <c r="E13" i="30"/>
  <c r="D8" i="43"/>
  <c r="E27" i="30"/>
  <c r="D22" i="43"/>
  <c r="E21" i="30"/>
  <c r="D16" i="43"/>
  <c r="E15" i="30"/>
  <c r="D10" i="43"/>
  <c r="E20" i="30"/>
  <c r="D15" i="43"/>
  <c r="E23" i="30"/>
  <c r="D18" i="43"/>
  <c r="E26" i="30"/>
  <c r="D21" i="43"/>
  <c r="E28" i="30"/>
  <c r="D23" i="43"/>
  <c r="E24" i="30"/>
  <c r="D19" i="43"/>
  <c r="E16" i="30"/>
  <c r="D11" i="43"/>
  <c r="E25" i="30"/>
  <c r="D20" i="43"/>
  <c r="E17" i="30"/>
  <c r="D12" i="43"/>
  <c r="E18" i="30"/>
  <c r="D13" i="43"/>
  <c r="AD14" i="23"/>
  <c r="AC17" i="23"/>
  <c r="AC22" i="23" s="1"/>
  <c r="AC12" i="19"/>
  <c r="AI17" i="17"/>
  <c r="AL55" i="11"/>
  <c r="AL40" i="11"/>
  <c r="AL7" i="17" s="1"/>
  <c r="AL13" i="17" s="1"/>
  <c r="AM22" i="17"/>
  <c r="AM26" i="17"/>
  <c r="AM21" i="17"/>
  <c r="E14" i="30"/>
  <c r="AK9" i="19"/>
  <c r="AK9" i="20" s="1"/>
  <c r="AK16" i="17"/>
  <c r="AK39" i="17" s="1"/>
  <c r="AM13" i="10"/>
  <c r="AN7" i="10"/>
  <c r="AL37" i="17"/>
  <c r="AL21" i="19" s="1"/>
  <c r="AJ15" i="10"/>
  <c r="AM31" i="17"/>
  <c r="AM29" i="17"/>
  <c r="AM30" i="17"/>
  <c r="AM18" i="10"/>
  <c r="AH19" i="19"/>
  <c r="AH16" i="17"/>
  <c r="HN7" i="16"/>
  <c r="HM8" i="16"/>
  <c r="AM33" i="17"/>
  <c r="E7" i="30"/>
  <c r="AM32" i="17"/>
  <c r="AM35" i="17"/>
  <c r="AM28" i="17"/>
  <c r="AN34" i="10"/>
  <c r="AN33" i="17" s="1"/>
  <c r="AN35" i="10"/>
  <c r="AN20" i="10"/>
  <c r="AO9" i="10"/>
  <c r="AN21" i="10"/>
  <c r="AN20" i="17" s="1"/>
  <c r="AN24" i="10"/>
  <c r="AN23" i="17" s="1"/>
  <c r="AN36" i="10"/>
  <c r="AN35" i="17" s="1"/>
  <c r="AN28" i="10"/>
  <c r="AN27" i="17" s="1"/>
  <c r="AN27" i="10"/>
  <c r="AN26" i="17" s="1"/>
  <c r="AN30" i="10"/>
  <c r="AN29" i="17" s="1"/>
  <c r="AN22" i="10"/>
  <c r="AN21" i="17" s="1"/>
  <c r="AN25" i="10"/>
  <c r="AN24" i="17" s="1"/>
  <c r="AN29" i="10"/>
  <c r="AN28" i="17" s="1"/>
  <c r="AN31" i="10"/>
  <c r="AN30" i="17" s="1"/>
  <c r="AN33" i="10"/>
  <c r="AN32" i="17" s="1"/>
  <c r="AN32" i="10"/>
  <c r="AN31" i="17" s="1"/>
  <c r="AN23" i="10"/>
  <c r="AN22" i="17" s="1"/>
  <c r="AM20" i="17"/>
  <c r="AM31" i="11"/>
  <c r="AM33" i="11"/>
  <c r="AM35" i="11"/>
  <c r="AM24" i="11"/>
  <c r="AM27" i="11"/>
  <c r="AM29" i="11"/>
  <c r="AM32" i="11"/>
  <c r="AM36" i="11"/>
  <c r="AM30" i="11"/>
  <c r="AM37" i="11"/>
  <c r="AM25" i="11"/>
  <c r="F19" i="38"/>
  <c r="AM34" i="11"/>
  <c r="AM28" i="11"/>
  <c r="AM26" i="11"/>
  <c r="AN20" i="11"/>
  <c r="A46" i="37"/>
  <c r="B47" i="37"/>
  <c r="AM27" i="17"/>
  <c r="AM23" i="17"/>
  <c r="AM24" i="17"/>
  <c r="E31" i="30" l="1"/>
  <c r="E67" i="30" s="1"/>
  <c r="D9" i="34" s="1"/>
  <c r="D26" i="43"/>
  <c r="AC18" i="23"/>
  <c r="AC32" i="19" s="1"/>
  <c r="AD12" i="19"/>
  <c r="AE14" i="23"/>
  <c r="AD17" i="23"/>
  <c r="AD22" i="23" s="1"/>
  <c r="F35" i="38"/>
  <c r="F53" i="38" s="1"/>
  <c r="AM53" i="11"/>
  <c r="AM11" i="17" s="1"/>
  <c r="AH39" i="17"/>
  <c r="AH17" i="17"/>
  <c r="F25" i="38"/>
  <c r="F43" i="38" s="1"/>
  <c r="AM43" i="11"/>
  <c r="AN13" i="10"/>
  <c r="AO7" i="10"/>
  <c r="AM37" i="17"/>
  <c r="AM21" i="19" s="1"/>
  <c r="F23" i="38"/>
  <c r="F41" i="38" s="1"/>
  <c r="AM41" i="11"/>
  <c r="AN18" i="10"/>
  <c r="AL14" i="10"/>
  <c r="AA56" i="11"/>
  <c r="F24" i="38"/>
  <c r="F42" i="38" s="1"/>
  <c r="AM42" i="11"/>
  <c r="F31" i="38"/>
  <c r="F49" i="38" s="1"/>
  <c r="AM49" i="11"/>
  <c r="F34" i="38"/>
  <c r="F52" i="38" s="1"/>
  <c r="AM52" i="11"/>
  <c r="AM10" i="17" s="1"/>
  <c r="AN34" i="17"/>
  <c r="AN37" i="17" s="1"/>
  <c r="AN21" i="19" s="1"/>
  <c r="F27" i="38"/>
  <c r="F45" i="38" s="1"/>
  <c r="AM45" i="11"/>
  <c r="F36" i="38"/>
  <c r="F54" i="38" s="1"/>
  <c r="AM54" i="11"/>
  <c r="AM12" i="17" s="1"/>
  <c r="F28" i="38"/>
  <c r="F46" i="38" s="1"/>
  <c r="AM46" i="11"/>
  <c r="F32" i="38"/>
  <c r="F50" i="38" s="1"/>
  <c r="AM50" i="11"/>
  <c r="AM8" i="17" s="1"/>
  <c r="AN25" i="11"/>
  <c r="AN42" i="11" s="1"/>
  <c r="AN29" i="11"/>
  <c r="AN46" i="11" s="1"/>
  <c r="AN33" i="11"/>
  <c r="AN50" i="11" s="1"/>
  <c r="AN8" i="17" s="1"/>
  <c r="AN37" i="11"/>
  <c r="AN54" i="11" s="1"/>
  <c r="AN12" i="17" s="1"/>
  <c r="AN26" i="11"/>
  <c r="AN43" i="11" s="1"/>
  <c r="AN30" i="11"/>
  <c r="AN47" i="11" s="1"/>
  <c r="AN34" i="11"/>
  <c r="AN51" i="11" s="1"/>
  <c r="AN9" i="17" s="1"/>
  <c r="AN31" i="11"/>
  <c r="AN48" i="11" s="1"/>
  <c r="AN24" i="11"/>
  <c r="AN41" i="11" s="1"/>
  <c r="AN32" i="11"/>
  <c r="AN49" i="11" s="1"/>
  <c r="AN27" i="11"/>
  <c r="AN44" i="11" s="1"/>
  <c r="AN35" i="11"/>
  <c r="AN52" i="11" s="1"/>
  <c r="AN10" i="17" s="1"/>
  <c r="AN28" i="11"/>
  <c r="AN45" i="11" s="1"/>
  <c r="AN36" i="11"/>
  <c r="AN53" i="11" s="1"/>
  <c r="AN11" i="17" s="1"/>
  <c r="AO20" i="11"/>
  <c r="B48" i="37"/>
  <c r="A47" i="37"/>
  <c r="AL9" i="19"/>
  <c r="AL9" i="20" s="1"/>
  <c r="F33" i="38"/>
  <c r="F51" i="38" s="1"/>
  <c r="AM51" i="11"/>
  <c r="AM9" i="17" s="1"/>
  <c r="F29" i="38"/>
  <c r="F47" i="38" s="1"/>
  <c r="AM47" i="11"/>
  <c r="F26" i="38"/>
  <c r="F44" i="38" s="1"/>
  <c r="AM44" i="11"/>
  <c r="F30" i="38"/>
  <c r="F48" i="38" s="1"/>
  <c r="AM48" i="11"/>
  <c r="AO35" i="10"/>
  <c r="AO34" i="17" s="1"/>
  <c r="AO34" i="10"/>
  <c r="AP9" i="10"/>
  <c r="AO20" i="10"/>
  <c r="AO22" i="10"/>
  <c r="AO21" i="17" s="1"/>
  <c r="AO25" i="10"/>
  <c r="AO29" i="10"/>
  <c r="AO31" i="10"/>
  <c r="AO30" i="17" s="1"/>
  <c r="AO21" i="10"/>
  <c r="AO24" i="10"/>
  <c r="AO36" i="10"/>
  <c r="AO35" i="17" s="1"/>
  <c r="AO28" i="10"/>
  <c r="AO27" i="10"/>
  <c r="AO26" i="17" s="1"/>
  <c r="AO30" i="10"/>
  <c r="AO29" i="17" s="1"/>
  <c r="AO33" i="10"/>
  <c r="AO32" i="17" s="1"/>
  <c r="AO32" i="10"/>
  <c r="AO23" i="10"/>
  <c r="HO7" i="16"/>
  <c r="HN8" i="16"/>
  <c r="AJ16" i="10"/>
  <c r="AJ15" i="17" s="1"/>
  <c r="AK17" i="17"/>
  <c r="AE17" i="23" l="1"/>
  <c r="AE22" i="23" s="1"/>
  <c r="AE12" i="19"/>
  <c r="AF14" i="23"/>
  <c r="AD18" i="23"/>
  <c r="AD32" i="19" s="1"/>
  <c r="AP34" i="10"/>
  <c r="AP33" i="17" s="1"/>
  <c r="AP35" i="10"/>
  <c r="AP20" i="10"/>
  <c r="AQ9" i="10"/>
  <c r="AP21" i="10"/>
  <c r="AP20" i="17" s="1"/>
  <c r="AP24" i="10"/>
  <c r="AP23" i="17" s="1"/>
  <c r="AP36" i="10"/>
  <c r="AP35" i="17" s="1"/>
  <c r="AP28" i="10"/>
  <c r="AP27" i="17" s="1"/>
  <c r="AP27" i="10"/>
  <c r="AP30" i="10"/>
  <c r="AP22" i="10"/>
  <c r="AP21" i="17" s="1"/>
  <c r="AP25" i="10"/>
  <c r="AP24" i="17" s="1"/>
  <c r="AP29" i="10"/>
  <c r="AP28" i="17" s="1"/>
  <c r="AP31" i="10"/>
  <c r="AP33" i="10"/>
  <c r="AP32" i="17" s="1"/>
  <c r="AP32" i="10"/>
  <c r="AP31" i="17" s="1"/>
  <c r="AP23" i="10"/>
  <c r="AP22" i="17" s="1"/>
  <c r="AO24" i="17"/>
  <c r="AJ16" i="17"/>
  <c r="AJ19" i="19"/>
  <c r="HP7" i="16"/>
  <c r="HO8" i="16"/>
  <c r="AO28" i="17"/>
  <c r="AO27" i="11"/>
  <c r="AO44" i="11" s="1"/>
  <c r="AO31" i="11"/>
  <c r="AO48" i="11" s="1"/>
  <c r="AO35" i="11"/>
  <c r="AO52" i="11" s="1"/>
  <c r="AO10" i="17" s="1"/>
  <c r="AO24" i="11"/>
  <c r="AO41" i="11" s="1"/>
  <c r="AO28" i="11"/>
  <c r="AO45" i="11" s="1"/>
  <c r="AO32" i="11"/>
  <c r="AO49" i="11" s="1"/>
  <c r="AO36" i="11"/>
  <c r="AO53" i="11" s="1"/>
  <c r="AO11" i="17" s="1"/>
  <c r="AO25" i="11"/>
  <c r="AO42" i="11" s="1"/>
  <c r="AO33" i="11"/>
  <c r="AO50" i="11" s="1"/>
  <c r="AO8" i="17" s="1"/>
  <c r="AO26" i="11"/>
  <c r="AO43" i="11" s="1"/>
  <c r="AO34" i="11"/>
  <c r="AO51" i="11" s="1"/>
  <c r="AO9" i="17" s="1"/>
  <c r="AO29" i="11"/>
  <c r="AO46" i="11" s="1"/>
  <c r="AO37" i="11"/>
  <c r="AO54" i="11" s="1"/>
  <c r="AO12" i="17" s="1"/>
  <c r="AO30" i="11"/>
  <c r="AO47" i="11" s="1"/>
  <c r="AP20" i="11"/>
  <c r="AL15" i="10"/>
  <c r="G14" i="32"/>
  <c r="D3" i="43" s="1"/>
  <c r="AO23" i="17"/>
  <c r="AO33" i="17"/>
  <c r="AO22" i="17"/>
  <c r="AO20" i="17"/>
  <c r="AN40" i="11"/>
  <c r="AN7" i="17" s="1"/>
  <c r="AN13" i="17" s="1"/>
  <c r="AN55" i="11"/>
  <c r="AN14" i="10" s="1"/>
  <c r="AN15" i="10" s="1"/>
  <c r="AN16" i="10" s="1"/>
  <c r="AN15" i="17" s="1"/>
  <c r="AN19" i="19" s="1"/>
  <c r="AM40" i="11"/>
  <c r="AM7" i="17" s="1"/>
  <c r="AM13" i="17" s="1"/>
  <c r="AM55" i="11"/>
  <c r="AO13" i="10"/>
  <c r="AP7" i="10"/>
  <c r="AO31" i="17"/>
  <c r="AO27" i="17"/>
  <c r="AO18" i="10"/>
  <c r="A48" i="37"/>
  <c r="B49" i="37"/>
  <c r="G6" i="32"/>
  <c r="G7" i="32" s="1"/>
  <c r="F55" i="38"/>
  <c r="AE18" i="23" l="1"/>
  <c r="AE32" i="19" s="1"/>
  <c r="AF12" i="19"/>
  <c r="AF17" i="23"/>
  <c r="AF22" i="23" s="1"/>
  <c r="AG14" i="23"/>
  <c r="AM9" i="19"/>
  <c r="AM9" i="20" s="1"/>
  <c r="AN9" i="19"/>
  <c r="AN16" i="17"/>
  <c r="AN39" i="17" s="1"/>
  <c r="AJ39" i="17"/>
  <c r="AJ17" i="17"/>
  <c r="AP18" i="10"/>
  <c r="E5" i="30"/>
  <c r="G9" i="32"/>
  <c r="E6" i="30" s="1"/>
  <c r="AP13" i="10"/>
  <c r="AQ7" i="10"/>
  <c r="AO40" i="11"/>
  <c r="AO7" i="17" s="1"/>
  <c r="AO13" i="17" s="1"/>
  <c r="AO55" i="11"/>
  <c r="AO14" i="10" s="1"/>
  <c r="AO15" i="10" s="1"/>
  <c r="AO16" i="10" s="1"/>
  <c r="AO15" i="17" s="1"/>
  <c r="AQ34" i="10"/>
  <c r="AQ35" i="10"/>
  <c r="AQ34" i="17" s="1"/>
  <c r="AR9" i="10"/>
  <c r="AQ20" i="10"/>
  <c r="AQ22" i="10"/>
  <c r="AQ21" i="17" s="1"/>
  <c r="AQ25" i="10"/>
  <c r="AQ24" i="17" s="1"/>
  <c r="AQ29" i="10"/>
  <c r="AQ31" i="10"/>
  <c r="AQ30" i="17" s="1"/>
  <c r="AQ21" i="10"/>
  <c r="AQ24" i="10"/>
  <c r="AQ36" i="10"/>
  <c r="AQ30" i="10"/>
  <c r="AQ29" i="17" s="1"/>
  <c r="AQ27" i="10"/>
  <c r="AQ26" i="17" s="1"/>
  <c r="AQ28" i="10"/>
  <c r="AQ33" i="10"/>
  <c r="AQ32" i="10"/>
  <c r="AQ31" i="17" s="1"/>
  <c r="AQ23" i="10"/>
  <c r="B50" i="37"/>
  <c r="A49" i="37"/>
  <c r="AO37" i="17"/>
  <c r="AO21" i="19" s="1"/>
  <c r="AP25" i="11"/>
  <c r="AP42" i="11" s="1"/>
  <c r="AP29" i="11"/>
  <c r="AP46" i="11" s="1"/>
  <c r="AP33" i="11"/>
  <c r="AP50" i="11" s="1"/>
  <c r="AP8" i="17" s="1"/>
  <c r="AP37" i="11"/>
  <c r="AP54" i="11" s="1"/>
  <c r="AP12" i="17" s="1"/>
  <c r="AP26" i="11"/>
  <c r="AP43" i="11" s="1"/>
  <c r="AP30" i="11"/>
  <c r="AP47" i="11" s="1"/>
  <c r="AP34" i="11"/>
  <c r="AP51" i="11" s="1"/>
  <c r="AP9" i="17" s="1"/>
  <c r="AP27" i="11"/>
  <c r="AP44" i="11" s="1"/>
  <c r="AP35" i="11"/>
  <c r="AP52" i="11" s="1"/>
  <c r="AP10" i="17" s="1"/>
  <c r="AP28" i="11"/>
  <c r="AP45" i="11" s="1"/>
  <c r="AP36" i="11"/>
  <c r="AP53" i="11" s="1"/>
  <c r="AP11" i="17" s="1"/>
  <c r="AP31" i="11"/>
  <c r="AP48" i="11" s="1"/>
  <c r="AP24" i="11"/>
  <c r="AP41" i="11" s="1"/>
  <c r="AP32" i="11"/>
  <c r="AP49" i="11" s="1"/>
  <c r="AQ20" i="11"/>
  <c r="AM14" i="10"/>
  <c r="AP30" i="17"/>
  <c r="AP29" i="17"/>
  <c r="AP34" i="17"/>
  <c r="AL16" i="10"/>
  <c r="AL15" i="17" s="1"/>
  <c r="G15" i="32"/>
  <c r="E8" i="30"/>
  <c r="HQ7" i="16"/>
  <c r="HP8" i="16"/>
  <c r="AP26" i="17"/>
  <c r="E9" i="30" l="1"/>
  <c r="E10" i="30" s="1"/>
  <c r="E32" i="30" s="1"/>
  <c r="D4" i="43"/>
  <c r="AH14" i="23"/>
  <c r="AG17" i="23"/>
  <c r="AG22" i="23" s="1"/>
  <c r="AG12" i="19"/>
  <c r="AF18" i="23"/>
  <c r="AF32" i="19" s="1"/>
  <c r="AP37" i="17"/>
  <c r="AP21" i="19" s="1"/>
  <c r="G16" i="32"/>
  <c r="AQ18" i="10"/>
  <c r="AO19" i="19"/>
  <c r="AN9" i="20"/>
  <c r="AM15" i="10"/>
  <c r="AM16" i="10" s="1"/>
  <c r="AM15" i="17" s="1"/>
  <c r="HR7" i="16"/>
  <c r="HQ8" i="16"/>
  <c r="AQ27" i="11"/>
  <c r="AQ44" i="11" s="1"/>
  <c r="AQ31" i="11"/>
  <c r="AQ48" i="11" s="1"/>
  <c r="AQ35" i="11"/>
  <c r="AQ52" i="11" s="1"/>
  <c r="AQ10" i="17" s="1"/>
  <c r="AQ24" i="11"/>
  <c r="AQ41" i="11" s="1"/>
  <c r="AQ28" i="11"/>
  <c r="AQ45" i="11" s="1"/>
  <c r="AQ32" i="11"/>
  <c r="AQ49" i="11" s="1"/>
  <c r="AQ36" i="11"/>
  <c r="AQ53" i="11" s="1"/>
  <c r="AQ11" i="17" s="1"/>
  <c r="AQ29" i="11"/>
  <c r="AQ46" i="11" s="1"/>
  <c r="AQ37" i="11"/>
  <c r="AQ54" i="11" s="1"/>
  <c r="AQ12" i="17" s="1"/>
  <c r="AQ30" i="11"/>
  <c r="AQ47" i="11" s="1"/>
  <c r="AQ25" i="11"/>
  <c r="AQ42" i="11" s="1"/>
  <c r="AQ33" i="11"/>
  <c r="AQ50" i="11" s="1"/>
  <c r="AQ8" i="17" s="1"/>
  <c r="AQ34" i="11"/>
  <c r="AQ51" i="11" s="1"/>
  <c r="AQ9" i="17" s="1"/>
  <c r="AQ26" i="11"/>
  <c r="AQ43" i="11" s="1"/>
  <c r="AR20" i="11"/>
  <c r="AQ32" i="17"/>
  <c r="AQ35" i="17"/>
  <c r="AQ28" i="17"/>
  <c r="AR34" i="10"/>
  <c r="AR33" i="17" s="1"/>
  <c r="AR35" i="10"/>
  <c r="AR20" i="10"/>
  <c r="AS9" i="10"/>
  <c r="AR21" i="10"/>
  <c r="AR20" i="17" s="1"/>
  <c r="AR24" i="10"/>
  <c r="AR23" i="17" s="1"/>
  <c r="AR36" i="10"/>
  <c r="AR35" i="17" s="1"/>
  <c r="AR28" i="10"/>
  <c r="AR27" i="17" s="1"/>
  <c r="AR27" i="10"/>
  <c r="AR26" i="17" s="1"/>
  <c r="AR30" i="10"/>
  <c r="AR22" i="10"/>
  <c r="AR21" i="17" s="1"/>
  <c r="AR25" i="10"/>
  <c r="AR31" i="10"/>
  <c r="AR29" i="10"/>
  <c r="AR28" i="17" s="1"/>
  <c r="AR33" i="10"/>
  <c r="AR32" i="17" s="1"/>
  <c r="AR32" i="10"/>
  <c r="AR23" i="10"/>
  <c r="AR22" i="17" s="1"/>
  <c r="AO9" i="19"/>
  <c r="AO9" i="20" s="1"/>
  <c r="AO16" i="17"/>
  <c r="AO39" i="17" s="1"/>
  <c r="E43" i="30"/>
  <c r="E53" i="30"/>
  <c r="E40" i="30"/>
  <c r="E64" i="30"/>
  <c r="E42" i="30"/>
  <c r="E48" i="30"/>
  <c r="E59" i="30"/>
  <c r="E54" i="30"/>
  <c r="E56" i="30"/>
  <c r="E51" i="30"/>
  <c r="E46" i="30"/>
  <c r="E41" i="30"/>
  <c r="E49" i="30"/>
  <c r="E47" i="30"/>
  <c r="E57" i="30"/>
  <c r="E44" i="30"/>
  <c r="E66" i="30"/>
  <c r="D8" i="34" s="1"/>
  <c r="E52" i="30"/>
  <c r="E60" i="30"/>
  <c r="E55" i="30"/>
  <c r="E58" i="30"/>
  <c r="E45" i="30"/>
  <c r="E50" i="30"/>
  <c r="AP40" i="11"/>
  <c r="AP7" i="17" s="1"/>
  <c r="AP13" i="17" s="1"/>
  <c r="AP55" i="11"/>
  <c r="AQ22" i="17"/>
  <c r="AQ20" i="17"/>
  <c r="AQ33" i="17"/>
  <c r="AL19" i="19"/>
  <c r="AL16" i="17"/>
  <c r="A50" i="37"/>
  <c r="B51" i="37"/>
  <c r="AQ27" i="17"/>
  <c r="AQ23" i="17"/>
  <c r="AQ13" i="10"/>
  <c r="AR7" i="10"/>
  <c r="AN17" i="17"/>
  <c r="AG18" i="23" l="1"/>
  <c r="AG32" i="19" s="1"/>
  <c r="G17" i="32"/>
  <c r="D5" i="43"/>
  <c r="AH17" i="23"/>
  <c r="AH22" i="23" s="1"/>
  <c r="AI14" i="23"/>
  <c r="AH12" i="19"/>
  <c r="AO17" i="17"/>
  <c r="E39" i="30"/>
  <c r="AQ37" i="17"/>
  <c r="AQ21" i="19" s="1"/>
  <c r="AR30" i="17"/>
  <c r="AR25" i="11"/>
  <c r="AR42" i="11" s="1"/>
  <c r="AR29" i="11"/>
  <c r="AR46" i="11" s="1"/>
  <c r="AR33" i="11"/>
  <c r="AR50" i="11" s="1"/>
  <c r="AR8" i="17" s="1"/>
  <c r="AR37" i="11"/>
  <c r="AR54" i="11" s="1"/>
  <c r="AR12" i="17" s="1"/>
  <c r="AR26" i="11"/>
  <c r="AR43" i="11" s="1"/>
  <c r="AR30" i="11"/>
  <c r="AR47" i="11" s="1"/>
  <c r="AR34" i="11"/>
  <c r="AR51" i="11" s="1"/>
  <c r="AR9" i="17" s="1"/>
  <c r="AR31" i="11"/>
  <c r="AR48" i="11" s="1"/>
  <c r="AR24" i="11"/>
  <c r="AR41" i="11" s="1"/>
  <c r="AR32" i="11"/>
  <c r="AR49" i="11" s="1"/>
  <c r="AR27" i="11"/>
  <c r="AR44" i="11" s="1"/>
  <c r="AR35" i="11"/>
  <c r="AR52" i="11" s="1"/>
  <c r="AR10" i="17" s="1"/>
  <c r="AR28" i="11"/>
  <c r="AR45" i="11" s="1"/>
  <c r="AR36" i="11"/>
  <c r="AR53" i="11" s="1"/>
  <c r="AR11" i="17" s="1"/>
  <c r="AS20" i="11"/>
  <c r="B52" i="37"/>
  <c r="A51" i="37"/>
  <c r="AR29" i="17"/>
  <c r="AR13" i="10"/>
  <c r="AS7" i="10"/>
  <c r="AL39" i="17"/>
  <c r="AL17" i="17"/>
  <c r="AP14" i="10"/>
  <c r="D6" i="34"/>
  <c r="E68" i="30"/>
  <c r="AR31" i="17"/>
  <c r="AR24" i="17"/>
  <c r="AS34" i="10"/>
  <c r="AS35" i="10"/>
  <c r="AS34" i="17" s="1"/>
  <c r="AT9" i="10"/>
  <c r="AS20" i="10"/>
  <c r="AS21" i="10"/>
  <c r="AS24" i="10"/>
  <c r="AS28" i="10"/>
  <c r="AS27" i="10"/>
  <c r="AS26" i="17" s="1"/>
  <c r="AS30" i="10"/>
  <c r="AS29" i="17" s="1"/>
  <c r="AS22" i="10"/>
  <c r="AS21" i="17" s="1"/>
  <c r="AS25" i="10"/>
  <c r="AS24" i="17" s="1"/>
  <c r="AS36" i="10"/>
  <c r="AS29" i="10"/>
  <c r="AS28" i="17" s="1"/>
  <c r="AS31" i="10"/>
  <c r="AS30" i="17" s="1"/>
  <c r="AS33" i="10"/>
  <c r="AS32" i="17" s="1"/>
  <c r="AS32" i="10"/>
  <c r="AS31" i="17" s="1"/>
  <c r="AS23" i="10"/>
  <c r="HS7" i="16"/>
  <c r="HR8" i="16"/>
  <c r="AM19" i="19"/>
  <c r="AM16" i="17"/>
  <c r="AR34" i="17"/>
  <c r="AP9" i="19"/>
  <c r="AP9" i="20" s="1"/>
  <c r="AQ40" i="11"/>
  <c r="AQ7" i="17" s="1"/>
  <c r="AQ13" i="17" s="1"/>
  <c r="AQ55" i="11"/>
  <c r="AQ14" i="10" s="1"/>
  <c r="AR18" i="10"/>
  <c r="AI12" i="19" l="1"/>
  <c r="AJ14" i="23"/>
  <c r="AI17" i="23"/>
  <c r="AI22" i="23" s="1"/>
  <c r="AH18" i="23"/>
  <c r="AH32" i="19" s="1"/>
  <c r="AR37" i="17"/>
  <c r="AR21" i="19" s="1"/>
  <c r="AS35" i="17"/>
  <c r="AS27" i="17"/>
  <c r="AT35" i="10"/>
  <c r="AT34" i="10"/>
  <c r="AT33" i="17" s="1"/>
  <c r="AU9" i="10"/>
  <c r="AT20" i="10"/>
  <c r="AT22" i="10"/>
  <c r="AT21" i="17" s="1"/>
  <c r="AT25" i="10"/>
  <c r="AT29" i="10"/>
  <c r="AT28" i="17" s="1"/>
  <c r="AT31" i="10"/>
  <c r="AT21" i="10"/>
  <c r="AT20" i="17" s="1"/>
  <c r="AT24" i="10"/>
  <c r="AT23" i="17" s="1"/>
  <c r="AT36" i="10"/>
  <c r="AT35" i="17" s="1"/>
  <c r="AT28" i="10"/>
  <c r="AT27" i="17" s="1"/>
  <c r="AT27" i="10"/>
  <c r="AT26" i="17" s="1"/>
  <c r="AT30" i="10"/>
  <c r="AT29" i="17" s="1"/>
  <c r="AT33" i="10"/>
  <c r="AT32" i="17" s="1"/>
  <c r="AT32" i="10"/>
  <c r="AT31" i="17" s="1"/>
  <c r="AT23" i="10"/>
  <c r="AT22" i="17" s="1"/>
  <c r="AS27" i="11"/>
  <c r="AS44" i="11" s="1"/>
  <c r="AS31" i="11"/>
  <c r="AS48" i="11" s="1"/>
  <c r="AS35" i="11"/>
  <c r="AS52" i="11" s="1"/>
  <c r="AS10" i="17" s="1"/>
  <c r="AS24" i="11"/>
  <c r="AS41" i="11" s="1"/>
  <c r="AS28" i="11"/>
  <c r="AS45" i="11" s="1"/>
  <c r="AS32" i="11"/>
  <c r="AS49" i="11" s="1"/>
  <c r="AS36" i="11"/>
  <c r="AS53" i="11" s="1"/>
  <c r="AS11" i="17" s="1"/>
  <c r="AS25" i="11"/>
  <c r="AS42" i="11" s="1"/>
  <c r="AS33" i="11"/>
  <c r="AS50" i="11" s="1"/>
  <c r="AS8" i="17" s="1"/>
  <c r="AS26" i="11"/>
  <c r="AS43" i="11" s="1"/>
  <c r="AS34" i="11"/>
  <c r="AS51" i="11" s="1"/>
  <c r="AS9" i="17" s="1"/>
  <c r="AS29" i="11"/>
  <c r="AS46" i="11" s="1"/>
  <c r="AS37" i="11"/>
  <c r="AS54" i="11" s="1"/>
  <c r="AS12" i="17" s="1"/>
  <c r="AS30" i="11"/>
  <c r="AS47" i="11" s="1"/>
  <c r="AT20" i="11"/>
  <c r="HT7" i="16"/>
  <c r="HS8" i="16"/>
  <c r="E81" i="30"/>
  <c r="F7" i="35" s="1"/>
  <c r="E75" i="30"/>
  <c r="A52" i="37"/>
  <c r="B53" i="37"/>
  <c r="AM39" i="17"/>
  <c r="AM17" i="17"/>
  <c r="AQ15" i="10"/>
  <c r="AQ16" i="10" s="1"/>
  <c r="AQ15" i="17" s="1"/>
  <c r="AS23" i="17"/>
  <c r="AS13" i="10"/>
  <c r="AT7" i="10"/>
  <c r="AQ9" i="19"/>
  <c r="AQ9" i="20" s="1"/>
  <c r="AS18" i="10"/>
  <c r="AS22" i="17"/>
  <c r="AS20" i="17"/>
  <c r="AS33" i="17"/>
  <c r="AP15" i="10"/>
  <c r="AR40" i="11"/>
  <c r="AR7" i="17" s="1"/>
  <c r="AR13" i="17" s="1"/>
  <c r="AR55" i="11"/>
  <c r="AR14" i="10" s="1"/>
  <c r="AI18" i="23" l="1"/>
  <c r="AI32" i="19" s="1"/>
  <c r="AK14" i="23"/>
  <c r="AJ17" i="23"/>
  <c r="AJ22" i="23" s="1"/>
  <c r="AJ12" i="19"/>
  <c r="AR9" i="19"/>
  <c r="AR9" i="20" s="1"/>
  <c r="AT13" i="10"/>
  <c r="AU7" i="10"/>
  <c r="AQ16" i="17"/>
  <c r="AQ19" i="19"/>
  <c r="B54" i="37"/>
  <c r="A53" i="37"/>
  <c r="AT25" i="11"/>
  <c r="AT42" i="11" s="1"/>
  <c r="AT29" i="11"/>
  <c r="AT46" i="11" s="1"/>
  <c r="AT33" i="11"/>
  <c r="AT50" i="11" s="1"/>
  <c r="AT8" i="17" s="1"/>
  <c r="AT37" i="11"/>
  <c r="AT54" i="11" s="1"/>
  <c r="AT12" i="17" s="1"/>
  <c r="AT26" i="11"/>
  <c r="AT43" i="11" s="1"/>
  <c r="AT30" i="11"/>
  <c r="AT47" i="11" s="1"/>
  <c r="AT34" i="11"/>
  <c r="AT51" i="11" s="1"/>
  <c r="AT9" i="17" s="1"/>
  <c r="AT27" i="11"/>
  <c r="AT44" i="11" s="1"/>
  <c r="AT35" i="11"/>
  <c r="AT52" i="11" s="1"/>
  <c r="AT10" i="17" s="1"/>
  <c r="AT28" i="11"/>
  <c r="AT45" i="11" s="1"/>
  <c r="AT36" i="11"/>
  <c r="AT53" i="11" s="1"/>
  <c r="AT11" i="17" s="1"/>
  <c r="AT31" i="11"/>
  <c r="AT48" i="11" s="1"/>
  <c r="AT24" i="11"/>
  <c r="AT41" i="11" s="1"/>
  <c r="AT32" i="11"/>
  <c r="AT49" i="11" s="1"/>
  <c r="AU20" i="11"/>
  <c r="AT34" i="17"/>
  <c r="AS40" i="11"/>
  <c r="AS7" i="17" s="1"/>
  <c r="AS13" i="17" s="1"/>
  <c r="AT30" i="17"/>
  <c r="AT18" i="10"/>
  <c r="AS37" i="17"/>
  <c r="AS21" i="19" s="1"/>
  <c r="AP16" i="10"/>
  <c r="AP15" i="17" s="1"/>
  <c r="HT8" i="16"/>
  <c r="HU7" i="16"/>
  <c r="AU34" i="10"/>
  <c r="AU35" i="10"/>
  <c r="AU34" i="17" s="1"/>
  <c r="AV9" i="10"/>
  <c r="AU20" i="10"/>
  <c r="AU21" i="10"/>
  <c r="AU20" i="17" s="1"/>
  <c r="AU24" i="10"/>
  <c r="AU36" i="10"/>
  <c r="AU35" i="17" s="1"/>
  <c r="AU28" i="10"/>
  <c r="AU27" i="17" s="1"/>
  <c r="AU27" i="10"/>
  <c r="AU26" i="17" s="1"/>
  <c r="AU30" i="10"/>
  <c r="AU29" i="17" s="1"/>
  <c r="AU22" i="10"/>
  <c r="AU21" i="17" s="1"/>
  <c r="AU25" i="10"/>
  <c r="AU24" i="17" s="1"/>
  <c r="AU29" i="10"/>
  <c r="AU28" i="17" s="1"/>
  <c r="AU31" i="10"/>
  <c r="AU30" i="17" s="1"/>
  <c r="AU33" i="10"/>
  <c r="AU32" i="17" s="1"/>
  <c r="AU32" i="10"/>
  <c r="AU31" i="17" s="1"/>
  <c r="AU23" i="10"/>
  <c r="AU22" i="17" s="1"/>
  <c r="AR15" i="10"/>
  <c r="AR16" i="10" s="1"/>
  <c r="AR15" i="17" s="1"/>
  <c r="AR19" i="19" s="1"/>
  <c r="AS55" i="11"/>
  <c r="AS14" i="10" s="1"/>
  <c r="AS15" i="10" s="1"/>
  <c r="AS16" i="10" s="1"/>
  <c r="AS15" i="17" s="1"/>
  <c r="AT24" i="17"/>
  <c r="AJ18" i="23" l="1"/>
  <c r="AJ32" i="19" s="1"/>
  <c r="AK17" i="23"/>
  <c r="AK22" i="23" s="1"/>
  <c r="AL14" i="23"/>
  <c r="AK12" i="19"/>
  <c r="AT37" i="17"/>
  <c r="AT21" i="19" s="1"/>
  <c r="AS19" i="19"/>
  <c r="AS9" i="19"/>
  <c r="AS9" i="20" s="1"/>
  <c r="AS16" i="17"/>
  <c r="AS39" i="17" s="1"/>
  <c r="AP19" i="19"/>
  <c r="AP16" i="17"/>
  <c r="AV34" i="10"/>
  <c r="AV33" i="17" s="1"/>
  <c r="AV35" i="10"/>
  <c r="AV34" i="17" s="1"/>
  <c r="AV20" i="10"/>
  <c r="AW9" i="10"/>
  <c r="AV22" i="10"/>
  <c r="AV21" i="17" s="1"/>
  <c r="AV25" i="10"/>
  <c r="AV24" i="17" s="1"/>
  <c r="AV29" i="10"/>
  <c r="AV28" i="17" s="1"/>
  <c r="AV31" i="10"/>
  <c r="AV30" i="17" s="1"/>
  <c r="AV21" i="10"/>
  <c r="AV20" i="17" s="1"/>
  <c r="AV24" i="10"/>
  <c r="AV23" i="17" s="1"/>
  <c r="AV36" i="10"/>
  <c r="AV35" i="17" s="1"/>
  <c r="AV30" i="10"/>
  <c r="AV29" i="17" s="1"/>
  <c r="AV27" i="10"/>
  <c r="AV26" i="17" s="1"/>
  <c r="AV28" i="10"/>
  <c r="AV27" i="17" s="1"/>
  <c r="AV33" i="10"/>
  <c r="AV32" i="17" s="1"/>
  <c r="AV32" i="10"/>
  <c r="AV31" i="17" s="1"/>
  <c r="AV23" i="10"/>
  <c r="AV22" i="17" s="1"/>
  <c r="AU18" i="10"/>
  <c r="AU27" i="11"/>
  <c r="AU44" i="11" s="1"/>
  <c r="AU31" i="11"/>
  <c r="AU48" i="11" s="1"/>
  <c r="AU35" i="11"/>
  <c r="AU52" i="11" s="1"/>
  <c r="AU10" i="17" s="1"/>
  <c r="AU24" i="11"/>
  <c r="AU41" i="11" s="1"/>
  <c r="AU28" i="11"/>
  <c r="AU45" i="11" s="1"/>
  <c r="AU32" i="11"/>
  <c r="AU49" i="11" s="1"/>
  <c r="AU36" i="11"/>
  <c r="AU53" i="11" s="1"/>
  <c r="AU11" i="17" s="1"/>
  <c r="AU29" i="11"/>
  <c r="AU46" i="11" s="1"/>
  <c r="AU37" i="11"/>
  <c r="AU54" i="11" s="1"/>
  <c r="AU12" i="17" s="1"/>
  <c r="AU30" i="11"/>
  <c r="AU47" i="11" s="1"/>
  <c r="AU25" i="11"/>
  <c r="AU42" i="11" s="1"/>
  <c r="AU33" i="11"/>
  <c r="AU50" i="11" s="1"/>
  <c r="AU8" i="17" s="1"/>
  <c r="AU26" i="11"/>
  <c r="AU43" i="11" s="1"/>
  <c r="AU34" i="11"/>
  <c r="AU51" i="11" s="1"/>
  <c r="AU9" i="17" s="1"/>
  <c r="AV20" i="11"/>
  <c r="A54" i="37"/>
  <c r="B55" i="37"/>
  <c r="AU23" i="17"/>
  <c r="AT55" i="11"/>
  <c r="AT14" i="10" s="1"/>
  <c r="AT40" i="11"/>
  <c r="AT7" i="17" s="1"/>
  <c r="AT13" i="17" s="1"/>
  <c r="AQ39" i="17"/>
  <c r="AQ17" i="17"/>
  <c r="AR16" i="17"/>
  <c r="HV7" i="16"/>
  <c r="HU8" i="16"/>
  <c r="AU33" i="17"/>
  <c r="AU13" i="10"/>
  <c r="AV7" i="10"/>
  <c r="AK18" i="23" l="1"/>
  <c r="AK32" i="19" s="1"/>
  <c r="AM14" i="23"/>
  <c r="AL17" i="23"/>
  <c r="AL22" i="23" s="1"/>
  <c r="AL12" i="19"/>
  <c r="AU37" i="17"/>
  <c r="AU21" i="19" s="1"/>
  <c r="AV37" i="17"/>
  <c r="AV21" i="19" s="1"/>
  <c r="AS17" i="17"/>
  <c r="AT9" i="19"/>
  <c r="AT9" i="20" s="1"/>
  <c r="AW34" i="10"/>
  <c r="AW33" i="17" s="1"/>
  <c r="AW35" i="10"/>
  <c r="AX9" i="10"/>
  <c r="AW20" i="10"/>
  <c r="AW21" i="10"/>
  <c r="AW20" i="17" s="1"/>
  <c r="AW24" i="10"/>
  <c r="AW23" i="17" s="1"/>
  <c r="AW36" i="10"/>
  <c r="AW35" i="17" s="1"/>
  <c r="AW28" i="10"/>
  <c r="AW27" i="17" s="1"/>
  <c r="AW27" i="10"/>
  <c r="AW26" i="17" s="1"/>
  <c r="AW30" i="10"/>
  <c r="AW29" i="17" s="1"/>
  <c r="AW22" i="10"/>
  <c r="AW21" i="17" s="1"/>
  <c r="AW25" i="10"/>
  <c r="AW24" i="17" s="1"/>
  <c r="AW29" i="10"/>
  <c r="AW28" i="17" s="1"/>
  <c r="AW31" i="10"/>
  <c r="AW30" i="17" s="1"/>
  <c r="AW33" i="10"/>
  <c r="AW32" i="17" s="1"/>
  <c r="AW32" i="10"/>
  <c r="AW31" i="17" s="1"/>
  <c r="AW23" i="10"/>
  <c r="AW22" i="17" s="1"/>
  <c r="AV25" i="11"/>
  <c r="AV42" i="11" s="1"/>
  <c r="AV29" i="11"/>
  <c r="AV46" i="11" s="1"/>
  <c r="AV33" i="11"/>
  <c r="AV50" i="11" s="1"/>
  <c r="AV8" i="17" s="1"/>
  <c r="AV37" i="11"/>
  <c r="AV54" i="11" s="1"/>
  <c r="AV12" i="17" s="1"/>
  <c r="AV26" i="11"/>
  <c r="AV43" i="11" s="1"/>
  <c r="AV30" i="11"/>
  <c r="AV47" i="11" s="1"/>
  <c r="AV34" i="11"/>
  <c r="AV51" i="11" s="1"/>
  <c r="AV9" i="17" s="1"/>
  <c r="AV31" i="11"/>
  <c r="AV48" i="11" s="1"/>
  <c r="AV24" i="11"/>
  <c r="AV41" i="11" s="1"/>
  <c r="AV32" i="11"/>
  <c r="AV49" i="11" s="1"/>
  <c r="AV27" i="11"/>
  <c r="AV44" i="11" s="1"/>
  <c r="AV35" i="11"/>
  <c r="AV52" i="11" s="1"/>
  <c r="AV10" i="17" s="1"/>
  <c r="AV28" i="11"/>
  <c r="AV45" i="11" s="1"/>
  <c r="AV36" i="11"/>
  <c r="AV53" i="11" s="1"/>
  <c r="AV11" i="17" s="1"/>
  <c r="AW20" i="11"/>
  <c r="AR39" i="17"/>
  <c r="AR17" i="17"/>
  <c r="AT15" i="10"/>
  <c r="AT16" i="10" s="1"/>
  <c r="AT15" i="17" s="1"/>
  <c r="AV13" i="10"/>
  <c r="AW7" i="10"/>
  <c r="B56" i="37"/>
  <c r="A55" i="37"/>
  <c r="AV18" i="10"/>
  <c r="HW7" i="16"/>
  <c r="HV8" i="16"/>
  <c r="AU40" i="11"/>
  <c r="AU7" i="17" s="1"/>
  <c r="AU13" i="17" s="1"/>
  <c r="AU55" i="11"/>
  <c r="AU14" i="10" s="1"/>
  <c r="AU15" i="10" s="1"/>
  <c r="AU16" i="10" s="1"/>
  <c r="AU15" i="17" s="1"/>
  <c r="AP39" i="17"/>
  <c r="AP17" i="17"/>
  <c r="AL18" i="23" l="1"/>
  <c r="AL32" i="19" s="1"/>
  <c r="AM17" i="23"/>
  <c r="AM22" i="23" s="1"/>
  <c r="AM12" i="19"/>
  <c r="AN14" i="23"/>
  <c r="AU19" i="19"/>
  <c r="AT19" i="19"/>
  <c r="AT16" i="17"/>
  <c r="AU9" i="19"/>
  <c r="AU9" i="20" s="1"/>
  <c r="AU16" i="17"/>
  <c r="AU39" i="17" s="1"/>
  <c r="AW18" i="10"/>
  <c r="AW27" i="11"/>
  <c r="AW44" i="11" s="1"/>
  <c r="AW31" i="11"/>
  <c r="AW48" i="11" s="1"/>
  <c r="AW35" i="11"/>
  <c r="AW52" i="11" s="1"/>
  <c r="AW10" i="17" s="1"/>
  <c r="AW24" i="11"/>
  <c r="AW41" i="11" s="1"/>
  <c r="AW28" i="11"/>
  <c r="AW45" i="11" s="1"/>
  <c r="AW32" i="11"/>
  <c r="AW49" i="11" s="1"/>
  <c r="AW36" i="11"/>
  <c r="AW53" i="11" s="1"/>
  <c r="AW11" i="17" s="1"/>
  <c r="AW25" i="11"/>
  <c r="AW42" i="11" s="1"/>
  <c r="AW33" i="11"/>
  <c r="AW50" i="11" s="1"/>
  <c r="AW8" i="17" s="1"/>
  <c r="AW26" i="11"/>
  <c r="AW43" i="11" s="1"/>
  <c r="AW34" i="11"/>
  <c r="AW51" i="11" s="1"/>
  <c r="AW9" i="17" s="1"/>
  <c r="AW29" i="11"/>
  <c r="AW46" i="11" s="1"/>
  <c r="AW37" i="11"/>
  <c r="AW54" i="11" s="1"/>
  <c r="AW12" i="17" s="1"/>
  <c r="AW30" i="11"/>
  <c r="AW47" i="11" s="1"/>
  <c r="AX20" i="11"/>
  <c r="A56" i="37"/>
  <c r="B57" i="37"/>
  <c r="AX34" i="10"/>
  <c r="AX35" i="10"/>
  <c r="AX34" i="17" s="1"/>
  <c r="AX20" i="10"/>
  <c r="AY9" i="10"/>
  <c r="AX22" i="10"/>
  <c r="AX25" i="10"/>
  <c r="AX29" i="10"/>
  <c r="AX31" i="10"/>
  <c r="AX21" i="10"/>
  <c r="AX24" i="10"/>
  <c r="AX36" i="10"/>
  <c r="AX28" i="10"/>
  <c r="AX27" i="10"/>
  <c r="AX30" i="10"/>
  <c r="AX33" i="10"/>
  <c r="AX32" i="10"/>
  <c r="AX23" i="10"/>
  <c r="HX7" i="16"/>
  <c r="HW8" i="16"/>
  <c r="AW13" i="10"/>
  <c r="AX7" i="10"/>
  <c r="AV40" i="11"/>
  <c r="AV7" i="17" s="1"/>
  <c r="AV13" i="17" s="1"/>
  <c r="AV55" i="11"/>
  <c r="AV14" i="10" s="1"/>
  <c r="AV15" i="10" s="1"/>
  <c r="AW34" i="17"/>
  <c r="AW37" i="17" s="1"/>
  <c r="AW21" i="19" s="1"/>
  <c r="H35" i="32" l="1"/>
  <c r="AM18" i="23"/>
  <c r="AM32" i="19" s="1"/>
  <c r="AN12" i="19"/>
  <c r="AN17" i="23"/>
  <c r="AN22" i="23" s="1"/>
  <c r="AO14" i="23"/>
  <c r="AV9" i="19"/>
  <c r="AV9" i="20" s="1"/>
  <c r="AX35" i="17"/>
  <c r="H36" i="32"/>
  <c r="AX13" i="10"/>
  <c r="H13" i="32" s="1"/>
  <c r="E2" i="43" s="1"/>
  <c r="AY7" i="10"/>
  <c r="AX25" i="11"/>
  <c r="AX42" i="11" s="1"/>
  <c r="AX29" i="11"/>
  <c r="AX46" i="11" s="1"/>
  <c r="AX33" i="11"/>
  <c r="AX50" i="11" s="1"/>
  <c r="AX8" i="17" s="1"/>
  <c r="AX37" i="11"/>
  <c r="AX54" i="11" s="1"/>
  <c r="AX12" i="17" s="1"/>
  <c r="AX26" i="11"/>
  <c r="AX43" i="11" s="1"/>
  <c r="AX30" i="11"/>
  <c r="AX47" i="11" s="1"/>
  <c r="AX34" i="11"/>
  <c r="AX51" i="11" s="1"/>
  <c r="AX9" i="17" s="1"/>
  <c r="AX27" i="11"/>
  <c r="AX44" i="11" s="1"/>
  <c r="AX35" i="11"/>
  <c r="AX52" i="11" s="1"/>
  <c r="AX10" i="17" s="1"/>
  <c r="AX28" i="11"/>
  <c r="AX45" i="11" s="1"/>
  <c r="AX36" i="11"/>
  <c r="AX53" i="11" s="1"/>
  <c r="AX11" i="17" s="1"/>
  <c r="AX31" i="11"/>
  <c r="AX48" i="11" s="1"/>
  <c r="AX32" i="11"/>
  <c r="AX49" i="11" s="1"/>
  <c r="AX24" i="11"/>
  <c r="AX41" i="11" s="1"/>
  <c r="AY20" i="11"/>
  <c r="HY7" i="16"/>
  <c r="HX8" i="16"/>
  <c r="AX32" i="17"/>
  <c r="H33" i="32"/>
  <c r="AX28" i="17"/>
  <c r="H29" i="32"/>
  <c r="AX18" i="10"/>
  <c r="AM38" i="10" s="1"/>
  <c r="H20" i="32"/>
  <c r="AW40" i="11"/>
  <c r="AW7" i="17" s="1"/>
  <c r="AW13" i="17" s="1"/>
  <c r="AW55" i="11"/>
  <c r="AW14" i="10" s="1"/>
  <c r="AW15" i="10" s="1"/>
  <c r="AW16" i="10" s="1"/>
  <c r="AW15" i="17" s="1"/>
  <c r="AW19" i="19" s="1"/>
  <c r="AX29" i="17"/>
  <c r="H30" i="32"/>
  <c r="AX23" i="17"/>
  <c r="H24" i="32"/>
  <c r="AX24" i="17"/>
  <c r="H25" i="32"/>
  <c r="AX22" i="17"/>
  <c r="H23" i="32"/>
  <c r="AX26" i="17"/>
  <c r="H27" i="32"/>
  <c r="AX20" i="17"/>
  <c r="H21" i="32"/>
  <c r="E9" i="43" s="1"/>
  <c r="AX21" i="17"/>
  <c r="H22" i="32"/>
  <c r="AX33" i="17"/>
  <c r="H34" i="32"/>
  <c r="AV16" i="10"/>
  <c r="AV15" i="17" s="1"/>
  <c r="AX31" i="17"/>
  <c r="H32" i="32"/>
  <c r="AX27" i="17"/>
  <c r="H28" i="32"/>
  <c r="AX30" i="17"/>
  <c r="H31" i="32"/>
  <c r="AY34" i="10"/>
  <c r="AY35" i="10"/>
  <c r="AZ9" i="10"/>
  <c r="AY20" i="10"/>
  <c r="AY21" i="10"/>
  <c r="AY24" i="10"/>
  <c r="AY36" i="10"/>
  <c r="AY28" i="10"/>
  <c r="AY27" i="10"/>
  <c r="AY30" i="10"/>
  <c r="AY22" i="10"/>
  <c r="AY25" i="10"/>
  <c r="AY29" i="10"/>
  <c r="AY31" i="10"/>
  <c r="AY33" i="10"/>
  <c r="AY32" i="10"/>
  <c r="AY23" i="10"/>
  <c r="B58" i="37"/>
  <c r="A57" i="37"/>
  <c r="AU17" i="17"/>
  <c r="AT39" i="17"/>
  <c r="AT17" i="17"/>
  <c r="H38" i="32" l="1"/>
  <c r="F21" i="30"/>
  <c r="E16" i="43"/>
  <c r="F22" i="30"/>
  <c r="E17" i="43"/>
  <c r="F29" i="30"/>
  <c r="E24" i="43"/>
  <c r="F17" i="30"/>
  <c r="E12" i="43"/>
  <c r="F25" i="30"/>
  <c r="E20" i="43"/>
  <c r="F23" i="30"/>
  <c r="E18" i="43"/>
  <c r="F26" i="30"/>
  <c r="E21" i="43"/>
  <c r="F20" i="30"/>
  <c r="E15" i="43"/>
  <c r="F27" i="30"/>
  <c r="E22" i="43"/>
  <c r="F16" i="30"/>
  <c r="E11" i="43"/>
  <c r="F24" i="30"/>
  <c r="E19" i="43"/>
  <c r="F15" i="30"/>
  <c r="E10" i="43"/>
  <c r="F18" i="30"/>
  <c r="E13" i="43"/>
  <c r="F13" i="30"/>
  <c r="E8" i="43"/>
  <c r="F28" i="30"/>
  <c r="E23" i="43"/>
  <c r="AN18" i="23"/>
  <c r="AN32" i="19" s="1"/>
  <c r="AO12" i="19"/>
  <c r="AO17" i="23"/>
  <c r="AO22" i="23" s="1"/>
  <c r="AP14" i="23"/>
  <c r="AY29" i="17"/>
  <c r="AY34" i="17"/>
  <c r="AY26" i="11"/>
  <c r="AY30" i="11"/>
  <c r="AY34" i="11"/>
  <c r="G19" i="38"/>
  <c r="AY28" i="11"/>
  <c r="AY33" i="11"/>
  <c r="AY27" i="11"/>
  <c r="AY32" i="11"/>
  <c r="AY31" i="11"/>
  <c r="AY36" i="11"/>
  <c r="AY37" i="11"/>
  <c r="AY24" i="11"/>
  <c r="AY35" i="11"/>
  <c r="AY25" i="11"/>
  <c r="AY29" i="11"/>
  <c r="AZ20" i="11"/>
  <c r="F7" i="30"/>
  <c r="AY28" i="17"/>
  <c r="AY33" i="17"/>
  <c r="F14" i="30"/>
  <c r="AX40" i="11"/>
  <c r="AX7" i="17" s="1"/>
  <c r="AX13" i="17" s="1"/>
  <c r="AX55" i="11"/>
  <c r="A58" i="37"/>
  <c r="B59" i="37"/>
  <c r="AY30" i="17"/>
  <c r="AY23" i="17"/>
  <c r="AV16" i="17"/>
  <c r="AV19" i="19"/>
  <c r="AY22" i="17"/>
  <c r="AY26" i="17"/>
  <c r="AY20" i="17"/>
  <c r="AY31" i="17"/>
  <c r="AY24" i="17"/>
  <c r="AY27" i="17"/>
  <c r="AY18" i="10"/>
  <c r="AX37" i="17"/>
  <c r="AX21" i="19" s="1"/>
  <c r="AY32" i="17"/>
  <c r="AY21" i="17"/>
  <c r="AY35" i="17"/>
  <c r="AZ34" i="10"/>
  <c r="AZ33" i="17" s="1"/>
  <c r="AZ35" i="10"/>
  <c r="AZ34" i="17" s="1"/>
  <c r="AZ20" i="10"/>
  <c r="BA9" i="10"/>
  <c r="AZ28" i="10"/>
  <c r="AZ27" i="17" s="1"/>
  <c r="AZ27" i="10"/>
  <c r="AZ26" i="17" s="1"/>
  <c r="AZ30" i="10"/>
  <c r="AZ29" i="17" s="1"/>
  <c r="AZ22" i="10"/>
  <c r="AZ21" i="17" s="1"/>
  <c r="AZ25" i="10"/>
  <c r="AZ24" i="17" s="1"/>
  <c r="AZ29" i="10"/>
  <c r="AZ28" i="17" s="1"/>
  <c r="AZ31" i="10"/>
  <c r="AZ30" i="17" s="1"/>
  <c r="AZ36" i="10"/>
  <c r="AZ35" i="17" s="1"/>
  <c r="AZ21" i="10"/>
  <c r="AZ20" i="17" s="1"/>
  <c r="AZ24" i="10"/>
  <c r="AZ23" i="17" s="1"/>
  <c r="AZ33" i="10"/>
  <c r="AZ32" i="17" s="1"/>
  <c r="AZ32" i="10"/>
  <c r="AZ31" i="17" s="1"/>
  <c r="AZ23" i="10"/>
  <c r="AZ22" i="17" s="1"/>
  <c r="AW9" i="19"/>
  <c r="AW9" i="20" s="1"/>
  <c r="AW16" i="17"/>
  <c r="AW39" i="17" s="1"/>
  <c r="HZ7" i="16"/>
  <c r="HY8" i="16"/>
  <c r="AY13" i="10"/>
  <c r="AZ7" i="10"/>
  <c r="F31" i="30" l="1"/>
  <c r="F67" i="30" s="1"/>
  <c r="E9" i="34" s="1"/>
  <c r="E26" i="43"/>
  <c r="AO18" i="23"/>
  <c r="AO32" i="19" s="1"/>
  <c r="AQ14" i="23"/>
  <c r="AP17" i="23"/>
  <c r="AP22" i="23" s="1"/>
  <c r="AP12" i="19"/>
  <c r="AZ37" i="17"/>
  <c r="AZ21" i="19" s="1"/>
  <c r="AW17" i="17"/>
  <c r="IA7" i="16"/>
  <c r="HZ8" i="16"/>
  <c r="AY37" i="17"/>
  <c r="AY21" i="19" s="1"/>
  <c r="B60" i="37"/>
  <c r="A59" i="37"/>
  <c r="G30" i="38"/>
  <c r="G48" i="38" s="1"/>
  <c r="AY48" i="11"/>
  <c r="G25" i="38"/>
  <c r="G43" i="38" s="1"/>
  <c r="AY43" i="11"/>
  <c r="AZ13" i="10"/>
  <c r="BA7" i="10"/>
  <c r="AZ24" i="11"/>
  <c r="AZ41" i="11" s="1"/>
  <c r="AZ28" i="11"/>
  <c r="AZ45" i="11" s="1"/>
  <c r="AZ32" i="11"/>
  <c r="AZ49" i="11" s="1"/>
  <c r="AZ36" i="11"/>
  <c r="AZ53" i="11" s="1"/>
  <c r="AZ11" i="17" s="1"/>
  <c r="AZ25" i="11"/>
  <c r="AZ42" i="11" s="1"/>
  <c r="AZ30" i="11"/>
  <c r="AZ47" i="11" s="1"/>
  <c r="AZ35" i="11"/>
  <c r="AZ52" i="11" s="1"/>
  <c r="AZ10" i="17" s="1"/>
  <c r="AZ26" i="11"/>
  <c r="AZ43" i="11" s="1"/>
  <c r="AZ31" i="11"/>
  <c r="AZ48" i="11" s="1"/>
  <c r="AZ37" i="11"/>
  <c r="AZ54" i="11" s="1"/>
  <c r="AZ12" i="17" s="1"/>
  <c r="AZ27" i="11"/>
  <c r="AZ44" i="11" s="1"/>
  <c r="AZ33" i="11"/>
  <c r="AZ50" i="11" s="1"/>
  <c r="AZ8" i="17" s="1"/>
  <c r="AZ29" i="11"/>
  <c r="AZ46" i="11" s="1"/>
  <c r="AZ34" i="11"/>
  <c r="AZ51" i="11" s="1"/>
  <c r="AZ9" i="17" s="1"/>
  <c r="BA20" i="11"/>
  <c r="G23" i="38"/>
  <c r="G41" i="38" s="1"/>
  <c r="AY41" i="11"/>
  <c r="G31" i="38"/>
  <c r="G49" i="38" s="1"/>
  <c r="AY49" i="11"/>
  <c r="G34" i="38"/>
  <c r="G52" i="38" s="1"/>
  <c r="AY52" i="11"/>
  <c r="AY10" i="17" s="1"/>
  <c r="G27" i="38"/>
  <c r="G45" i="38" s="1"/>
  <c r="AY45" i="11"/>
  <c r="BA35" i="10"/>
  <c r="BA34" i="17" s="1"/>
  <c r="BA34" i="10"/>
  <c r="BA33" i="17" s="1"/>
  <c r="BB9" i="10"/>
  <c r="BA20" i="10"/>
  <c r="BA29" i="10"/>
  <c r="BA28" i="17" s="1"/>
  <c r="BA31" i="10"/>
  <c r="BA21" i="10"/>
  <c r="BA20" i="17" s="1"/>
  <c r="BA24" i="10"/>
  <c r="BA23" i="17" s="1"/>
  <c r="BA36" i="10"/>
  <c r="BA35" i="17" s="1"/>
  <c r="BA28" i="10"/>
  <c r="BA27" i="17" s="1"/>
  <c r="BA27" i="10"/>
  <c r="BA26" i="17" s="1"/>
  <c r="BA30" i="10"/>
  <c r="BA22" i="10"/>
  <c r="BA25" i="10"/>
  <c r="BA24" i="17" s="1"/>
  <c r="BA33" i="10"/>
  <c r="BA32" i="10"/>
  <c r="BA31" i="17" s="1"/>
  <c r="BA23" i="10"/>
  <c r="BA22" i="17" s="1"/>
  <c r="AZ18" i="10"/>
  <c r="AX14" i="10"/>
  <c r="AM56" i="11"/>
  <c r="G28" i="38"/>
  <c r="G46" i="38" s="1"/>
  <c r="AY46" i="11"/>
  <c r="G36" i="38"/>
  <c r="G54" i="38" s="1"/>
  <c r="AY54" i="11"/>
  <c r="AY12" i="17" s="1"/>
  <c r="G26" i="38"/>
  <c r="G44" i="38" s="1"/>
  <c r="AY44" i="11"/>
  <c r="G33" i="38"/>
  <c r="G51" i="38" s="1"/>
  <c r="AY51" i="11"/>
  <c r="AY9" i="17" s="1"/>
  <c r="AV39" i="17"/>
  <c r="AV17" i="17"/>
  <c r="AX9" i="19"/>
  <c r="AX9" i="20" s="1"/>
  <c r="G24" i="38"/>
  <c r="G42" i="38" s="1"/>
  <c r="AY42" i="11"/>
  <c r="G35" i="38"/>
  <c r="G53" i="38" s="1"/>
  <c r="AY53" i="11"/>
  <c r="AY11" i="17" s="1"/>
  <c r="G32" i="38"/>
  <c r="G50" i="38" s="1"/>
  <c r="AY50" i="11"/>
  <c r="AY8" i="17" s="1"/>
  <c r="G29" i="38"/>
  <c r="G47" i="38" s="1"/>
  <c r="AY47" i="11"/>
  <c r="AP18" i="23" l="1"/>
  <c r="AP32" i="19" s="1"/>
  <c r="AQ12" i="19"/>
  <c r="AR14" i="23"/>
  <c r="AQ17" i="23"/>
  <c r="AQ22" i="23" s="1"/>
  <c r="BA21" i="17"/>
  <c r="AY40" i="11"/>
  <c r="AY7" i="17" s="1"/>
  <c r="AY13" i="17" s="1"/>
  <c r="AY55" i="11"/>
  <c r="AZ40" i="11"/>
  <c r="AZ7" i="17" s="1"/>
  <c r="AZ13" i="17" s="1"/>
  <c r="AZ55" i="11"/>
  <c r="AZ14" i="10" s="1"/>
  <c r="AZ15" i="10" s="1"/>
  <c r="AZ16" i="10" s="1"/>
  <c r="AZ15" i="17" s="1"/>
  <c r="AZ19" i="19" s="1"/>
  <c r="BA13" i="10"/>
  <c r="BB7" i="10"/>
  <c r="BA30" i="17"/>
  <c r="A60" i="37"/>
  <c r="B61" i="37"/>
  <c r="IB7" i="16"/>
  <c r="IA8" i="16"/>
  <c r="H6" i="32"/>
  <c r="H7" i="32" s="1"/>
  <c r="BA29" i="17"/>
  <c r="BA18" i="10"/>
  <c r="G55" i="38"/>
  <c r="AX15" i="10"/>
  <c r="H14" i="32"/>
  <c r="E3" i="43" s="1"/>
  <c r="BA32" i="17"/>
  <c r="BB34" i="10"/>
  <c r="BB33" i="17" s="1"/>
  <c r="BB35" i="10"/>
  <c r="BB34" i="17" s="1"/>
  <c r="BC9" i="10"/>
  <c r="BB20" i="10"/>
  <c r="BB28" i="10"/>
  <c r="BB27" i="10"/>
  <c r="BB30" i="10"/>
  <c r="BB29" i="17" s="1"/>
  <c r="BB22" i="10"/>
  <c r="BB21" i="17" s="1"/>
  <c r="BB25" i="10"/>
  <c r="BB24" i="17" s="1"/>
  <c r="BB29" i="10"/>
  <c r="BB31" i="10"/>
  <c r="BB30" i="17" s="1"/>
  <c r="BB21" i="10"/>
  <c r="BB24" i="10"/>
  <c r="BB23" i="17" s="1"/>
  <c r="BB36" i="10"/>
  <c r="BB33" i="10"/>
  <c r="BB32" i="17" s="1"/>
  <c r="BB32" i="10"/>
  <c r="BB23" i="10"/>
  <c r="BB22" i="17" s="1"/>
  <c r="BA26" i="11"/>
  <c r="BA43" i="11" s="1"/>
  <c r="BA30" i="11"/>
  <c r="BA47" i="11" s="1"/>
  <c r="BA34" i="11"/>
  <c r="BA51" i="11" s="1"/>
  <c r="BA9" i="17" s="1"/>
  <c r="BA27" i="11"/>
  <c r="BA44" i="11" s="1"/>
  <c r="BA32" i="11"/>
  <c r="BA49" i="11" s="1"/>
  <c r="BA37" i="11"/>
  <c r="BA54" i="11" s="1"/>
  <c r="BA12" i="17" s="1"/>
  <c r="BA28" i="11"/>
  <c r="BA45" i="11" s="1"/>
  <c r="BA33" i="11"/>
  <c r="BA50" i="11" s="1"/>
  <c r="BA8" i="17" s="1"/>
  <c r="BA24" i="11"/>
  <c r="BA41" i="11" s="1"/>
  <c r="BA29" i="11"/>
  <c r="BA46" i="11" s="1"/>
  <c r="BA35" i="11"/>
  <c r="BA52" i="11" s="1"/>
  <c r="BA10" i="17" s="1"/>
  <c r="BA36" i="11"/>
  <c r="BA53" i="11" s="1"/>
  <c r="BA11" i="17" s="1"/>
  <c r="BA25" i="11"/>
  <c r="BA42" i="11" s="1"/>
  <c r="BA31" i="11"/>
  <c r="BA48" i="11" s="1"/>
  <c r="BB20" i="11"/>
  <c r="F25" i="35"/>
  <c r="G25" i="35" s="1"/>
  <c r="AQ18" i="23" l="1"/>
  <c r="AQ32" i="19" s="1"/>
  <c r="AR17" i="23"/>
  <c r="AR22" i="23" s="1"/>
  <c r="AS14" i="23"/>
  <c r="AR12" i="19"/>
  <c r="BA37" i="17"/>
  <c r="BA21" i="19" s="1"/>
  <c r="AZ9" i="19"/>
  <c r="AZ16" i="17"/>
  <c r="AZ39" i="17" s="1"/>
  <c r="AY9" i="19"/>
  <c r="AY9" i="20" s="1"/>
  <c r="F5" i="30"/>
  <c r="H9" i="32"/>
  <c r="F6" i="30" s="1"/>
  <c r="IB8" i="16"/>
  <c r="IC7" i="16"/>
  <c r="BC34" i="10"/>
  <c r="BC33" i="17" s="1"/>
  <c r="BC35" i="10"/>
  <c r="BC34" i="17" s="1"/>
  <c r="BD9" i="10"/>
  <c r="BC20" i="10"/>
  <c r="BC29" i="10"/>
  <c r="BC28" i="17" s="1"/>
  <c r="BC31" i="10"/>
  <c r="BC21" i="10"/>
  <c r="BC20" i="17" s="1"/>
  <c r="BC24" i="10"/>
  <c r="BC36" i="10"/>
  <c r="BC35" i="17" s="1"/>
  <c r="BC28" i="10"/>
  <c r="BC27" i="17" s="1"/>
  <c r="BC27" i="10"/>
  <c r="BC26" i="17" s="1"/>
  <c r="BC30" i="10"/>
  <c r="BC29" i="17" s="1"/>
  <c r="BC22" i="10"/>
  <c r="BC21" i="17" s="1"/>
  <c r="BC25" i="10"/>
  <c r="BC24" i="17" s="1"/>
  <c r="BC33" i="10"/>
  <c r="BC32" i="10"/>
  <c r="BC31" i="17" s="1"/>
  <c r="BC23" i="10"/>
  <c r="B62" i="37"/>
  <c r="A61" i="37"/>
  <c r="BB24" i="11"/>
  <c r="BB41" i="11" s="1"/>
  <c r="BB28" i="11"/>
  <c r="BB45" i="11" s="1"/>
  <c r="BB32" i="11"/>
  <c r="BB49" i="11" s="1"/>
  <c r="BB36" i="11"/>
  <c r="BB53" i="11" s="1"/>
  <c r="BB11" i="17" s="1"/>
  <c r="BB29" i="11"/>
  <c r="BB46" i="11" s="1"/>
  <c r="BB34" i="11"/>
  <c r="BB51" i="11" s="1"/>
  <c r="BB9" i="17" s="1"/>
  <c r="BB25" i="11"/>
  <c r="BB42" i="11" s="1"/>
  <c r="BB30" i="11"/>
  <c r="BB47" i="11" s="1"/>
  <c r="BB35" i="11"/>
  <c r="BB52" i="11" s="1"/>
  <c r="BB10" i="17" s="1"/>
  <c r="BB26" i="11"/>
  <c r="BB43" i="11" s="1"/>
  <c r="BB31" i="11"/>
  <c r="BB48" i="11" s="1"/>
  <c r="BB37" i="11"/>
  <c r="BB54" i="11" s="1"/>
  <c r="BB12" i="17" s="1"/>
  <c r="BB27" i="11"/>
  <c r="BB44" i="11" s="1"/>
  <c r="BB33" i="11"/>
  <c r="BB50" i="11" s="1"/>
  <c r="BB8" i="17" s="1"/>
  <c r="BC20" i="11"/>
  <c r="BB31" i="17"/>
  <c r="BB20" i="17"/>
  <c r="BB18" i="10"/>
  <c r="BA55" i="11"/>
  <c r="BA14" i="10" s="1"/>
  <c r="BA15" i="10" s="1"/>
  <c r="BA16" i="10" s="1"/>
  <c r="BA15" i="17" s="1"/>
  <c r="BA40" i="11"/>
  <c r="BA7" i="17" s="1"/>
  <c r="BA13" i="17" s="1"/>
  <c r="BB35" i="17"/>
  <c r="BB28" i="17"/>
  <c r="BB26" i="17"/>
  <c r="F8" i="30"/>
  <c r="BB13" i="10"/>
  <c r="BC7" i="10"/>
  <c r="AY14" i="10"/>
  <c r="BB27" i="17"/>
  <c r="AX16" i="10"/>
  <c r="AX15" i="17" s="1"/>
  <c r="H15" i="32"/>
  <c r="F26" i="35"/>
  <c r="G26" i="35" s="1"/>
  <c r="F9" i="30" l="1"/>
  <c r="F10" i="30" s="1"/>
  <c r="F32" i="30" s="1"/>
  <c r="E4" i="43"/>
  <c r="AR18" i="23"/>
  <c r="AR32" i="19" s="1"/>
  <c r="AT14" i="23"/>
  <c r="AS17" i="23"/>
  <c r="AS22" i="23" s="1"/>
  <c r="AS12" i="19"/>
  <c r="BA19" i="19"/>
  <c r="BB37" i="17"/>
  <c r="BB21" i="19" s="1"/>
  <c r="AZ17" i="17"/>
  <c r="BA9" i="19"/>
  <c r="BA9" i="20" s="1"/>
  <c r="BA16" i="17"/>
  <c r="BA39" i="17" s="1"/>
  <c r="BC18" i="10"/>
  <c r="F40" i="30"/>
  <c r="F57" i="30"/>
  <c r="F44" i="30"/>
  <c r="F53" i="30"/>
  <c r="F58" i="30"/>
  <c r="F41" i="30"/>
  <c r="F49" i="30"/>
  <c r="F54" i="30"/>
  <c r="F45" i="30"/>
  <c r="F50" i="30"/>
  <c r="F48" i="30"/>
  <c r="F47" i="30"/>
  <c r="F52" i="30"/>
  <c r="F66" i="30"/>
  <c r="E8" i="34" s="1"/>
  <c r="F43" i="30"/>
  <c r="F46" i="30"/>
  <c r="F60" i="30"/>
  <c r="F42" i="30"/>
  <c r="F51" i="30"/>
  <c r="F56" i="30"/>
  <c r="F55" i="30"/>
  <c r="F64" i="30"/>
  <c r="F59" i="30"/>
  <c r="F3" i="30"/>
  <c r="AZ9" i="20"/>
  <c r="AY15" i="10"/>
  <c r="BC26" i="11"/>
  <c r="BC43" i="11" s="1"/>
  <c r="BC30" i="11"/>
  <c r="BC47" i="11" s="1"/>
  <c r="BC34" i="11"/>
  <c r="BC51" i="11" s="1"/>
  <c r="BC9" i="17" s="1"/>
  <c r="BC25" i="11"/>
  <c r="BC42" i="11" s="1"/>
  <c r="BC31" i="11"/>
  <c r="BC48" i="11" s="1"/>
  <c r="BC36" i="11"/>
  <c r="BC53" i="11" s="1"/>
  <c r="BC11" i="17" s="1"/>
  <c r="BC27" i="11"/>
  <c r="BC44" i="11" s="1"/>
  <c r="BC32" i="11"/>
  <c r="BC49" i="11" s="1"/>
  <c r="BC37" i="11"/>
  <c r="BC54" i="11" s="1"/>
  <c r="BC12" i="17" s="1"/>
  <c r="BC28" i="11"/>
  <c r="BC45" i="11" s="1"/>
  <c r="BC33" i="11"/>
  <c r="BC50" i="11" s="1"/>
  <c r="BC8" i="17" s="1"/>
  <c r="BC29" i="11"/>
  <c r="BC46" i="11" s="1"/>
  <c r="BC35" i="11"/>
  <c r="BC52" i="11" s="1"/>
  <c r="BC10" i="17" s="1"/>
  <c r="BC24" i="11"/>
  <c r="BC41" i="11" s="1"/>
  <c r="BD20" i="11"/>
  <c r="A62" i="37"/>
  <c r="B63" i="37"/>
  <c r="BC32" i="17"/>
  <c r="BD34" i="10"/>
  <c r="BD35" i="10"/>
  <c r="BD20" i="10"/>
  <c r="BE9" i="10"/>
  <c r="BD21" i="10"/>
  <c r="BD24" i="10"/>
  <c r="BD23" i="17" s="1"/>
  <c r="BD28" i="10"/>
  <c r="BD27" i="10"/>
  <c r="BD30" i="10"/>
  <c r="BD29" i="17" s="1"/>
  <c r="BD22" i="10"/>
  <c r="BD25" i="10"/>
  <c r="BD36" i="10"/>
  <c r="BD29" i="10"/>
  <c r="BD31" i="10"/>
  <c r="BD30" i="17" s="1"/>
  <c r="BD33" i="10"/>
  <c r="BD32" i="17" s="1"/>
  <c r="BD32" i="10"/>
  <c r="BD31" i="17" s="1"/>
  <c r="BD23" i="10"/>
  <c r="BD22" i="17" s="1"/>
  <c r="ID7" i="16"/>
  <c r="IC8" i="16"/>
  <c r="AX19" i="19"/>
  <c r="AX16" i="17"/>
  <c r="BC23" i="17"/>
  <c r="BC13" i="10"/>
  <c r="BD7" i="10"/>
  <c r="H16" i="32"/>
  <c r="BC30" i="17"/>
  <c r="BB40" i="11"/>
  <c r="BB7" i="17" s="1"/>
  <c r="BB13" i="17" s="1"/>
  <c r="BB55" i="11"/>
  <c r="BC22" i="17"/>
  <c r="F27" i="35"/>
  <c r="G27" i="35" s="1"/>
  <c r="H17" i="32" l="1"/>
  <c r="E5" i="43"/>
  <c r="AS18" i="23"/>
  <c r="AS32" i="19" s="1"/>
  <c r="AU14" i="23"/>
  <c r="AT12" i="19"/>
  <c r="AT17" i="23"/>
  <c r="AT22" i="23" s="1"/>
  <c r="BC37" i="17"/>
  <c r="BC21" i="19" s="1"/>
  <c r="BA17" i="17"/>
  <c r="F39" i="30"/>
  <c r="BE34" i="10"/>
  <c r="BE33" i="17" s="1"/>
  <c r="BE35" i="10"/>
  <c r="BE34" i="17" s="1"/>
  <c r="BF9" i="10"/>
  <c r="BE20" i="10"/>
  <c r="BE22" i="10"/>
  <c r="BE21" i="17" s="1"/>
  <c r="BE25" i="10"/>
  <c r="BE24" i="17" s="1"/>
  <c r="BE29" i="10"/>
  <c r="BE28" i="17" s="1"/>
  <c r="BE31" i="10"/>
  <c r="BE21" i="10"/>
  <c r="BE20" i="17" s="1"/>
  <c r="BE24" i="10"/>
  <c r="BE36" i="10"/>
  <c r="BE35" i="17" s="1"/>
  <c r="BE28" i="10"/>
  <c r="BE27" i="17" s="1"/>
  <c r="BE27" i="10"/>
  <c r="BE26" i="17" s="1"/>
  <c r="BE30" i="10"/>
  <c r="BE33" i="10"/>
  <c r="BE32" i="10"/>
  <c r="BE31" i="17" s="1"/>
  <c r="BE23" i="10"/>
  <c r="BD24" i="17"/>
  <c r="BD27" i="17"/>
  <c r="BD18" i="10"/>
  <c r="BC40" i="11"/>
  <c r="BC7" i="17" s="1"/>
  <c r="BC13" i="17" s="1"/>
  <c r="BC55" i="11"/>
  <c r="BC14" i="10" s="1"/>
  <c r="BC15" i="10" s="1"/>
  <c r="BC16" i="10" s="1"/>
  <c r="BC15" i="17" s="1"/>
  <c r="F68" i="30"/>
  <c r="E6" i="34"/>
  <c r="BB9" i="19"/>
  <c r="BB9" i="20" s="1"/>
  <c r="BD35" i="17"/>
  <c r="BD24" i="11"/>
  <c r="BD41" i="11" s="1"/>
  <c r="BD28" i="11"/>
  <c r="BD45" i="11" s="1"/>
  <c r="BD31" i="11"/>
  <c r="BD48" i="11" s="1"/>
  <c r="BD35" i="11"/>
  <c r="BD52" i="11" s="1"/>
  <c r="BD10" i="17" s="1"/>
  <c r="BD27" i="11"/>
  <c r="BD44" i="11" s="1"/>
  <c r="BD32" i="11"/>
  <c r="BD49" i="11" s="1"/>
  <c r="BD37" i="11"/>
  <c r="BD54" i="11" s="1"/>
  <c r="BD12" i="17" s="1"/>
  <c r="BD29" i="11"/>
  <c r="BD46" i="11" s="1"/>
  <c r="BD33" i="11"/>
  <c r="BD50" i="11" s="1"/>
  <c r="BD8" i="17" s="1"/>
  <c r="BD25" i="11"/>
  <c r="BD42" i="11" s="1"/>
  <c r="BD34" i="11"/>
  <c r="BD51" i="11" s="1"/>
  <c r="BD9" i="17" s="1"/>
  <c r="BD36" i="11"/>
  <c r="BD53" i="11" s="1"/>
  <c r="BD11" i="17" s="1"/>
  <c r="BD26" i="11"/>
  <c r="BD43" i="11" s="1"/>
  <c r="BD30" i="11"/>
  <c r="BD47" i="11" s="1"/>
  <c r="BE20" i="11"/>
  <c r="AY16" i="10"/>
  <c r="AY15" i="17" s="1"/>
  <c r="BB14" i="10"/>
  <c r="BD13" i="10"/>
  <c r="BE7" i="10"/>
  <c r="IE7" i="16"/>
  <c r="ID8" i="16"/>
  <c r="BD21" i="17"/>
  <c r="BD34" i="17"/>
  <c r="B64" i="37"/>
  <c r="A63" i="37"/>
  <c r="BD26" i="17"/>
  <c r="AX39" i="17"/>
  <c r="AX17" i="17"/>
  <c r="BD28" i="17"/>
  <c r="BD20" i="17"/>
  <c r="BD33" i="17"/>
  <c r="F29" i="35"/>
  <c r="G29" i="35" s="1"/>
  <c r="F28" i="35"/>
  <c r="G28" i="35" s="1"/>
  <c r="BC19" i="19" l="1"/>
  <c r="AT18" i="23"/>
  <c r="AT32" i="19" s="1"/>
  <c r="AV14" i="23"/>
  <c r="AU12" i="19"/>
  <c r="AU17" i="23"/>
  <c r="AU22" i="23" s="1"/>
  <c r="BD37" i="17"/>
  <c r="BD21" i="19" s="1"/>
  <c r="BC9" i="19"/>
  <c r="BC9" i="20" s="1"/>
  <c r="BC16" i="17"/>
  <c r="BC39" i="17" s="1"/>
  <c r="BE13" i="10"/>
  <c r="BF7" i="10"/>
  <c r="BD40" i="11"/>
  <c r="BD7" i="17" s="1"/>
  <c r="BD13" i="17" s="1"/>
  <c r="BD55" i="11"/>
  <c r="BD14" i="10" s="1"/>
  <c r="BD15" i="10" s="1"/>
  <c r="BD16" i="10" s="1"/>
  <c r="BD15" i="17" s="1"/>
  <c r="BE30" i="17"/>
  <c r="BE18" i="10"/>
  <c r="A64" i="37"/>
  <c r="B65" i="37"/>
  <c r="AY19" i="19"/>
  <c r="AY16" i="17"/>
  <c r="BE32" i="17"/>
  <c r="BF35" i="10"/>
  <c r="BF34" i="17" s="1"/>
  <c r="BF34" i="10"/>
  <c r="BF33" i="17" s="1"/>
  <c r="BF20" i="10"/>
  <c r="BG9" i="10"/>
  <c r="BF21" i="10"/>
  <c r="BF20" i="17" s="1"/>
  <c r="BF24" i="10"/>
  <c r="BF23" i="17" s="1"/>
  <c r="BF36" i="10"/>
  <c r="BF28" i="10"/>
  <c r="BF27" i="10"/>
  <c r="BF26" i="17" s="1"/>
  <c r="BF30" i="10"/>
  <c r="BF29" i="17" s="1"/>
  <c r="BF22" i="10"/>
  <c r="BF21" i="17" s="1"/>
  <c r="BF25" i="10"/>
  <c r="BF24" i="17" s="1"/>
  <c r="BF29" i="10"/>
  <c r="BF31" i="10"/>
  <c r="BF30" i="17" s="1"/>
  <c r="BF33" i="10"/>
  <c r="BF32" i="17" s="1"/>
  <c r="BF32" i="10"/>
  <c r="BF31" i="17" s="1"/>
  <c r="BF23" i="10"/>
  <c r="BF22" i="17" s="1"/>
  <c r="IF7" i="16"/>
  <c r="IE8" i="16"/>
  <c r="BB15" i="10"/>
  <c r="BB16" i="10" s="1"/>
  <c r="BB15" i="17" s="1"/>
  <c r="BE22" i="17"/>
  <c r="BE25" i="11"/>
  <c r="BE42" i="11" s="1"/>
  <c r="BE29" i="11"/>
  <c r="BE46" i="11" s="1"/>
  <c r="BE33" i="11"/>
  <c r="BE50" i="11" s="1"/>
  <c r="BE8" i="17" s="1"/>
  <c r="BE37" i="11"/>
  <c r="BE54" i="11" s="1"/>
  <c r="BE12" i="17" s="1"/>
  <c r="BE28" i="11"/>
  <c r="BE45" i="11" s="1"/>
  <c r="BE34" i="11"/>
  <c r="BE51" i="11" s="1"/>
  <c r="BE9" i="17" s="1"/>
  <c r="BE24" i="11"/>
  <c r="BE41" i="11" s="1"/>
  <c r="BE30" i="11"/>
  <c r="BE47" i="11" s="1"/>
  <c r="BE35" i="11"/>
  <c r="BE52" i="11" s="1"/>
  <c r="BE10" i="17" s="1"/>
  <c r="BE26" i="11"/>
  <c r="BE43" i="11" s="1"/>
  <c r="BE31" i="11"/>
  <c r="BE48" i="11" s="1"/>
  <c r="BE36" i="11"/>
  <c r="BE53" i="11" s="1"/>
  <c r="BE11" i="17" s="1"/>
  <c r="BE27" i="11"/>
  <c r="BE44" i="11" s="1"/>
  <c r="BE32" i="11"/>
  <c r="BE49" i="11" s="1"/>
  <c r="BF20" i="11"/>
  <c r="F81" i="30"/>
  <c r="F8" i="35" s="1"/>
  <c r="F75" i="30"/>
  <c r="BE29" i="17"/>
  <c r="BE23" i="17"/>
  <c r="AU18" i="23" l="1"/>
  <c r="AU32" i="19" s="1"/>
  <c r="AV12" i="19"/>
  <c r="AV17" i="23"/>
  <c r="AV22" i="23" s="1"/>
  <c r="AW14" i="23"/>
  <c r="BD19" i="19"/>
  <c r="BC17" i="17"/>
  <c r="BE40" i="11"/>
  <c r="BE7" i="17" s="1"/>
  <c r="BE13" i="17" s="1"/>
  <c r="BE55" i="11"/>
  <c r="BF28" i="17"/>
  <c r="IG7" i="16"/>
  <c r="IF8" i="16"/>
  <c r="AY39" i="17"/>
  <c r="AY17" i="17"/>
  <c r="BF27" i="11"/>
  <c r="BF44" i="11" s="1"/>
  <c r="BF31" i="11"/>
  <c r="BF48" i="11" s="1"/>
  <c r="BF35" i="11"/>
  <c r="BF52" i="11" s="1"/>
  <c r="BF10" i="17" s="1"/>
  <c r="BF25" i="11"/>
  <c r="BF42" i="11" s="1"/>
  <c r="BF30" i="11"/>
  <c r="BF47" i="11" s="1"/>
  <c r="BF36" i="11"/>
  <c r="BF53" i="11" s="1"/>
  <c r="BF11" i="17" s="1"/>
  <c r="BF26" i="11"/>
  <c r="BF43" i="11" s="1"/>
  <c r="BF32" i="11"/>
  <c r="BF49" i="11" s="1"/>
  <c r="BF37" i="11"/>
  <c r="BF54" i="11" s="1"/>
  <c r="BF12" i="17" s="1"/>
  <c r="BF28" i="11"/>
  <c r="BF45" i="11" s="1"/>
  <c r="BF33" i="11"/>
  <c r="BF50" i="11" s="1"/>
  <c r="BF8" i="17" s="1"/>
  <c r="BF29" i="11"/>
  <c r="BF46" i="11" s="1"/>
  <c r="BF34" i="11"/>
  <c r="BF51" i="11" s="1"/>
  <c r="BF9" i="17" s="1"/>
  <c r="BF24" i="11"/>
  <c r="BF41" i="11" s="1"/>
  <c r="BG20" i="11"/>
  <c r="BF27" i="17"/>
  <c r="BG34" i="10"/>
  <c r="BG33" i="17" s="1"/>
  <c r="BG35" i="10"/>
  <c r="BG34" i="17" s="1"/>
  <c r="BH9" i="10"/>
  <c r="BG22" i="10"/>
  <c r="BG21" i="17" s="1"/>
  <c r="BG25" i="10"/>
  <c r="BG24" i="17" s="1"/>
  <c r="BG20" i="10"/>
  <c r="BG29" i="10"/>
  <c r="BG28" i="17" s="1"/>
  <c r="BG31" i="10"/>
  <c r="BG30" i="17" s="1"/>
  <c r="BG21" i="10"/>
  <c r="BG20" i="17" s="1"/>
  <c r="BG24" i="10"/>
  <c r="BG23" i="17" s="1"/>
  <c r="BG36" i="10"/>
  <c r="BG35" i="17" s="1"/>
  <c r="BG30" i="10"/>
  <c r="BG29" i="17" s="1"/>
  <c r="BG28" i="10"/>
  <c r="BG27" i="17" s="1"/>
  <c r="BG27" i="10"/>
  <c r="BG26" i="17" s="1"/>
  <c r="BG33" i="10"/>
  <c r="BG32" i="17" s="1"/>
  <c r="BG32" i="10"/>
  <c r="BG31" i="17" s="1"/>
  <c r="BG23" i="10"/>
  <c r="BG22" i="17" s="1"/>
  <c r="B66" i="37"/>
  <c r="A65" i="37"/>
  <c r="BD9" i="19"/>
  <c r="BD9" i="20" s="1"/>
  <c r="BD16" i="17"/>
  <c r="BD39" i="17" s="1"/>
  <c r="BB16" i="17"/>
  <c r="BB19" i="19"/>
  <c r="BE37" i="17"/>
  <c r="BE21" i="19" s="1"/>
  <c r="BF35" i="17"/>
  <c r="BF18" i="10"/>
  <c r="BF13" i="10"/>
  <c r="BG7" i="10"/>
  <c r="AV18" i="23" l="1"/>
  <c r="AV32" i="19" s="1"/>
  <c r="AW12" i="19"/>
  <c r="AX14" i="23"/>
  <c r="AW17" i="23"/>
  <c r="AW22" i="23" s="1"/>
  <c r="BF37" i="17"/>
  <c r="BF21" i="19" s="1"/>
  <c r="BG18" i="10"/>
  <c r="BE9" i="19"/>
  <c r="BE9" i="20" s="1"/>
  <c r="BG37" i="17"/>
  <c r="BG21" i="19" s="1"/>
  <c r="BG25" i="11"/>
  <c r="BG42" i="11" s="1"/>
  <c r="BG29" i="11"/>
  <c r="BG46" i="11" s="1"/>
  <c r="BG33" i="11"/>
  <c r="BG50" i="11" s="1"/>
  <c r="BG8" i="17" s="1"/>
  <c r="BG37" i="11"/>
  <c r="BG54" i="11" s="1"/>
  <c r="BG12" i="17" s="1"/>
  <c r="BG27" i="11"/>
  <c r="BG44" i="11" s="1"/>
  <c r="BG32" i="11"/>
  <c r="BG49" i="11" s="1"/>
  <c r="BG28" i="11"/>
  <c r="BG45" i="11" s="1"/>
  <c r="BG34" i="11"/>
  <c r="BG51" i="11" s="1"/>
  <c r="BG9" i="17" s="1"/>
  <c r="BG24" i="11"/>
  <c r="BG41" i="11" s="1"/>
  <c r="BG30" i="11"/>
  <c r="BG47" i="11" s="1"/>
  <c r="BG35" i="11"/>
  <c r="BG52" i="11" s="1"/>
  <c r="BG10" i="17" s="1"/>
  <c r="BG36" i="11"/>
  <c r="BG53" i="11" s="1"/>
  <c r="BG11" i="17" s="1"/>
  <c r="BG26" i="11"/>
  <c r="BG43" i="11" s="1"/>
  <c r="BG31" i="11"/>
  <c r="BG48" i="11" s="1"/>
  <c r="BH20" i="11"/>
  <c r="BG13" i="10"/>
  <c r="BH7" i="10"/>
  <c r="BB39" i="17"/>
  <c r="BB17" i="17"/>
  <c r="BF40" i="11"/>
  <c r="BF7" i="17" s="1"/>
  <c r="BF13" i="17" s="1"/>
  <c r="BF55" i="11"/>
  <c r="BF14" i="10" s="1"/>
  <c r="BD17" i="17"/>
  <c r="A66" i="37"/>
  <c r="B67" i="37"/>
  <c r="BH34" i="10"/>
  <c r="BH33" i="17" s="1"/>
  <c r="BH35" i="10"/>
  <c r="BH34" i="17" s="1"/>
  <c r="BH20" i="10"/>
  <c r="BI9" i="10"/>
  <c r="BH29" i="10"/>
  <c r="BH28" i="17" s="1"/>
  <c r="BH31" i="10"/>
  <c r="BH30" i="17" s="1"/>
  <c r="BH36" i="10"/>
  <c r="BH35" i="17" s="1"/>
  <c r="BH21" i="10"/>
  <c r="BH20" i="17" s="1"/>
  <c r="BH24" i="10"/>
  <c r="BH23" i="17" s="1"/>
  <c r="BH28" i="10"/>
  <c r="BH27" i="17" s="1"/>
  <c r="BH27" i="10"/>
  <c r="BH26" i="17" s="1"/>
  <c r="BH30" i="10"/>
  <c r="BH29" i="17" s="1"/>
  <c r="BH25" i="10"/>
  <c r="BH24" i="17" s="1"/>
  <c r="BH22" i="10"/>
  <c r="BH21" i="17" s="1"/>
  <c r="BH33" i="10"/>
  <c r="BH32" i="17" s="1"/>
  <c r="BH32" i="10"/>
  <c r="BH31" i="17" s="1"/>
  <c r="BH23" i="10"/>
  <c r="BH22" i="17" s="1"/>
  <c r="IH7" i="16"/>
  <c r="IH8" i="16" s="1"/>
  <c r="IG8" i="16"/>
  <c r="BE14" i="10"/>
  <c r="AW18" i="23" l="1"/>
  <c r="AW32" i="19" s="1"/>
  <c r="AX12" i="19"/>
  <c r="AY14" i="23"/>
  <c r="AX17" i="23"/>
  <c r="AX22" i="23" s="1"/>
  <c r="BF9" i="19"/>
  <c r="BF9" i="20" s="1"/>
  <c r="BI34" i="10"/>
  <c r="BI33" i="17" s="1"/>
  <c r="BI35" i="10"/>
  <c r="BI34" i="17" s="1"/>
  <c r="BJ9" i="10"/>
  <c r="BI20" i="10"/>
  <c r="BI28" i="10"/>
  <c r="BI27" i="17" s="1"/>
  <c r="BI27" i="10"/>
  <c r="BI26" i="17" s="1"/>
  <c r="BI30" i="10"/>
  <c r="BI29" i="17" s="1"/>
  <c r="BI22" i="10"/>
  <c r="BI21" i="17" s="1"/>
  <c r="BI25" i="10"/>
  <c r="BI24" i="17" s="1"/>
  <c r="BI29" i="10"/>
  <c r="BI28" i="17" s="1"/>
  <c r="BI31" i="10"/>
  <c r="BI30" i="17" s="1"/>
  <c r="BI24" i="10"/>
  <c r="BI23" i="17" s="1"/>
  <c r="BI36" i="10"/>
  <c r="BI35" i="17" s="1"/>
  <c r="BI21" i="10"/>
  <c r="BI20" i="17" s="1"/>
  <c r="BI33" i="10"/>
  <c r="BI32" i="17" s="1"/>
  <c r="BI32" i="10"/>
  <c r="BI31" i="17" s="1"/>
  <c r="BI23" i="10"/>
  <c r="BI22" i="17" s="1"/>
  <c r="BH27" i="11"/>
  <c r="BH44" i="11" s="1"/>
  <c r="BH31" i="11"/>
  <c r="BH48" i="11" s="1"/>
  <c r="BH35" i="11"/>
  <c r="BH52" i="11" s="1"/>
  <c r="BH10" i="17" s="1"/>
  <c r="BH24" i="11"/>
  <c r="BH41" i="11" s="1"/>
  <c r="BH29" i="11"/>
  <c r="BH46" i="11" s="1"/>
  <c r="BH34" i="11"/>
  <c r="BH51" i="11" s="1"/>
  <c r="BH9" i="17" s="1"/>
  <c r="BH25" i="11"/>
  <c r="BH42" i="11" s="1"/>
  <c r="BH30" i="11"/>
  <c r="BH47" i="11" s="1"/>
  <c r="BH36" i="11"/>
  <c r="BH53" i="11" s="1"/>
  <c r="BH11" i="17" s="1"/>
  <c r="BH26" i="11"/>
  <c r="BH43" i="11" s="1"/>
  <c r="BH32" i="11"/>
  <c r="BH49" i="11" s="1"/>
  <c r="BH37" i="11"/>
  <c r="BH54" i="11" s="1"/>
  <c r="BH12" i="17" s="1"/>
  <c r="BH28" i="11"/>
  <c r="BH45" i="11" s="1"/>
  <c r="BH33" i="11"/>
  <c r="BH50" i="11" s="1"/>
  <c r="BH8" i="17" s="1"/>
  <c r="BI20" i="11"/>
  <c r="B68" i="37"/>
  <c r="A67" i="37"/>
  <c r="BH18" i="10"/>
  <c r="BG40" i="11"/>
  <c r="BG7" i="17" s="1"/>
  <c r="BG13" i="17" s="1"/>
  <c r="BE15" i="10"/>
  <c r="BH37" i="17"/>
  <c r="BH21" i="19" s="1"/>
  <c r="BF15" i="10"/>
  <c r="BF16" i="10" s="1"/>
  <c r="BF15" i="17" s="1"/>
  <c r="BH13" i="10"/>
  <c r="BI7" i="10"/>
  <c r="BG55" i="11"/>
  <c r="BG14" i="10" s="1"/>
  <c r="BG15" i="10" s="1"/>
  <c r="BG16" i="10" s="1"/>
  <c r="BG15" i="17" s="1"/>
  <c r="BG19" i="19" s="1"/>
  <c r="AX18" i="23" l="1"/>
  <c r="AX32" i="19" s="1"/>
  <c r="AY17" i="23"/>
  <c r="AY22" i="23" s="1"/>
  <c r="AY12" i="19"/>
  <c r="AZ14" i="23"/>
  <c r="BF16" i="17"/>
  <c r="BF19" i="19"/>
  <c r="BE16" i="10"/>
  <c r="BE15" i="17" s="1"/>
  <c r="BG9" i="19"/>
  <c r="BG9" i="20" s="1"/>
  <c r="BG16" i="17"/>
  <c r="BG39" i="17" s="1"/>
  <c r="BJ34" i="10"/>
  <c r="BJ35" i="10"/>
  <c r="BK9" i="10"/>
  <c r="BJ20" i="10"/>
  <c r="BJ29" i="10"/>
  <c r="BJ31" i="10"/>
  <c r="BJ21" i="10"/>
  <c r="BJ24" i="10"/>
  <c r="BJ36" i="10"/>
  <c r="BJ28" i="10"/>
  <c r="BJ27" i="10"/>
  <c r="BJ30" i="10"/>
  <c r="BJ25" i="10"/>
  <c r="BJ22" i="10"/>
  <c r="BJ33" i="10"/>
  <c r="BJ32" i="10"/>
  <c r="BJ23" i="10"/>
  <c r="BI13" i="10"/>
  <c r="BJ7" i="10"/>
  <c r="A68" i="37"/>
  <c r="B69" i="37"/>
  <c r="BH40" i="11"/>
  <c r="BH7" i="17" s="1"/>
  <c r="BH13" i="17" s="1"/>
  <c r="BH55" i="11"/>
  <c r="BH14" i="10" s="1"/>
  <c r="BH15" i="10" s="1"/>
  <c r="BH16" i="10" s="1"/>
  <c r="BH15" i="17" s="1"/>
  <c r="BH19" i="19" s="1"/>
  <c r="BI37" i="17"/>
  <c r="BI21" i="19" s="1"/>
  <c r="BI25" i="11"/>
  <c r="BI42" i="11" s="1"/>
  <c r="BI29" i="11"/>
  <c r="BI46" i="11" s="1"/>
  <c r="BI33" i="11"/>
  <c r="BI50" i="11" s="1"/>
  <c r="BI8" i="17" s="1"/>
  <c r="BI37" i="11"/>
  <c r="BI54" i="11" s="1"/>
  <c r="BI12" i="17" s="1"/>
  <c r="BI26" i="11"/>
  <c r="BI43" i="11" s="1"/>
  <c r="BI31" i="11"/>
  <c r="BI48" i="11" s="1"/>
  <c r="BI36" i="11"/>
  <c r="BI53" i="11" s="1"/>
  <c r="BI11" i="17" s="1"/>
  <c r="BI27" i="11"/>
  <c r="BI44" i="11" s="1"/>
  <c r="BI32" i="11"/>
  <c r="BI49" i="11" s="1"/>
  <c r="BI28" i="11"/>
  <c r="BI45" i="11" s="1"/>
  <c r="BI34" i="11"/>
  <c r="BI51" i="11" s="1"/>
  <c r="BI9" i="17" s="1"/>
  <c r="BI30" i="11"/>
  <c r="BI47" i="11" s="1"/>
  <c r="BI35" i="11"/>
  <c r="BI52" i="11" s="1"/>
  <c r="BI10" i="17" s="1"/>
  <c r="BI24" i="11"/>
  <c r="BI41" i="11" s="1"/>
  <c r="BJ20" i="11"/>
  <c r="BI18" i="10"/>
  <c r="AY18" i="23" l="1"/>
  <c r="AY32" i="19" s="1"/>
  <c r="BA14" i="23"/>
  <c r="AZ17" i="23"/>
  <c r="AZ22" i="23" s="1"/>
  <c r="AZ12" i="19"/>
  <c r="BG17" i="17"/>
  <c r="BH9" i="19"/>
  <c r="BH9" i="20" s="1"/>
  <c r="BH16" i="17"/>
  <c r="BH39" i="17" s="1"/>
  <c r="B70" i="37"/>
  <c r="A69" i="37"/>
  <c r="BJ27" i="11"/>
  <c r="BJ44" i="11" s="1"/>
  <c r="BJ31" i="11"/>
  <c r="BJ48" i="11" s="1"/>
  <c r="BJ35" i="11"/>
  <c r="BJ52" i="11" s="1"/>
  <c r="BJ10" i="17" s="1"/>
  <c r="BJ28" i="11"/>
  <c r="BJ45" i="11" s="1"/>
  <c r="BJ33" i="11"/>
  <c r="BJ50" i="11" s="1"/>
  <c r="BJ8" i="17" s="1"/>
  <c r="BJ24" i="11"/>
  <c r="BJ41" i="11" s="1"/>
  <c r="BJ29" i="11"/>
  <c r="BJ46" i="11" s="1"/>
  <c r="BJ34" i="11"/>
  <c r="BJ51" i="11" s="1"/>
  <c r="BJ9" i="17" s="1"/>
  <c r="BJ25" i="11"/>
  <c r="BJ42" i="11" s="1"/>
  <c r="BJ30" i="11"/>
  <c r="BJ47" i="11" s="1"/>
  <c r="BJ36" i="11"/>
  <c r="BJ53" i="11" s="1"/>
  <c r="BJ11" i="17" s="1"/>
  <c r="BJ37" i="11"/>
  <c r="BJ54" i="11" s="1"/>
  <c r="BJ12" i="17" s="1"/>
  <c r="BJ26" i="11"/>
  <c r="BJ43" i="11" s="1"/>
  <c r="BJ32" i="11"/>
  <c r="BJ49" i="11" s="1"/>
  <c r="BK20" i="11"/>
  <c r="BJ31" i="17"/>
  <c r="I32" i="32"/>
  <c r="BJ29" i="17"/>
  <c r="I30" i="32"/>
  <c r="BJ23" i="17"/>
  <c r="I24" i="32"/>
  <c r="BJ18" i="10"/>
  <c r="AY38" i="10" s="1"/>
  <c r="I20" i="32"/>
  <c r="BJ22" i="17"/>
  <c r="I23" i="32"/>
  <c r="BJ24" i="17"/>
  <c r="I25" i="32"/>
  <c r="BJ35" i="17"/>
  <c r="I36" i="32"/>
  <c r="BJ28" i="17"/>
  <c r="I29" i="32"/>
  <c r="BJ33" i="17"/>
  <c r="I34" i="32"/>
  <c r="BF39" i="17"/>
  <c r="BF17" i="17"/>
  <c r="BI40" i="11"/>
  <c r="BI7" i="17" s="1"/>
  <c r="BI13" i="17" s="1"/>
  <c r="BI55" i="11"/>
  <c r="BI14" i="10" s="1"/>
  <c r="BJ13" i="10"/>
  <c r="I13" i="32" s="1"/>
  <c r="F2" i="43" s="1"/>
  <c r="BK7" i="10"/>
  <c r="BJ32" i="17"/>
  <c r="I33" i="32"/>
  <c r="BJ26" i="17"/>
  <c r="I27" i="32"/>
  <c r="BJ20" i="17"/>
  <c r="I21" i="32"/>
  <c r="F9" i="43" s="1"/>
  <c r="BK34" i="10"/>
  <c r="BK35" i="10"/>
  <c r="BL9" i="10"/>
  <c r="BK20" i="10"/>
  <c r="BK21" i="10"/>
  <c r="BK24" i="10"/>
  <c r="BK28" i="10"/>
  <c r="BK27" i="10"/>
  <c r="BK30" i="10"/>
  <c r="BK22" i="10"/>
  <c r="BK25" i="10"/>
  <c r="BK29" i="10"/>
  <c r="BK31" i="10"/>
  <c r="BK36" i="10"/>
  <c r="BK33" i="10"/>
  <c r="BK32" i="10"/>
  <c r="BK23" i="10"/>
  <c r="BE19" i="19"/>
  <c r="BE16" i="17"/>
  <c r="BJ21" i="17"/>
  <c r="I22" i="32"/>
  <c r="BJ27" i="17"/>
  <c r="I28" i="32"/>
  <c r="BJ30" i="17"/>
  <c r="I31" i="32"/>
  <c r="BJ34" i="17"/>
  <c r="I35" i="32"/>
  <c r="I38" i="32" l="1"/>
  <c r="G13" i="30"/>
  <c r="F8" i="43"/>
  <c r="G24" i="30"/>
  <c r="F19" i="43"/>
  <c r="G17" i="30"/>
  <c r="F12" i="43"/>
  <c r="G20" i="30"/>
  <c r="F15" i="43"/>
  <c r="G18" i="30"/>
  <c r="F13" i="43"/>
  <c r="G23" i="30"/>
  <c r="F18" i="43"/>
  <c r="G27" i="30"/>
  <c r="F22" i="43"/>
  <c r="G22" i="30"/>
  <c r="F17" i="43"/>
  <c r="G29" i="30"/>
  <c r="F24" i="43"/>
  <c r="G21" i="30"/>
  <c r="F16" i="43"/>
  <c r="G15" i="30"/>
  <c r="F10" i="43"/>
  <c r="G26" i="30"/>
  <c r="F21" i="43"/>
  <c r="G16" i="30"/>
  <c r="F11" i="43"/>
  <c r="G25" i="30"/>
  <c r="F20" i="43"/>
  <c r="G28" i="30"/>
  <c r="F23" i="43"/>
  <c r="AZ18" i="23"/>
  <c r="AZ32" i="19" s="1"/>
  <c r="BA17" i="23"/>
  <c r="BA22" i="23" s="1"/>
  <c r="BB14" i="23"/>
  <c r="BA12" i="19"/>
  <c r="BI9" i="19"/>
  <c r="BI9" i="20" s="1"/>
  <c r="BK35" i="17"/>
  <c r="BK24" i="11"/>
  <c r="BK25" i="11"/>
  <c r="BK29" i="11"/>
  <c r="BK32" i="11"/>
  <c r="BK31" i="11"/>
  <c r="BK35" i="11"/>
  <c r="H19" i="38"/>
  <c r="BK26" i="11"/>
  <c r="BK28" i="11"/>
  <c r="BK33" i="11"/>
  <c r="BK34" i="11"/>
  <c r="BK27" i="11"/>
  <c r="BK30" i="11"/>
  <c r="BK36" i="11"/>
  <c r="BK37" i="11"/>
  <c r="BL20" i="11"/>
  <c r="A70" i="37"/>
  <c r="B71" i="37"/>
  <c r="BK23" i="17"/>
  <c r="BK13" i="10"/>
  <c r="BL7" i="10"/>
  <c r="BK22" i="17"/>
  <c r="BK30" i="17"/>
  <c r="BK29" i="17"/>
  <c r="BK20" i="17"/>
  <c r="BK33" i="17"/>
  <c r="G7" i="30"/>
  <c r="BK31" i="17"/>
  <c r="BK28" i="17"/>
  <c r="BK26" i="17"/>
  <c r="BK18" i="10"/>
  <c r="G14" i="30"/>
  <c r="BI15" i="10"/>
  <c r="BI16" i="10" s="1"/>
  <c r="BI15" i="17" s="1"/>
  <c r="BJ40" i="11"/>
  <c r="BJ7" i="17" s="1"/>
  <c r="BJ13" i="17" s="1"/>
  <c r="BJ55" i="11"/>
  <c r="BH17" i="17"/>
  <c r="BK21" i="17"/>
  <c r="BK34" i="17"/>
  <c r="BE39" i="17"/>
  <c r="BE17" i="17"/>
  <c r="BK32" i="17"/>
  <c r="BK24" i="17"/>
  <c r="BK27" i="17"/>
  <c r="BL34" i="10"/>
  <c r="BL33" i="17" s="1"/>
  <c r="BL35" i="10"/>
  <c r="BL34" i="17" s="1"/>
  <c r="BL20" i="10"/>
  <c r="BM9" i="10"/>
  <c r="BL22" i="10"/>
  <c r="BL21" i="17" s="1"/>
  <c r="BL25" i="10"/>
  <c r="BL24" i="17" s="1"/>
  <c r="BL29" i="10"/>
  <c r="BL28" i="17" s="1"/>
  <c r="BL31" i="10"/>
  <c r="BL30" i="17" s="1"/>
  <c r="BL21" i="10"/>
  <c r="BL20" i="17" s="1"/>
  <c r="BL24" i="10"/>
  <c r="BL23" i="17" s="1"/>
  <c r="BL36" i="10"/>
  <c r="BL35" i="17" s="1"/>
  <c r="BL30" i="10"/>
  <c r="BL29" i="17" s="1"/>
  <c r="BL27" i="10"/>
  <c r="BL26" i="17" s="1"/>
  <c r="BL28" i="10"/>
  <c r="BL27" i="17" s="1"/>
  <c r="BL33" i="10"/>
  <c r="BL32" i="17" s="1"/>
  <c r="BL32" i="10"/>
  <c r="BL31" i="17" s="1"/>
  <c r="BL23" i="10"/>
  <c r="BL22" i="17" s="1"/>
  <c r="BJ37" i="17"/>
  <c r="BJ21" i="19" s="1"/>
  <c r="F26" i="43" l="1"/>
  <c r="G31" i="30"/>
  <c r="G67" i="30" s="1"/>
  <c r="F9" i="34" s="1"/>
  <c r="BB17" i="23"/>
  <c r="BB22" i="23" s="1"/>
  <c r="BB12" i="19"/>
  <c r="BC14" i="23"/>
  <c r="BA18" i="23"/>
  <c r="BA32" i="19" s="1"/>
  <c r="BL18" i="10"/>
  <c r="BJ14" i="10"/>
  <c r="AY56" i="11"/>
  <c r="BL13" i="10"/>
  <c r="BM7" i="10"/>
  <c r="B72" i="37"/>
  <c r="A71" i="37"/>
  <c r="H35" i="38"/>
  <c r="H53" i="38" s="1"/>
  <c r="BK53" i="11"/>
  <c r="BK11" i="17" s="1"/>
  <c r="H32" i="38"/>
  <c r="H50" i="38" s="1"/>
  <c r="BK50" i="11"/>
  <c r="BK8" i="17" s="1"/>
  <c r="H34" i="38"/>
  <c r="H52" i="38" s="1"/>
  <c r="BK52" i="11"/>
  <c r="BK10" i="17" s="1"/>
  <c r="H24" i="38"/>
  <c r="H42" i="38" s="1"/>
  <c r="BK42" i="11"/>
  <c r="BM34" i="10"/>
  <c r="BM33" i="17" s="1"/>
  <c r="BM35" i="10"/>
  <c r="BN9" i="10"/>
  <c r="BM20" i="10"/>
  <c r="BM21" i="10"/>
  <c r="BM20" i="17" s="1"/>
  <c r="BM24" i="10"/>
  <c r="BM36" i="10"/>
  <c r="BM35" i="17" s="1"/>
  <c r="BM28" i="10"/>
  <c r="BM27" i="10"/>
  <c r="BM26" i="17" s="1"/>
  <c r="BM30" i="10"/>
  <c r="BM29" i="17" s="1"/>
  <c r="BM22" i="10"/>
  <c r="BM21" i="17" s="1"/>
  <c r="BM25" i="10"/>
  <c r="BM29" i="10"/>
  <c r="BM31" i="10"/>
  <c r="BM30" i="17" s="1"/>
  <c r="BM33" i="10"/>
  <c r="BM32" i="10"/>
  <c r="BM31" i="17" s="1"/>
  <c r="BM23" i="10"/>
  <c r="BM22" i="17" s="1"/>
  <c r="BI16" i="17"/>
  <c r="BI19" i="19"/>
  <c r="BK37" i="17"/>
  <c r="BK21" i="19" s="1"/>
  <c r="H36" i="38"/>
  <c r="H54" i="38" s="1"/>
  <c r="BK54" i="11"/>
  <c r="BK12" i="17" s="1"/>
  <c r="H33" i="38"/>
  <c r="H51" i="38" s="1"/>
  <c r="BK51" i="11"/>
  <c r="BK9" i="17" s="1"/>
  <c r="H28" i="38"/>
  <c r="H46" i="38" s="1"/>
  <c r="BK46" i="11"/>
  <c r="BJ9" i="19"/>
  <c r="BJ9" i="20" s="1"/>
  <c r="H29" i="38"/>
  <c r="H47" i="38" s="1"/>
  <c r="BK47" i="11"/>
  <c r="H27" i="38"/>
  <c r="H45" i="38" s="1"/>
  <c r="BK45" i="11"/>
  <c r="H30" i="38"/>
  <c r="H48" i="38" s="1"/>
  <c r="BK48" i="11"/>
  <c r="H23" i="38"/>
  <c r="H41" i="38" s="1"/>
  <c r="BK41" i="11"/>
  <c r="BL37" i="17"/>
  <c r="BL21" i="19" s="1"/>
  <c r="BL25" i="11"/>
  <c r="BL42" i="11" s="1"/>
  <c r="BL29" i="11"/>
  <c r="BL46" i="11" s="1"/>
  <c r="BL33" i="11"/>
  <c r="BL50" i="11" s="1"/>
  <c r="BL8" i="17" s="1"/>
  <c r="BL37" i="11"/>
  <c r="BL54" i="11" s="1"/>
  <c r="BL12" i="17" s="1"/>
  <c r="BL26" i="11"/>
  <c r="BL43" i="11" s="1"/>
  <c r="BL31" i="11"/>
  <c r="BL48" i="11" s="1"/>
  <c r="BL36" i="11"/>
  <c r="BL53" i="11" s="1"/>
  <c r="BL11" i="17" s="1"/>
  <c r="BL27" i="11"/>
  <c r="BL44" i="11" s="1"/>
  <c r="BL32" i="11"/>
  <c r="BL49" i="11" s="1"/>
  <c r="BL28" i="11"/>
  <c r="BL45" i="11" s="1"/>
  <c r="BL34" i="11"/>
  <c r="BL51" i="11" s="1"/>
  <c r="BL9" i="17" s="1"/>
  <c r="BL24" i="11"/>
  <c r="BL41" i="11" s="1"/>
  <c r="BL30" i="11"/>
  <c r="BL47" i="11" s="1"/>
  <c r="BL35" i="11"/>
  <c r="BL52" i="11" s="1"/>
  <c r="BL10" i="17" s="1"/>
  <c r="BM20" i="11"/>
  <c r="H26" i="38"/>
  <c r="H44" i="38" s="1"/>
  <c r="BK44" i="11"/>
  <c r="H25" i="38"/>
  <c r="H43" i="38" s="1"/>
  <c r="BK43" i="11"/>
  <c r="H31" i="38"/>
  <c r="H49" i="38" s="1"/>
  <c r="BK49" i="11"/>
  <c r="BB18" i="23" l="1"/>
  <c r="BB32" i="19" s="1"/>
  <c r="BD14" i="23"/>
  <c r="BC12" i="19"/>
  <c r="BC17" i="23"/>
  <c r="BC22" i="23" s="1"/>
  <c r="H55" i="38"/>
  <c r="BM27" i="11"/>
  <c r="BM44" i="11" s="1"/>
  <c r="BM31" i="11"/>
  <c r="BM48" i="11" s="1"/>
  <c r="BM35" i="11"/>
  <c r="BM52" i="11" s="1"/>
  <c r="BM10" i="17" s="1"/>
  <c r="BM28" i="11"/>
  <c r="BM45" i="11" s="1"/>
  <c r="BM33" i="11"/>
  <c r="BM50" i="11" s="1"/>
  <c r="BM8" i="17" s="1"/>
  <c r="BM24" i="11"/>
  <c r="BM41" i="11" s="1"/>
  <c r="BM29" i="11"/>
  <c r="BM46" i="11" s="1"/>
  <c r="BM34" i="11"/>
  <c r="BM51" i="11" s="1"/>
  <c r="BM9" i="17" s="1"/>
  <c r="BM25" i="11"/>
  <c r="BM42" i="11" s="1"/>
  <c r="BM30" i="11"/>
  <c r="BM47" i="11" s="1"/>
  <c r="BM36" i="11"/>
  <c r="BM53" i="11" s="1"/>
  <c r="BM11" i="17" s="1"/>
  <c r="BM32" i="11"/>
  <c r="BM49" i="11" s="1"/>
  <c r="BM37" i="11"/>
  <c r="BM54" i="11" s="1"/>
  <c r="BM12" i="17" s="1"/>
  <c r="BM26" i="11"/>
  <c r="BM43" i="11" s="1"/>
  <c r="BN20" i="11"/>
  <c r="A72" i="37"/>
  <c r="B73" i="37"/>
  <c r="BM28" i="17"/>
  <c r="BM13" i="10"/>
  <c r="BN7" i="10"/>
  <c r="I6" i="32"/>
  <c r="I7" i="32" s="1"/>
  <c r="BI39" i="17"/>
  <c r="BI17" i="17"/>
  <c r="BM23" i="17"/>
  <c r="BM34" i="17"/>
  <c r="BM24" i="17"/>
  <c r="BM27" i="17"/>
  <c r="BM18" i="10"/>
  <c r="BJ15" i="10"/>
  <c r="I14" i="32"/>
  <c r="F3" i="43" s="1"/>
  <c r="BL40" i="11"/>
  <c r="BL7" i="17" s="1"/>
  <c r="BL13" i="17" s="1"/>
  <c r="BL55" i="11"/>
  <c r="BL14" i="10" s="1"/>
  <c r="BL15" i="10" s="1"/>
  <c r="BK55" i="11"/>
  <c r="BK40" i="11"/>
  <c r="BK7" i="17" s="1"/>
  <c r="BK13" i="17" s="1"/>
  <c r="BM32" i="17"/>
  <c r="BN35" i="10"/>
  <c r="BN34" i="17" s="1"/>
  <c r="BN34" i="10"/>
  <c r="BN20" i="10"/>
  <c r="BO9" i="10"/>
  <c r="BN21" i="10"/>
  <c r="BN20" i="17" s="1"/>
  <c r="BN24" i="10"/>
  <c r="BN23" i="17" s="1"/>
  <c r="BN28" i="10"/>
  <c r="BN27" i="17" s="1"/>
  <c r="BN27" i="10"/>
  <c r="BN30" i="10"/>
  <c r="BN29" i="17" s="1"/>
  <c r="BN22" i="10"/>
  <c r="BN25" i="10"/>
  <c r="BN24" i="17" s="1"/>
  <c r="BN36" i="10"/>
  <c r="BN35" i="17" s="1"/>
  <c r="BN29" i="10"/>
  <c r="BN28" i="17" s="1"/>
  <c r="BN31" i="10"/>
  <c r="BN30" i="17" s="1"/>
  <c r="BN33" i="10"/>
  <c r="BN32" i="17" s="1"/>
  <c r="BN32" i="10"/>
  <c r="BN23" i="10"/>
  <c r="BC18" i="23" l="1"/>
  <c r="BC32" i="19" s="1"/>
  <c r="BE14" i="23"/>
  <c r="BD12" i="19"/>
  <c r="BD17" i="23"/>
  <c r="BD22" i="23" s="1"/>
  <c r="BM37" i="17"/>
  <c r="BM21" i="19" s="1"/>
  <c r="BL9" i="19"/>
  <c r="BK9" i="19"/>
  <c r="BK9" i="20" s="1"/>
  <c r="B74" i="37"/>
  <c r="A73" i="37"/>
  <c r="BN21" i="17"/>
  <c r="BN33" i="17"/>
  <c r="G8" i="30"/>
  <c r="G5" i="30"/>
  <c r="I9" i="32"/>
  <c r="G6" i="30" s="1"/>
  <c r="BN18" i="10"/>
  <c r="BM40" i="11"/>
  <c r="BM7" i="17" s="1"/>
  <c r="BM13" i="17" s="1"/>
  <c r="BN22" i="17"/>
  <c r="BK14" i="10"/>
  <c r="BJ16" i="10"/>
  <c r="BJ15" i="17" s="1"/>
  <c r="I15" i="32"/>
  <c r="BN13" i="10"/>
  <c r="BO7" i="10"/>
  <c r="BN25" i="11"/>
  <c r="BN42" i="11" s="1"/>
  <c r="BN29" i="11"/>
  <c r="BN46" i="11" s="1"/>
  <c r="BN33" i="11"/>
  <c r="BN50" i="11" s="1"/>
  <c r="BN8" i="17" s="1"/>
  <c r="BN37" i="11"/>
  <c r="BN54" i="11" s="1"/>
  <c r="BN12" i="17" s="1"/>
  <c r="BN24" i="11"/>
  <c r="BN41" i="11" s="1"/>
  <c r="BN30" i="11"/>
  <c r="BN47" i="11" s="1"/>
  <c r="BN35" i="11"/>
  <c r="BN52" i="11" s="1"/>
  <c r="BN10" i="17" s="1"/>
  <c r="BN26" i="11"/>
  <c r="BN43" i="11" s="1"/>
  <c r="BN31" i="11"/>
  <c r="BN48" i="11" s="1"/>
  <c r="BN36" i="11"/>
  <c r="BN53" i="11" s="1"/>
  <c r="BN11" i="17" s="1"/>
  <c r="BN27" i="11"/>
  <c r="BN44" i="11" s="1"/>
  <c r="BN32" i="11"/>
  <c r="BN49" i="11" s="1"/>
  <c r="BN28" i="11"/>
  <c r="BN45" i="11" s="1"/>
  <c r="BN34" i="11"/>
  <c r="BN51" i="11" s="1"/>
  <c r="BN9" i="17" s="1"/>
  <c r="BO20" i="11"/>
  <c r="BN31" i="17"/>
  <c r="BN26" i="17"/>
  <c r="BO34" i="10"/>
  <c r="BO33" i="17" s="1"/>
  <c r="BO31" i="10"/>
  <c r="BP9" i="10"/>
  <c r="BO20" i="10"/>
  <c r="BO22" i="10"/>
  <c r="BO21" i="17" s="1"/>
  <c r="BO25" i="10"/>
  <c r="BO24" i="17" s="1"/>
  <c r="BO35" i="10"/>
  <c r="BO29" i="10"/>
  <c r="BO21" i="10"/>
  <c r="BO24" i="10"/>
  <c r="BO23" i="17" s="1"/>
  <c r="BO36" i="10"/>
  <c r="BO28" i="10"/>
  <c r="BO27" i="17" s="1"/>
  <c r="BO27" i="10"/>
  <c r="BO26" i="17" s="1"/>
  <c r="BO30" i="10"/>
  <c r="BO33" i="10"/>
  <c r="BO32" i="17" s="1"/>
  <c r="BO32" i="10"/>
  <c r="BO31" i="17" s="1"/>
  <c r="BO23" i="10"/>
  <c r="BO22" i="17" s="1"/>
  <c r="BL16" i="10"/>
  <c r="BL15" i="17" s="1"/>
  <c r="BL19" i="19" s="1"/>
  <c r="BM55" i="11"/>
  <c r="BM14" i="10" s="1"/>
  <c r="BM15" i="10" s="1"/>
  <c r="BM16" i="10" s="1"/>
  <c r="BM15" i="17" s="1"/>
  <c r="BD18" i="23" l="1"/>
  <c r="BD32" i="19" s="1"/>
  <c r="G9" i="30"/>
  <c r="F4" i="43"/>
  <c r="BE17" i="23"/>
  <c r="BE22" i="23" s="1"/>
  <c r="BF14" i="23"/>
  <c r="BE12" i="19"/>
  <c r="BL9" i="20"/>
  <c r="BM19" i="19"/>
  <c r="BO29" i="17"/>
  <c r="BO30" i="17"/>
  <c r="G64" i="30"/>
  <c r="G49" i="30"/>
  <c r="G52" i="30"/>
  <c r="G42" i="30"/>
  <c r="G53" i="30"/>
  <c r="G43" i="30"/>
  <c r="G44" i="30"/>
  <c r="G45" i="30"/>
  <c r="G46" i="30"/>
  <c r="G57" i="30"/>
  <c r="G60" i="30"/>
  <c r="G50" i="30"/>
  <c r="G40" i="30"/>
  <c r="G51" i="30"/>
  <c r="G47" i="30"/>
  <c r="G48" i="30"/>
  <c r="G59" i="30"/>
  <c r="G54" i="30"/>
  <c r="G58" i="30"/>
  <c r="G66" i="30"/>
  <c r="F8" i="34" s="1"/>
  <c r="G41" i="30"/>
  <c r="G55" i="30"/>
  <c r="G56" i="30"/>
  <c r="G3" i="30"/>
  <c r="BO20" i="17"/>
  <c r="BO13" i="10"/>
  <c r="BP7" i="10"/>
  <c r="BN37" i="17"/>
  <c r="BN21" i="19" s="1"/>
  <c r="A74" i="37"/>
  <c r="B75" i="37"/>
  <c r="BJ19" i="19"/>
  <c r="BJ16" i="17"/>
  <c r="BO28" i="17"/>
  <c r="BO18" i="10"/>
  <c r="BO27" i="11"/>
  <c r="BO44" i="11" s="1"/>
  <c r="BO31" i="11"/>
  <c r="BO48" i="11" s="1"/>
  <c r="BO35" i="11"/>
  <c r="BO52" i="11" s="1"/>
  <c r="BO10" i="17" s="1"/>
  <c r="BO26" i="11"/>
  <c r="BO43" i="11" s="1"/>
  <c r="BO32" i="11"/>
  <c r="BO49" i="11" s="1"/>
  <c r="BO37" i="11"/>
  <c r="BO54" i="11" s="1"/>
  <c r="BO12" i="17" s="1"/>
  <c r="BO28" i="11"/>
  <c r="BO45" i="11" s="1"/>
  <c r="BO33" i="11"/>
  <c r="BO50" i="11" s="1"/>
  <c r="BO8" i="17" s="1"/>
  <c r="BO24" i="11"/>
  <c r="BO41" i="11" s="1"/>
  <c r="BO29" i="11"/>
  <c r="BO46" i="11" s="1"/>
  <c r="BO34" i="11"/>
  <c r="BO51" i="11" s="1"/>
  <c r="BO9" i="17" s="1"/>
  <c r="BO25" i="11"/>
  <c r="BO42" i="11" s="1"/>
  <c r="BO30" i="11"/>
  <c r="BO47" i="11" s="1"/>
  <c r="BO36" i="11"/>
  <c r="BO53" i="11" s="1"/>
  <c r="BO11" i="17" s="1"/>
  <c r="BP20" i="11"/>
  <c r="I16" i="32"/>
  <c r="BN40" i="11"/>
  <c r="BN7" i="17" s="1"/>
  <c r="BN13" i="17" s="1"/>
  <c r="BN55" i="11"/>
  <c r="BN14" i="10" s="1"/>
  <c r="BN15" i="10" s="1"/>
  <c r="BN16" i="10" s="1"/>
  <c r="BN15" i="17" s="1"/>
  <c r="BM9" i="19"/>
  <c r="BM9" i="20" s="1"/>
  <c r="BM16" i="17"/>
  <c r="BM39" i="17" s="1"/>
  <c r="BO35" i="17"/>
  <c r="BO34" i="17"/>
  <c r="BP31" i="10"/>
  <c r="BP30" i="17" s="1"/>
  <c r="BP34" i="10"/>
  <c r="BP20" i="10"/>
  <c r="BQ9" i="10"/>
  <c r="BP21" i="10"/>
  <c r="BP20" i="17" s="1"/>
  <c r="BP24" i="10"/>
  <c r="BP23" i="17" s="1"/>
  <c r="BP36" i="10"/>
  <c r="BP35" i="17" s="1"/>
  <c r="BP28" i="10"/>
  <c r="BP27" i="10"/>
  <c r="BP26" i="17" s="1"/>
  <c r="BP30" i="10"/>
  <c r="BP29" i="17" s="1"/>
  <c r="BP22" i="10"/>
  <c r="BP21" i="17" s="1"/>
  <c r="BP25" i="10"/>
  <c r="BP24" i="17" s="1"/>
  <c r="BP35" i="10"/>
  <c r="BP34" i="17" s="1"/>
  <c r="BP29" i="10"/>
  <c r="BP28" i="17" s="1"/>
  <c r="BP33" i="10"/>
  <c r="BP32" i="10"/>
  <c r="BP23" i="10"/>
  <c r="BK15" i="10"/>
  <c r="G10" i="30"/>
  <c r="G32" i="30" s="1"/>
  <c r="BL16" i="17"/>
  <c r="BE18" i="23" l="1"/>
  <c r="BE32" i="19" s="1"/>
  <c r="I17" i="32"/>
  <c r="F5" i="43"/>
  <c r="BF12" i="19"/>
  <c r="BG14" i="23"/>
  <c r="BF17" i="23"/>
  <c r="BF22" i="23" s="1"/>
  <c r="BO37" i="17"/>
  <c r="BO21" i="19" s="1"/>
  <c r="BM17" i="17"/>
  <c r="BN19" i="19"/>
  <c r="B76" i="37"/>
  <c r="A75" i="37"/>
  <c r="BL39" i="17"/>
  <c r="BL17" i="17"/>
  <c r="BJ39" i="17"/>
  <c r="BJ17" i="17"/>
  <c r="BP31" i="17"/>
  <c r="BP27" i="17"/>
  <c r="BQ31" i="10"/>
  <c r="BQ30" i="17" s="1"/>
  <c r="BQ34" i="10"/>
  <c r="BQ33" i="17" s="1"/>
  <c r="BR9" i="10"/>
  <c r="BQ20" i="10"/>
  <c r="BQ22" i="10"/>
  <c r="BQ21" i="17" s="1"/>
  <c r="BQ25" i="10"/>
  <c r="BQ24" i="17" s="1"/>
  <c r="BQ35" i="10"/>
  <c r="BQ34" i="17" s="1"/>
  <c r="BQ29" i="10"/>
  <c r="BQ21" i="10"/>
  <c r="BQ20" i="17" s="1"/>
  <c r="BQ24" i="10"/>
  <c r="BQ23" i="17" s="1"/>
  <c r="BQ36" i="10"/>
  <c r="BQ30" i="10"/>
  <c r="BQ29" i="17" s="1"/>
  <c r="BQ27" i="10"/>
  <c r="BQ26" i="17" s="1"/>
  <c r="BQ28" i="10"/>
  <c r="BQ27" i="17" s="1"/>
  <c r="BQ33" i="10"/>
  <c r="BQ32" i="17" s="1"/>
  <c r="BQ32" i="10"/>
  <c r="BQ31" i="17" s="1"/>
  <c r="BQ23" i="10"/>
  <c r="BQ22" i="17" s="1"/>
  <c r="BN9" i="19"/>
  <c r="BN9" i="20" s="1"/>
  <c r="BN16" i="17"/>
  <c r="BN39" i="17" s="1"/>
  <c r="BO40" i="11"/>
  <c r="BO7" i="17" s="1"/>
  <c r="BO13" i="17" s="1"/>
  <c r="BO55" i="11"/>
  <c r="BO14" i="10" s="1"/>
  <c r="BO15" i="10" s="1"/>
  <c r="BO16" i="10" s="1"/>
  <c r="BO15" i="17" s="1"/>
  <c r="BK16" i="10"/>
  <c r="BK15" i="17" s="1"/>
  <c r="BP32" i="17"/>
  <c r="BP18" i="10"/>
  <c r="G39" i="30"/>
  <c r="G68" i="30"/>
  <c r="F6" i="34"/>
  <c r="BP22" i="17"/>
  <c r="BP33" i="17"/>
  <c r="BP25" i="11"/>
  <c r="BP42" i="11" s="1"/>
  <c r="BP29" i="11"/>
  <c r="BP46" i="11" s="1"/>
  <c r="BP33" i="11"/>
  <c r="BP50" i="11" s="1"/>
  <c r="BP8" i="17" s="1"/>
  <c r="BP37" i="11"/>
  <c r="BP54" i="11" s="1"/>
  <c r="BP12" i="17" s="1"/>
  <c r="BP28" i="11"/>
  <c r="BP45" i="11" s="1"/>
  <c r="BP34" i="11"/>
  <c r="BP51" i="11" s="1"/>
  <c r="BP9" i="17" s="1"/>
  <c r="BP24" i="11"/>
  <c r="BP41" i="11" s="1"/>
  <c r="BP30" i="11"/>
  <c r="BP47" i="11" s="1"/>
  <c r="BP35" i="11"/>
  <c r="BP52" i="11" s="1"/>
  <c r="BP10" i="17" s="1"/>
  <c r="BP26" i="11"/>
  <c r="BP43" i="11" s="1"/>
  <c r="BP31" i="11"/>
  <c r="BP48" i="11" s="1"/>
  <c r="BP36" i="11"/>
  <c r="BP53" i="11" s="1"/>
  <c r="BP11" i="17" s="1"/>
  <c r="BP32" i="11"/>
  <c r="BP49" i="11" s="1"/>
  <c r="BP27" i="11"/>
  <c r="BP44" i="11" s="1"/>
  <c r="BQ20" i="11"/>
  <c r="BP13" i="10"/>
  <c r="BQ7" i="10"/>
  <c r="BF18" i="23" l="1"/>
  <c r="BF32" i="19" s="1"/>
  <c r="BG12" i="19"/>
  <c r="BH14" i="23"/>
  <c r="BG17" i="23"/>
  <c r="BG22" i="23" s="1"/>
  <c r="BO19" i="19"/>
  <c r="BQ27" i="11"/>
  <c r="BQ44" i="11" s="1"/>
  <c r="BQ31" i="11"/>
  <c r="BQ48" i="11" s="1"/>
  <c r="BQ35" i="11"/>
  <c r="BQ52" i="11" s="1"/>
  <c r="BQ10" i="17" s="1"/>
  <c r="BQ25" i="11"/>
  <c r="BQ42" i="11" s="1"/>
  <c r="BQ30" i="11"/>
  <c r="BQ47" i="11" s="1"/>
  <c r="BQ36" i="11"/>
  <c r="BQ53" i="11" s="1"/>
  <c r="BQ11" i="17" s="1"/>
  <c r="BQ26" i="11"/>
  <c r="BQ43" i="11" s="1"/>
  <c r="BQ32" i="11"/>
  <c r="BQ49" i="11" s="1"/>
  <c r="BQ37" i="11"/>
  <c r="BQ54" i="11" s="1"/>
  <c r="BQ12" i="17" s="1"/>
  <c r="BQ28" i="11"/>
  <c r="BQ45" i="11" s="1"/>
  <c r="BQ33" i="11"/>
  <c r="BQ50" i="11" s="1"/>
  <c r="BQ8" i="17" s="1"/>
  <c r="BQ24" i="11"/>
  <c r="BQ41" i="11" s="1"/>
  <c r="BQ29" i="11"/>
  <c r="BQ46" i="11" s="1"/>
  <c r="BQ34" i="11"/>
  <c r="BQ51" i="11" s="1"/>
  <c r="BQ9" i="17" s="1"/>
  <c r="BR20" i="11"/>
  <c r="A76" i="37"/>
  <c r="B77" i="37"/>
  <c r="BP55" i="11"/>
  <c r="BP14" i="10" s="1"/>
  <c r="BP15" i="10" s="1"/>
  <c r="BP16" i="10" s="1"/>
  <c r="BP15" i="17" s="1"/>
  <c r="BP40" i="11"/>
  <c r="BP7" i="17" s="1"/>
  <c r="BP13" i="17" s="1"/>
  <c r="BQ35" i="17"/>
  <c r="BR31" i="10"/>
  <c r="BR30" i="17" s="1"/>
  <c r="BR34" i="10"/>
  <c r="BS9" i="10"/>
  <c r="BR29" i="10"/>
  <c r="BR28" i="17" s="1"/>
  <c r="BR36" i="10"/>
  <c r="BR35" i="17" s="1"/>
  <c r="BR21" i="10"/>
  <c r="BR20" i="17" s="1"/>
  <c r="BR24" i="10"/>
  <c r="BR23" i="17" s="1"/>
  <c r="BR20" i="10"/>
  <c r="BR28" i="10"/>
  <c r="BR27" i="17" s="1"/>
  <c r="BR27" i="10"/>
  <c r="BR26" i="17" s="1"/>
  <c r="BR30" i="10"/>
  <c r="BR29" i="17" s="1"/>
  <c r="BR35" i="10"/>
  <c r="BR34" i="17" s="1"/>
  <c r="BR25" i="10"/>
  <c r="BR24" i="17" s="1"/>
  <c r="BR22" i="10"/>
  <c r="BR21" i="17" s="1"/>
  <c r="BR33" i="10"/>
  <c r="BR32" i="10"/>
  <c r="BR23" i="10"/>
  <c r="G75" i="30"/>
  <c r="G81" i="30"/>
  <c r="F9" i="35" s="1"/>
  <c r="BQ13" i="10"/>
  <c r="BR7" i="10"/>
  <c r="BN17" i="17"/>
  <c r="BO9" i="19"/>
  <c r="BO9" i="20" s="1"/>
  <c r="BO16" i="17"/>
  <c r="BO39" i="17" s="1"/>
  <c r="BP37" i="17"/>
  <c r="BP21" i="19" s="1"/>
  <c r="BK19" i="19"/>
  <c r="BK16" i="17"/>
  <c r="BQ28" i="17"/>
  <c r="BQ37" i="17" s="1"/>
  <c r="BQ21" i="19" s="1"/>
  <c r="BQ18" i="10"/>
  <c r="BG18" i="23" l="1"/>
  <c r="BG32" i="19" s="1"/>
  <c r="BI14" i="23"/>
  <c r="BH12" i="19"/>
  <c r="BH17" i="23"/>
  <c r="BH22" i="23" s="1"/>
  <c r="BP9" i="19"/>
  <c r="BP9" i="20" s="1"/>
  <c r="BP16" i="17"/>
  <c r="BP39" i="17" s="1"/>
  <c r="BP19" i="19"/>
  <c r="BK39" i="17"/>
  <c r="BK17" i="17"/>
  <c r="B78" i="37"/>
  <c r="A77" i="37"/>
  <c r="BR22" i="17"/>
  <c r="BQ55" i="11"/>
  <c r="BQ40" i="11"/>
  <c r="BQ7" i="17" s="1"/>
  <c r="BQ13" i="17" s="1"/>
  <c r="BR33" i="17"/>
  <c r="BR13" i="10"/>
  <c r="BS7" i="10"/>
  <c r="BR31" i="17"/>
  <c r="BR18" i="10"/>
  <c r="BR25" i="11"/>
  <c r="BR42" i="11" s="1"/>
  <c r="BR29" i="11"/>
  <c r="BR46" i="11" s="1"/>
  <c r="BR33" i="11"/>
  <c r="BR50" i="11" s="1"/>
  <c r="BR8" i="17" s="1"/>
  <c r="BR37" i="11"/>
  <c r="BR54" i="11" s="1"/>
  <c r="BR12" i="17" s="1"/>
  <c r="BR27" i="11"/>
  <c r="BR44" i="11" s="1"/>
  <c r="BR32" i="11"/>
  <c r="BR49" i="11" s="1"/>
  <c r="BR28" i="11"/>
  <c r="BR45" i="11" s="1"/>
  <c r="BR34" i="11"/>
  <c r="BR51" i="11" s="1"/>
  <c r="BR9" i="17" s="1"/>
  <c r="BR24" i="11"/>
  <c r="BR41" i="11" s="1"/>
  <c r="BR30" i="11"/>
  <c r="BR47" i="11" s="1"/>
  <c r="BR35" i="11"/>
  <c r="BR52" i="11" s="1"/>
  <c r="BR10" i="17" s="1"/>
  <c r="BR26" i="11"/>
  <c r="BR43" i="11" s="1"/>
  <c r="BR31" i="11"/>
  <c r="BR48" i="11" s="1"/>
  <c r="BR36" i="11"/>
  <c r="BR53" i="11" s="1"/>
  <c r="BR11" i="17" s="1"/>
  <c r="BS20" i="11"/>
  <c r="BO17" i="17"/>
  <c r="BR32" i="17"/>
  <c r="BS34" i="10"/>
  <c r="BS33" i="17" s="1"/>
  <c r="BS31" i="10"/>
  <c r="BS30" i="17" s="1"/>
  <c r="BT9" i="10"/>
  <c r="BS20" i="10"/>
  <c r="BS21" i="10"/>
  <c r="BS20" i="17" s="1"/>
  <c r="BS24" i="10"/>
  <c r="BS23" i="17" s="1"/>
  <c r="BS28" i="10"/>
  <c r="BS27" i="17" s="1"/>
  <c r="BS27" i="10"/>
  <c r="BS26" i="17" s="1"/>
  <c r="BS30" i="10"/>
  <c r="BS29" i="17" s="1"/>
  <c r="BS35" i="10"/>
  <c r="BS34" i="17" s="1"/>
  <c r="BS22" i="10"/>
  <c r="BS21" i="17" s="1"/>
  <c r="BS25" i="10"/>
  <c r="BS24" i="17" s="1"/>
  <c r="BS29" i="10"/>
  <c r="BS36" i="10"/>
  <c r="BS35" i="17" s="1"/>
  <c r="BS33" i="10"/>
  <c r="BS32" i="17" s="1"/>
  <c r="BS32" i="10"/>
  <c r="BS31" i="17" s="1"/>
  <c r="BS23" i="10"/>
  <c r="BS22" i="17" s="1"/>
  <c r="BH18" i="23" l="1"/>
  <c r="BH32" i="19" s="1"/>
  <c r="BI17" i="23"/>
  <c r="BI22" i="23" s="1"/>
  <c r="BJ14" i="23"/>
  <c r="BI12" i="19"/>
  <c r="BR37" i="17"/>
  <c r="BR21" i="19" s="1"/>
  <c r="BQ9" i="19"/>
  <c r="BQ9" i="20" s="1"/>
  <c r="BS28" i="17"/>
  <c r="BS37" i="17" s="1"/>
  <c r="BS21" i="19" s="1"/>
  <c r="BS27" i="11"/>
  <c r="BS44" i="11" s="1"/>
  <c r="BS31" i="11"/>
  <c r="BS48" i="11" s="1"/>
  <c r="BS35" i="11"/>
  <c r="BS52" i="11" s="1"/>
  <c r="BS10" i="17" s="1"/>
  <c r="BS24" i="11"/>
  <c r="BS41" i="11" s="1"/>
  <c r="BS29" i="11"/>
  <c r="BS46" i="11" s="1"/>
  <c r="BS34" i="11"/>
  <c r="BS51" i="11" s="1"/>
  <c r="BS9" i="17" s="1"/>
  <c r="BS25" i="11"/>
  <c r="BS42" i="11" s="1"/>
  <c r="BS30" i="11"/>
  <c r="BS47" i="11" s="1"/>
  <c r="BS36" i="11"/>
  <c r="BS53" i="11" s="1"/>
  <c r="BS11" i="17" s="1"/>
  <c r="BS26" i="11"/>
  <c r="BS43" i="11" s="1"/>
  <c r="BS32" i="11"/>
  <c r="BS49" i="11" s="1"/>
  <c r="BS37" i="11"/>
  <c r="BS54" i="11" s="1"/>
  <c r="BS12" i="17" s="1"/>
  <c r="BS33" i="11"/>
  <c r="BS50" i="11" s="1"/>
  <c r="BS8" i="17" s="1"/>
  <c r="BS28" i="11"/>
  <c r="BS45" i="11" s="1"/>
  <c r="BT20" i="11"/>
  <c r="BS18" i="10"/>
  <c r="A78" i="37"/>
  <c r="B79" i="37"/>
  <c r="BQ14" i="10"/>
  <c r="BT31" i="10"/>
  <c r="BT30" i="17" s="1"/>
  <c r="BT34" i="10"/>
  <c r="BT33" i="17" s="1"/>
  <c r="BT20" i="10"/>
  <c r="BU9" i="10"/>
  <c r="BT22" i="10"/>
  <c r="BT21" i="17" s="1"/>
  <c r="BT25" i="10"/>
  <c r="BT24" i="17" s="1"/>
  <c r="BT35" i="10"/>
  <c r="BT34" i="17" s="1"/>
  <c r="BT29" i="10"/>
  <c r="BT28" i="17" s="1"/>
  <c r="BT21" i="10"/>
  <c r="BT20" i="17" s="1"/>
  <c r="BT24" i="10"/>
  <c r="BT23" i="17" s="1"/>
  <c r="BT36" i="10"/>
  <c r="BT35" i="17" s="1"/>
  <c r="BT27" i="10"/>
  <c r="BT26" i="17" s="1"/>
  <c r="BT30" i="10"/>
  <c r="BT29" i="17" s="1"/>
  <c r="BT28" i="10"/>
  <c r="BT27" i="17" s="1"/>
  <c r="BT33" i="10"/>
  <c r="BT32" i="17" s="1"/>
  <c r="BT32" i="10"/>
  <c r="BT31" i="17" s="1"/>
  <c r="BT23" i="10"/>
  <c r="BT22" i="17" s="1"/>
  <c r="BR40" i="11"/>
  <c r="BR7" i="17" s="1"/>
  <c r="BR13" i="17" s="1"/>
  <c r="BR55" i="11"/>
  <c r="BR14" i="10" s="1"/>
  <c r="BR15" i="10" s="1"/>
  <c r="BR16" i="10" s="1"/>
  <c r="BR15" i="17" s="1"/>
  <c r="BS13" i="10"/>
  <c r="BT7" i="10"/>
  <c r="BP17" i="17"/>
  <c r="BI18" i="23" l="1"/>
  <c r="BI32" i="19" s="1"/>
  <c r="BJ12" i="19"/>
  <c r="BK14" i="23"/>
  <c r="BJ17" i="23"/>
  <c r="BJ22" i="23" s="1"/>
  <c r="BR9" i="19"/>
  <c r="BR9" i="20" s="1"/>
  <c r="B80" i="37"/>
  <c r="A79" i="37"/>
  <c r="BT13" i="10"/>
  <c r="BU7" i="10"/>
  <c r="BT37" i="17"/>
  <c r="BT21" i="19" s="1"/>
  <c r="BU31" i="10"/>
  <c r="BU30" i="17" s="1"/>
  <c r="BU34" i="10"/>
  <c r="BU33" i="17" s="1"/>
  <c r="BV9" i="10"/>
  <c r="BU20" i="10"/>
  <c r="BU21" i="10"/>
  <c r="BU20" i="17" s="1"/>
  <c r="BU24" i="10"/>
  <c r="BU23" i="17" s="1"/>
  <c r="BU36" i="10"/>
  <c r="BU35" i="17" s="1"/>
  <c r="BU28" i="10"/>
  <c r="BU27" i="17" s="1"/>
  <c r="BU27" i="10"/>
  <c r="BU26" i="17" s="1"/>
  <c r="BU30" i="10"/>
  <c r="BU29" i="17" s="1"/>
  <c r="BU22" i="10"/>
  <c r="BU21" i="17" s="1"/>
  <c r="BU25" i="10"/>
  <c r="BU24" i="17" s="1"/>
  <c r="BU35" i="10"/>
  <c r="BU34" i="17" s="1"/>
  <c r="BU29" i="10"/>
  <c r="BU28" i="17" s="1"/>
  <c r="BU33" i="10"/>
  <c r="BU32" i="17" s="1"/>
  <c r="BU32" i="10"/>
  <c r="BU31" i="17" s="1"/>
  <c r="BU23" i="10"/>
  <c r="BU22" i="17" s="1"/>
  <c r="BS40" i="11"/>
  <c r="BS7" i="17" s="1"/>
  <c r="BS13" i="17" s="1"/>
  <c r="BS55" i="11"/>
  <c r="BS14" i="10" s="1"/>
  <c r="BS15" i="10" s="1"/>
  <c r="BS16" i="10" s="1"/>
  <c r="BS15" i="17" s="1"/>
  <c r="BS19" i="19" s="1"/>
  <c r="BR16" i="17"/>
  <c r="BR39" i="17" s="1"/>
  <c r="BR19" i="19"/>
  <c r="BT18" i="10"/>
  <c r="BQ15" i="10"/>
  <c r="BT25" i="11"/>
  <c r="BT42" i="11" s="1"/>
  <c r="BT29" i="11"/>
  <c r="BT46" i="11" s="1"/>
  <c r="BT33" i="11"/>
  <c r="BT50" i="11" s="1"/>
  <c r="BT8" i="17" s="1"/>
  <c r="BT37" i="11"/>
  <c r="BT54" i="11" s="1"/>
  <c r="BT12" i="17" s="1"/>
  <c r="BT26" i="11"/>
  <c r="BT43" i="11" s="1"/>
  <c r="BT31" i="11"/>
  <c r="BT48" i="11" s="1"/>
  <c r="BT36" i="11"/>
  <c r="BT53" i="11" s="1"/>
  <c r="BT11" i="17" s="1"/>
  <c r="BT27" i="11"/>
  <c r="BT44" i="11" s="1"/>
  <c r="BT32" i="11"/>
  <c r="BT49" i="11" s="1"/>
  <c r="BT28" i="11"/>
  <c r="BT45" i="11" s="1"/>
  <c r="BT34" i="11"/>
  <c r="BT51" i="11" s="1"/>
  <c r="BT9" i="17" s="1"/>
  <c r="BT24" i="11"/>
  <c r="BT41" i="11" s="1"/>
  <c r="BT30" i="11"/>
  <c r="BT47" i="11" s="1"/>
  <c r="BT35" i="11"/>
  <c r="BT52" i="11" s="1"/>
  <c r="BT10" i="17" s="1"/>
  <c r="BU20" i="11"/>
  <c r="BJ18" i="23" l="1"/>
  <c r="BJ32" i="19" s="1"/>
  <c r="BK12" i="19"/>
  <c r="BL14" i="23"/>
  <c r="BK17" i="23"/>
  <c r="BK22" i="23" s="1"/>
  <c r="BS9" i="19"/>
  <c r="BS9" i="20" s="1"/>
  <c r="BS16" i="17"/>
  <c r="BS39" i="17" s="1"/>
  <c r="BT40" i="11"/>
  <c r="BT7" i="17" s="1"/>
  <c r="BT13" i="17" s="1"/>
  <c r="BT55" i="11"/>
  <c r="BT14" i="10" s="1"/>
  <c r="BU37" i="17"/>
  <c r="BU21" i="19" s="1"/>
  <c r="BU27" i="11"/>
  <c r="BU44" i="11" s="1"/>
  <c r="BU31" i="11"/>
  <c r="BU48" i="11" s="1"/>
  <c r="BU35" i="11"/>
  <c r="BU52" i="11" s="1"/>
  <c r="BU10" i="17" s="1"/>
  <c r="BU28" i="11"/>
  <c r="BU45" i="11" s="1"/>
  <c r="BU33" i="11"/>
  <c r="BU50" i="11" s="1"/>
  <c r="BU8" i="17" s="1"/>
  <c r="BU24" i="11"/>
  <c r="BU41" i="11" s="1"/>
  <c r="BU29" i="11"/>
  <c r="BU46" i="11" s="1"/>
  <c r="BU34" i="11"/>
  <c r="BU51" i="11" s="1"/>
  <c r="BU9" i="17" s="1"/>
  <c r="BU25" i="11"/>
  <c r="BU42" i="11" s="1"/>
  <c r="BU30" i="11"/>
  <c r="BU47" i="11" s="1"/>
  <c r="BU36" i="11"/>
  <c r="BU53" i="11" s="1"/>
  <c r="BU11" i="17" s="1"/>
  <c r="BU26" i="11"/>
  <c r="BU43" i="11" s="1"/>
  <c r="BU32" i="11"/>
  <c r="BU49" i="11" s="1"/>
  <c r="BU37" i="11"/>
  <c r="BU54" i="11" s="1"/>
  <c r="BU12" i="17" s="1"/>
  <c r="BV20" i="11"/>
  <c r="BQ16" i="10"/>
  <c r="BQ15" i="17" s="1"/>
  <c r="BU18" i="10"/>
  <c r="A80" i="37"/>
  <c r="B81" i="37"/>
  <c r="BV31" i="10"/>
  <c r="BV34" i="10"/>
  <c r="BV20" i="10"/>
  <c r="BW9" i="10"/>
  <c r="BV22" i="10"/>
  <c r="BV25" i="10"/>
  <c r="BV35" i="10"/>
  <c r="BV29" i="10"/>
  <c r="BV21" i="10"/>
  <c r="BV24" i="10"/>
  <c r="BV36" i="10"/>
  <c r="BV28" i="10"/>
  <c r="BV30" i="10"/>
  <c r="BV27" i="10"/>
  <c r="BV33" i="10"/>
  <c r="BV32" i="10"/>
  <c r="BV23" i="10"/>
  <c r="BU13" i="10"/>
  <c r="BV7" i="10"/>
  <c r="BR17" i="17"/>
  <c r="BK18" i="23" l="1"/>
  <c r="BK32" i="19" s="1"/>
  <c r="BL12" i="19"/>
  <c r="BL17" i="23"/>
  <c r="BL22" i="23" s="1"/>
  <c r="BM14" i="23"/>
  <c r="BS17" i="17"/>
  <c r="BV26" i="17"/>
  <c r="J27" i="32"/>
  <c r="BV33" i="17"/>
  <c r="J34" i="32"/>
  <c r="BU55" i="11"/>
  <c r="BU14" i="10" s="1"/>
  <c r="BU15" i="10" s="1"/>
  <c r="BU16" i="10" s="1"/>
  <c r="BU15" i="17" s="1"/>
  <c r="BT9" i="19"/>
  <c r="BT9" i="20" s="1"/>
  <c r="BV29" i="17"/>
  <c r="J30" i="32"/>
  <c r="BV30" i="17"/>
  <c r="J31" i="32"/>
  <c r="BU40" i="11"/>
  <c r="BU7" i="17" s="1"/>
  <c r="BU13" i="17" s="1"/>
  <c r="BU9" i="19" s="1"/>
  <c r="BV24" i="17"/>
  <c r="J25" i="32"/>
  <c r="BV22" i="17"/>
  <c r="J23" i="32"/>
  <c r="BV20" i="17"/>
  <c r="J21" i="32"/>
  <c r="G9" i="43" s="1"/>
  <c r="BV21" i="17"/>
  <c r="J22" i="32"/>
  <c r="BV31" i="17"/>
  <c r="J32" i="32"/>
  <c r="BV27" i="17"/>
  <c r="J28" i="32"/>
  <c r="BV28" i="17"/>
  <c r="J29" i="32"/>
  <c r="BW31" i="10"/>
  <c r="BW34" i="10"/>
  <c r="BX9" i="10"/>
  <c r="BW20" i="10"/>
  <c r="BW21" i="10"/>
  <c r="BW24" i="10"/>
  <c r="BW36" i="10"/>
  <c r="BW28" i="10"/>
  <c r="BW27" i="10"/>
  <c r="BW30" i="10"/>
  <c r="BW22" i="10"/>
  <c r="BW25" i="10"/>
  <c r="BW35" i="10"/>
  <c r="BW29" i="10"/>
  <c r="BW33" i="10"/>
  <c r="BW32" i="10"/>
  <c r="BW23" i="10"/>
  <c r="B82" i="37"/>
  <c r="A81" i="37"/>
  <c r="BQ19" i="19"/>
  <c r="BQ16" i="17"/>
  <c r="BV23" i="17"/>
  <c r="J24" i="32"/>
  <c r="BV13" i="10"/>
  <c r="BW7" i="10"/>
  <c r="BV32" i="17"/>
  <c r="J33" i="32"/>
  <c r="BV35" i="17"/>
  <c r="J36" i="32"/>
  <c r="BV34" i="17"/>
  <c r="J35" i="32"/>
  <c r="BV18" i="10"/>
  <c r="BK38" i="10" s="1"/>
  <c r="J20" i="32"/>
  <c r="BV24" i="11"/>
  <c r="BV41" i="11" s="1"/>
  <c r="BV28" i="11"/>
  <c r="BV45" i="11" s="1"/>
  <c r="BV31" i="11"/>
  <c r="BV48" i="11" s="1"/>
  <c r="BV35" i="11"/>
  <c r="BV52" i="11" s="1"/>
  <c r="BV10" i="17" s="1"/>
  <c r="BV25" i="11"/>
  <c r="BV42" i="11" s="1"/>
  <c r="BV29" i="11"/>
  <c r="BV46" i="11" s="1"/>
  <c r="BV32" i="11"/>
  <c r="BV49" i="11" s="1"/>
  <c r="BV36" i="11"/>
  <c r="BV53" i="11" s="1"/>
  <c r="BV11" i="17" s="1"/>
  <c r="BV26" i="11"/>
  <c r="BV43" i="11" s="1"/>
  <c r="BV33" i="11"/>
  <c r="BV50" i="11" s="1"/>
  <c r="BV8" i="17" s="1"/>
  <c r="BV37" i="11"/>
  <c r="BV54" i="11" s="1"/>
  <c r="BV12" i="17" s="1"/>
  <c r="BV30" i="11"/>
  <c r="BV47" i="11" s="1"/>
  <c r="BV34" i="11"/>
  <c r="BV51" i="11" s="1"/>
  <c r="BV9" i="17" s="1"/>
  <c r="BV27" i="11"/>
  <c r="BV44" i="11" s="1"/>
  <c r="BW20" i="11"/>
  <c r="BT15" i="10"/>
  <c r="BT16" i="10" s="1"/>
  <c r="BT15" i="17" s="1"/>
  <c r="BL18" i="23" l="1"/>
  <c r="BL32" i="19" s="1"/>
  <c r="J38" i="32"/>
  <c r="H13" i="30"/>
  <c r="G8" i="43"/>
  <c r="H20" i="30"/>
  <c r="G15" i="43"/>
  <c r="H17" i="30"/>
  <c r="G12" i="43"/>
  <c r="H23" i="30"/>
  <c r="G18" i="43"/>
  <c r="H21" i="30"/>
  <c r="G16" i="43"/>
  <c r="H29" i="30"/>
  <c r="G24" i="43"/>
  <c r="H15" i="30"/>
  <c r="G10" i="43"/>
  <c r="H24" i="30"/>
  <c r="G19" i="43"/>
  <c r="H22" i="30"/>
  <c r="G17" i="43"/>
  <c r="H28" i="30"/>
  <c r="G23" i="43"/>
  <c r="H16" i="30"/>
  <c r="G11" i="43"/>
  <c r="H25" i="30"/>
  <c r="G20" i="43"/>
  <c r="H18" i="30"/>
  <c r="G13" i="43"/>
  <c r="H26" i="30"/>
  <c r="G21" i="43"/>
  <c r="H27" i="30"/>
  <c r="G22" i="43"/>
  <c r="BM17" i="23"/>
  <c r="BM22" i="23" s="1"/>
  <c r="BN14" i="23"/>
  <c r="BM12" i="19"/>
  <c r="BU9" i="20"/>
  <c r="BV40" i="11"/>
  <c r="BV7" i="17" s="1"/>
  <c r="BV13" i="17" s="1"/>
  <c r="BV9" i="19" s="1"/>
  <c r="BV9" i="20" s="1"/>
  <c r="BV55" i="11"/>
  <c r="A82" i="37"/>
  <c r="B83" i="37"/>
  <c r="BW29" i="17"/>
  <c r="BW33" i="17"/>
  <c r="BW13" i="10"/>
  <c r="BX7" i="10"/>
  <c r="BQ39" i="17"/>
  <c r="BQ17" i="17"/>
  <c r="BW22" i="17"/>
  <c r="BW34" i="17"/>
  <c r="BW26" i="17"/>
  <c r="BW20" i="17"/>
  <c r="BW30" i="17"/>
  <c r="BV37" i="17"/>
  <c r="BV21" i="19" s="1"/>
  <c r="BW28" i="17"/>
  <c r="BW23" i="17"/>
  <c r="BT16" i="17"/>
  <c r="BT19" i="19"/>
  <c r="I19" i="38"/>
  <c r="BW28" i="11"/>
  <c r="BW33" i="11"/>
  <c r="BW25" i="11"/>
  <c r="BW26" i="11"/>
  <c r="BW27" i="11"/>
  <c r="BW30" i="11"/>
  <c r="BW34" i="11"/>
  <c r="BW36" i="11"/>
  <c r="BW24" i="11"/>
  <c r="BW29" i="11"/>
  <c r="BW35" i="11"/>
  <c r="BW37" i="11"/>
  <c r="BW32" i="11"/>
  <c r="BW31" i="11"/>
  <c r="BX20" i="11"/>
  <c r="J13" i="32"/>
  <c r="G2" i="43" s="1"/>
  <c r="BW31" i="17"/>
  <c r="BW24" i="17"/>
  <c r="BW27" i="17"/>
  <c r="BW18" i="10"/>
  <c r="H14" i="30"/>
  <c r="BW32" i="17"/>
  <c r="BW21" i="17"/>
  <c r="BW35" i="17"/>
  <c r="BX31" i="10"/>
  <c r="BX30" i="17" s="1"/>
  <c r="BX34" i="10"/>
  <c r="BX33" i="17" s="1"/>
  <c r="BX20" i="10"/>
  <c r="BY9" i="10"/>
  <c r="BX29" i="10"/>
  <c r="BX28" i="17" s="1"/>
  <c r="BX35" i="10"/>
  <c r="BX34" i="17" s="1"/>
  <c r="BX21" i="10"/>
  <c r="BX20" i="17" s="1"/>
  <c r="BX24" i="10"/>
  <c r="BX23" i="17" s="1"/>
  <c r="BX28" i="10"/>
  <c r="BX27" i="17" s="1"/>
  <c r="BX27" i="10"/>
  <c r="BX26" i="17" s="1"/>
  <c r="BX30" i="10"/>
  <c r="BX29" i="17" s="1"/>
  <c r="BX36" i="10"/>
  <c r="BX35" i="17" s="1"/>
  <c r="BX25" i="10"/>
  <c r="BX24" i="17" s="1"/>
  <c r="BX22" i="10"/>
  <c r="BX21" i="17" s="1"/>
  <c r="BX33" i="10"/>
  <c r="BX32" i="17" s="1"/>
  <c r="BX32" i="10"/>
  <c r="BX31" i="17" s="1"/>
  <c r="BX23" i="10"/>
  <c r="BX22" i="17" s="1"/>
  <c r="BU16" i="17"/>
  <c r="BU19" i="19"/>
  <c r="H31" i="30" l="1"/>
  <c r="H67" i="30" s="1"/>
  <c r="G9" i="34" s="1"/>
  <c r="BM18" i="23"/>
  <c r="BM32" i="19" s="1"/>
  <c r="G26" i="43"/>
  <c r="BO14" i="23"/>
  <c r="BN17" i="23"/>
  <c r="BN22" i="23" s="1"/>
  <c r="BN12" i="19"/>
  <c r="I36" i="38"/>
  <c r="I54" i="38" s="1"/>
  <c r="BW54" i="11"/>
  <c r="BW12" i="17" s="1"/>
  <c r="I35" i="38"/>
  <c r="I53" i="38" s="1"/>
  <c r="BW53" i="11"/>
  <c r="BW11" i="17" s="1"/>
  <c r="I25" i="38"/>
  <c r="I43" i="38" s="1"/>
  <c r="BW43" i="11"/>
  <c r="B84" i="37"/>
  <c r="A83" i="37"/>
  <c r="BY34" i="10"/>
  <c r="BY33" i="17" s="1"/>
  <c r="BY31" i="10"/>
  <c r="BY30" i="17" s="1"/>
  <c r="BZ9" i="10"/>
  <c r="BY20" i="10"/>
  <c r="BY28" i="10"/>
  <c r="BY27" i="17" s="1"/>
  <c r="BY27" i="10"/>
  <c r="BY30" i="10"/>
  <c r="BY22" i="10"/>
  <c r="BY25" i="10"/>
  <c r="BY24" i="17" s="1"/>
  <c r="BY35" i="10"/>
  <c r="BY34" i="17" s="1"/>
  <c r="BY29" i="10"/>
  <c r="BY21" i="10"/>
  <c r="BY20" i="17" s="1"/>
  <c r="BY24" i="10"/>
  <c r="BY23" i="17" s="1"/>
  <c r="BY36" i="10"/>
  <c r="BY35" i="17" s="1"/>
  <c r="BY33" i="10"/>
  <c r="BY32" i="10"/>
  <c r="BY31" i="17" s="1"/>
  <c r="BY23" i="10"/>
  <c r="BY22" i="17" s="1"/>
  <c r="H7" i="30"/>
  <c r="I31" i="38"/>
  <c r="I49" i="38" s="1"/>
  <c r="BW49" i="11"/>
  <c r="I23" i="38"/>
  <c r="I41" i="38" s="1"/>
  <c r="BW41" i="11"/>
  <c r="I26" i="38"/>
  <c r="I44" i="38" s="1"/>
  <c r="BW44" i="11"/>
  <c r="I27" i="38"/>
  <c r="I45" i="38" s="1"/>
  <c r="BW45" i="11"/>
  <c r="BT39" i="17"/>
  <c r="BT17" i="17"/>
  <c r="BX18" i="10"/>
  <c r="BU17" i="17"/>
  <c r="BU39" i="17"/>
  <c r="BX25" i="11"/>
  <c r="BX42" i="11" s="1"/>
  <c r="BX29" i="11"/>
  <c r="BX46" i="11" s="1"/>
  <c r="BX33" i="11"/>
  <c r="BX50" i="11" s="1"/>
  <c r="BX8" i="17" s="1"/>
  <c r="BX37" i="11"/>
  <c r="BX54" i="11" s="1"/>
  <c r="BX12" i="17" s="1"/>
  <c r="BX26" i="11"/>
  <c r="BX43" i="11" s="1"/>
  <c r="BX30" i="11"/>
  <c r="BX47" i="11" s="1"/>
  <c r="BX34" i="11"/>
  <c r="BX51" i="11" s="1"/>
  <c r="BX9" i="17" s="1"/>
  <c r="BX27" i="11"/>
  <c r="BX44" i="11" s="1"/>
  <c r="BX31" i="11"/>
  <c r="BX48" i="11" s="1"/>
  <c r="BX35" i="11"/>
  <c r="BX52" i="11" s="1"/>
  <c r="BX10" i="17" s="1"/>
  <c r="BX32" i="11"/>
  <c r="BX49" i="11" s="1"/>
  <c r="BX36" i="11"/>
  <c r="BX53" i="11" s="1"/>
  <c r="BX11" i="17" s="1"/>
  <c r="BX24" i="11"/>
  <c r="BX41" i="11" s="1"/>
  <c r="BX28" i="11"/>
  <c r="BX45" i="11" s="1"/>
  <c r="BY20" i="11"/>
  <c r="I34" i="38"/>
  <c r="I52" i="38" s="1"/>
  <c r="BW52" i="11"/>
  <c r="BW10" i="17" s="1"/>
  <c r="I33" i="38"/>
  <c r="I51" i="38" s="1"/>
  <c r="BW51" i="11"/>
  <c r="BW9" i="17" s="1"/>
  <c r="I24" i="38"/>
  <c r="I42" i="38" s="1"/>
  <c r="BW42" i="11"/>
  <c r="BW37" i="17"/>
  <c r="BW21" i="19" s="1"/>
  <c r="BX13" i="10"/>
  <c r="BY7" i="10"/>
  <c r="BX37" i="17"/>
  <c r="BX21" i="19" s="1"/>
  <c r="I30" i="38"/>
  <c r="I48" i="38" s="1"/>
  <c r="BW48" i="11"/>
  <c r="I28" i="38"/>
  <c r="I46" i="38" s="1"/>
  <c r="BW46" i="11"/>
  <c r="I29" i="38"/>
  <c r="I47" i="38" s="1"/>
  <c r="BW47" i="11"/>
  <c r="I32" i="38"/>
  <c r="I50" i="38" s="1"/>
  <c r="BW50" i="11"/>
  <c r="BW8" i="17" s="1"/>
  <c r="BV14" i="10"/>
  <c r="BK56" i="11"/>
  <c r="J6" i="32" s="1"/>
  <c r="J7" i="32" s="1"/>
  <c r="BN18" i="23" l="1"/>
  <c r="BN32" i="19" s="1"/>
  <c r="BO17" i="23"/>
  <c r="BO22" i="23" s="1"/>
  <c r="BP14" i="23"/>
  <c r="BO12" i="19"/>
  <c r="BY26" i="17"/>
  <c r="BX40" i="11"/>
  <c r="BX7" i="17" s="1"/>
  <c r="BX13" i="17" s="1"/>
  <c r="BX55" i="11"/>
  <c r="BX14" i="10" s="1"/>
  <c r="BX15" i="10" s="1"/>
  <c r="BX16" i="10" s="1"/>
  <c r="BX15" i="17" s="1"/>
  <c r="BX19" i="19" s="1"/>
  <c r="I55" i="38"/>
  <c r="BV15" i="10"/>
  <c r="J15" i="32" s="1"/>
  <c r="J14" i="32"/>
  <c r="G3" i="43" s="1"/>
  <c r="BY27" i="11"/>
  <c r="BY44" i="11" s="1"/>
  <c r="BY31" i="11"/>
  <c r="BY48" i="11" s="1"/>
  <c r="BY35" i="11"/>
  <c r="BY52" i="11" s="1"/>
  <c r="BY10" i="17" s="1"/>
  <c r="BY24" i="11"/>
  <c r="BY41" i="11" s="1"/>
  <c r="BY28" i="11"/>
  <c r="BY45" i="11" s="1"/>
  <c r="BY32" i="11"/>
  <c r="BY49" i="11" s="1"/>
  <c r="BY36" i="11"/>
  <c r="BY53" i="11" s="1"/>
  <c r="BY11" i="17" s="1"/>
  <c r="BY25" i="11"/>
  <c r="BY42" i="11" s="1"/>
  <c r="BY29" i="11"/>
  <c r="BY46" i="11" s="1"/>
  <c r="BY33" i="11"/>
  <c r="BY50" i="11" s="1"/>
  <c r="BY8" i="17" s="1"/>
  <c r="BY37" i="11"/>
  <c r="BY54" i="11" s="1"/>
  <c r="BY12" i="17" s="1"/>
  <c r="BY34" i="11"/>
  <c r="BY51" i="11" s="1"/>
  <c r="BY9" i="17" s="1"/>
  <c r="BY26" i="11"/>
  <c r="BY43" i="11" s="1"/>
  <c r="BY30" i="11"/>
  <c r="BY47" i="11" s="1"/>
  <c r="BZ20" i="11"/>
  <c r="BY21" i="17"/>
  <c r="BY18" i="10"/>
  <c r="J9" i="32"/>
  <c r="H6" i="30" s="1"/>
  <c r="H5" i="30"/>
  <c r="BY13" i="10"/>
  <c r="BZ7" i="10"/>
  <c r="BW40" i="11"/>
  <c r="BW7" i="17" s="1"/>
  <c r="BW13" i="17" s="1"/>
  <c r="BW55" i="11"/>
  <c r="BY32" i="17"/>
  <c r="BY28" i="17"/>
  <c r="BY29" i="17"/>
  <c r="BZ31" i="10"/>
  <c r="BZ30" i="17" s="1"/>
  <c r="BZ34" i="10"/>
  <c r="CA9" i="10"/>
  <c r="BZ20" i="10"/>
  <c r="BZ29" i="10"/>
  <c r="BZ28" i="17" s="1"/>
  <c r="BZ21" i="10"/>
  <c r="BZ20" i="17" s="1"/>
  <c r="BZ24" i="10"/>
  <c r="BZ36" i="10"/>
  <c r="BZ35" i="17" s="1"/>
  <c r="BZ28" i="10"/>
  <c r="BZ27" i="10"/>
  <c r="BZ26" i="17" s="1"/>
  <c r="BZ30" i="10"/>
  <c r="BZ29" i="17" s="1"/>
  <c r="BZ22" i="10"/>
  <c r="BZ21" i="17" s="1"/>
  <c r="BZ25" i="10"/>
  <c r="BZ24" i="17" s="1"/>
  <c r="BZ35" i="10"/>
  <c r="BZ34" i="17" s="1"/>
  <c r="BZ33" i="10"/>
  <c r="BZ32" i="17" s="1"/>
  <c r="BZ32" i="10"/>
  <c r="BZ23" i="10"/>
  <c r="A84" i="37"/>
  <c r="B85" i="37"/>
  <c r="BO18" i="23" l="1"/>
  <c r="BO32" i="19" s="1"/>
  <c r="H9" i="30"/>
  <c r="G4" i="43"/>
  <c r="BP17" i="23"/>
  <c r="BP22" i="23" s="1"/>
  <c r="BQ14" i="23"/>
  <c r="BP12" i="19"/>
  <c r="BY37" i="17"/>
  <c r="BY21" i="19" s="1"/>
  <c r="BV16" i="10"/>
  <c r="BV15" i="17" s="1"/>
  <c r="BV16" i="17" s="1"/>
  <c r="BZ22" i="17"/>
  <c r="BW9" i="19"/>
  <c r="BW9" i="20" s="1"/>
  <c r="H8" i="30"/>
  <c r="J16" i="32"/>
  <c r="BX9" i="19"/>
  <c r="BX16" i="17"/>
  <c r="BX39" i="17" s="1"/>
  <c r="BZ33" i="17"/>
  <c r="BW14" i="10"/>
  <c r="BZ25" i="11"/>
  <c r="BZ42" i="11" s="1"/>
  <c r="BZ29" i="11"/>
  <c r="BZ46" i="11" s="1"/>
  <c r="BZ26" i="11"/>
  <c r="BZ43" i="11" s="1"/>
  <c r="BZ30" i="11"/>
  <c r="BZ47" i="11" s="1"/>
  <c r="BZ34" i="11"/>
  <c r="BZ51" i="11" s="1"/>
  <c r="BZ9" i="17" s="1"/>
  <c r="BZ27" i="11"/>
  <c r="BZ44" i="11" s="1"/>
  <c r="BZ32" i="11"/>
  <c r="BZ49" i="11" s="1"/>
  <c r="BZ37" i="11"/>
  <c r="BZ54" i="11" s="1"/>
  <c r="BZ12" i="17" s="1"/>
  <c r="BZ24" i="11"/>
  <c r="BZ41" i="11" s="1"/>
  <c r="BZ33" i="11"/>
  <c r="BZ50" i="11" s="1"/>
  <c r="BZ8" i="17" s="1"/>
  <c r="BZ28" i="11"/>
  <c r="BZ45" i="11" s="1"/>
  <c r="BZ35" i="11"/>
  <c r="BZ52" i="11" s="1"/>
  <c r="BZ10" i="17" s="1"/>
  <c r="BZ31" i="11"/>
  <c r="BZ48" i="11" s="1"/>
  <c r="BZ36" i="11"/>
  <c r="BZ53" i="11" s="1"/>
  <c r="BZ11" i="17" s="1"/>
  <c r="CA20" i="11"/>
  <c r="BZ27" i="17"/>
  <c r="H50" i="30"/>
  <c r="H46" i="30"/>
  <c r="H49" i="30"/>
  <c r="H55" i="30"/>
  <c r="H66" i="30"/>
  <c r="G8" i="34" s="1"/>
  <c r="H56" i="30"/>
  <c r="H53" i="30"/>
  <c r="H58" i="30"/>
  <c r="H40" i="30"/>
  <c r="H47" i="30"/>
  <c r="H43" i="30"/>
  <c r="H57" i="30"/>
  <c r="H44" i="30"/>
  <c r="H54" i="30"/>
  <c r="H45" i="30"/>
  <c r="H52" i="30"/>
  <c r="H59" i="30"/>
  <c r="H42" i="30"/>
  <c r="H60" i="30"/>
  <c r="H51" i="30"/>
  <c r="H64" i="30"/>
  <c r="H48" i="30"/>
  <c r="H41" i="30"/>
  <c r="H3" i="30"/>
  <c r="BZ31" i="17"/>
  <c r="BZ18" i="10"/>
  <c r="BZ13" i="10"/>
  <c r="CA7" i="10"/>
  <c r="B86" i="37"/>
  <c r="A85" i="37"/>
  <c r="BZ23" i="17"/>
  <c r="CA31" i="10"/>
  <c r="CA30" i="17" s="1"/>
  <c r="CA34" i="10"/>
  <c r="CA33" i="17" s="1"/>
  <c r="CB9" i="10"/>
  <c r="CA20" i="10"/>
  <c r="CA28" i="10"/>
  <c r="CA27" i="17" s="1"/>
  <c r="CA27" i="10"/>
  <c r="CA26" i="17" s="1"/>
  <c r="CA30" i="10"/>
  <c r="CA29" i="17" s="1"/>
  <c r="CA22" i="10"/>
  <c r="CA21" i="17" s="1"/>
  <c r="CA25" i="10"/>
  <c r="CA24" i="17" s="1"/>
  <c r="CA35" i="10"/>
  <c r="CA34" i="17" s="1"/>
  <c r="CA29" i="10"/>
  <c r="CA21" i="10"/>
  <c r="CA20" i="17" s="1"/>
  <c r="CA24" i="10"/>
  <c r="CA23" i="17" s="1"/>
  <c r="CA36" i="10"/>
  <c r="CA33" i="10"/>
  <c r="CA32" i="17" s="1"/>
  <c r="CA32" i="10"/>
  <c r="CA31" i="17" s="1"/>
  <c r="CA23" i="10"/>
  <c r="CA22" i="17" s="1"/>
  <c r="BY40" i="11"/>
  <c r="BY7" i="17" s="1"/>
  <c r="BY13" i="17" s="1"/>
  <c r="BY55" i="11"/>
  <c r="BY14" i="10" s="1"/>
  <c r="BY15" i="10" s="1"/>
  <c r="BY16" i="10" s="1"/>
  <c r="BY15" i="17" s="1"/>
  <c r="BP18" i="23" l="1"/>
  <c r="BP32" i="19" s="1"/>
  <c r="H10" i="30"/>
  <c r="H32" i="30" s="1"/>
  <c r="J17" i="32"/>
  <c r="G5" i="43"/>
  <c r="BR14" i="23"/>
  <c r="BQ12" i="19"/>
  <c r="BQ17" i="23"/>
  <c r="BQ22" i="23" s="1"/>
  <c r="BV19" i="19"/>
  <c r="BX17" i="17"/>
  <c r="CA24" i="11"/>
  <c r="CA41" i="11" s="1"/>
  <c r="CA28" i="11"/>
  <c r="CA45" i="11" s="1"/>
  <c r="CA32" i="11"/>
  <c r="CA49" i="11" s="1"/>
  <c r="CA36" i="11"/>
  <c r="CA53" i="11" s="1"/>
  <c r="CA11" i="17" s="1"/>
  <c r="CA29" i="11"/>
  <c r="CA46" i="11" s="1"/>
  <c r="CA34" i="11"/>
  <c r="CA51" i="11" s="1"/>
  <c r="CA9" i="17" s="1"/>
  <c r="CA25" i="11"/>
  <c r="CA42" i="11" s="1"/>
  <c r="CA30" i="11"/>
  <c r="CA47" i="11" s="1"/>
  <c r="CA35" i="11"/>
  <c r="CA52" i="11" s="1"/>
  <c r="CA10" i="17" s="1"/>
  <c r="CA26" i="11"/>
  <c r="CA43" i="11" s="1"/>
  <c r="CA31" i="11"/>
  <c r="CA48" i="11" s="1"/>
  <c r="CA37" i="11"/>
  <c r="CA54" i="11" s="1"/>
  <c r="CA12" i="17" s="1"/>
  <c r="CA33" i="11"/>
  <c r="CA50" i="11" s="1"/>
  <c r="CA8" i="17" s="1"/>
  <c r="CA27" i="11"/>
  <c r="CA44" i="11" s="1"/>
  <c r="CB20" i="11"/>
  <c r="A86" i="37"/>
  <c r="B87" i="37"/>
  <c r="CA13" i="10"/>
  <c r="CB7" i="10"/>
  <c r="BW15" i="10"/>
  <c r="BW16" i="10" s="1"/>
  <c r="BW15" i="17" s="1"/>
  <c r="BZ37" i="17"/>
  <c r="BZ21" i="19" s="1"/>
  <c r="CA35" i="17"/>
  <c r="BY16" i="17"/>
  <c r="BY39" i="17" s="1"/>
  <c r="BY19" i="19"/>
  <c r="CA18" i="10"/>
  <c r="BZ40" i="11"/>
  <c r="BZ7" i="17" s="1"/>
  <c r="BZ13" i="17" s="1"/>
  <c r="BZ55" i="11"/>
  <c r="BX9" i="20"/>
  <c r="BY9" i="19"/>
  <c r="BY9" i="20" s="1"/>
  <c r="CA28" i="17"/>
  <c r="CB31" i="10"/>
  <c r="CB34" i="10"/>
  <c r="CB33" i="17" s="1"/>
  <c r="CB20" i="10"/>
  <c r="CB21" i="10"/>
  <c r="CB20" i="17" s="1"/>
  <c r="CB24" i="10"/>
  <c r="CB23" i="17" s="1"/>
  <c r="CB28" i="10"/>
  <c r="CB27" i="17" s="1"/>
  <c r="CB27" i="10"/>
  <c r="CB26" i="17" s="1"/>
  <c r="CB30" i="10"/>
  <c r="CB36" i="10"/>
  <c r="CB35" i="17" s="1"/>
  <c r="CB22" i="10"/>
  <c r="CB25" i="10"/>
  <c r="CC9" i="10"/>
  <c r="CB29" i="10"/>
  <c r="CB28" i="17" s="1"/>
  <c r="CB35" i="10"/>
  <c r="CB34" i="17" s="1"/>
  <c r="CB33" i="10"/>
  <c r="CB32" i="17" s="1"/>
  <c r="CB32" i="10"/>
  <c r="CB23" i="10"/>
  <c r="G6" i="34"/>
  <c r="H68" i="30"/>
  <c r="BV17" i="17"/>
  <c r="BV39" i="17"/>
  <c r="H39" i="30" l="1"/>
  <c r="BQ18" i="23"/>
  <c r="BQ32" i="19" s="1"/>
  <c r="BR12" i="19"/>
  <c r="BS14" i="23"/>
  <c r="BR17" i="23"/>
  <c r="BR22" i="23" s="1"/>
  <c r="CA37" i="17"/>
  <c r="CA21" i="19" s="1"/>
  <c r="BW19" i="19"/>
  <c r="BW16" i="17"/>
  <c r="BZ9" i="19"/>
  <c r="BZ9" i="20" s="1"/>
  <c r="CA40" i="11"/>
  <c r="CA7" i="17" s="1"/>
  <c r="CA13" i="17" s="1"/>
  <c r="CA55" i="11"/>
  <c r="CA14" i="10" s="1"/>
  <c r="CA15" i="10" s="1"/>
  <c r="CB31" i="17"/>
  <c r="CB22" i="17"/>
  <c r="CB30" i="17"/>
  <c r="BZ14" i="10"/>
  <c r="B88" i="37"/>
  <c r="A87" i="37"/>
  <c r="H81" i="30"/>
  <c r="F10" i="35" s="1"/>
  <c r="H75" i="30"/>
  <c r="CC34" i="10"/>
  <c r="CC33" i="17" s="1"/>
  <c r="CC31" i="10"/>
  <c r="CC30" i="17" s="1"/>
  <c r="CD9" i="10"/>
  <c r="CC20" i="10"/>
  <c r="CC22" i="10"/>
  <c r="CC21" i="17" s="1"/>
  <c r="CC25" i="10"/>
  <c r="CC24" i="17" s="1"/>
  <c r="CC35" i="10"/>
  <c r="CC34" i="17" s="1"/>
  <c r="CC29" i="10"/>
  <c r="CC28" i="17" s="1"/>
  <c r="CC21" i="10"/>
  <c r="CC20" i="17" s="1"/>
  <c r="CC24" i="10"/>
  <c r="CC23" i="17" s="1"/>
  <c r="CC36" i="10"/>
  <c r="CC35" i="17" s="1"/>
  <c r="CC30" i="10"/>
  <c r="CC29" i="17" s="1"/>
  <c r="CC27" i="10"/>
  <c r="CC28" i="10"/>
  <c r="CC27" i="17" s="1"/>
  <c r="CC33" i="10"/>
  <c r="CC32" i="10"/>
  <c r="CC31" i="17" s="1"/>
  <c r="CC23" i="10"/>
  <c r="CC22" i="17" s="1"/>
  <c r="CB29" i="17"/>
  <c r="CB24" i="17"/>
  <c r="CB18" i="10"/>
  <c r="CB13" i="10"/>
  <c r="CC7" i="10"/>
  <c r="CB26" i="11"/>
  <c r="CB43" i="11" s="1"/>
  <c r="CB30" i="11"/>
  <c r="CB47" i="11" s="1"/>
  <c r="CB34" i="11"/>
  <c r="CB51" i="11" s="1"/>
  <c r="CB9" i="17" s="1"/>
  <c r="CB25" i="11"/>
  <c r="CB42" i="11" s="1"/>
  <c r="CB31" i="11"/>
  <c r="CB48" i="11" s="1"/>
  <c r="CB36" i="11"/>
  <c r="CB53" i="11" s="1"/>
  <c r="CB11" i="17" s="1"/>
  <c r="CB27" i="11"/>
  <c r="CB44" i="11" s="1"/>
  <c r="CB32" i="11"/>
  <c r="CB49" i="11" s="1"/>
  <c r="CB37" i="11"/>
  <c r="CB54" i="11" s="1"/>
  <c r="CB12" i="17" s="1"/>
  <c r="CB28" i="11"/>
  <c r="CB45" i="11" s="1"/>
  <c r="CB33" i="11"/>
  <c r="CB50" i="11" s="1"/>
  <c r="CB8" i="17" s="1"/>
  <c r="CB24" i="11"/>
  <c r="CB41" i="11" s="1"/>
  <c r="CB29" i="11"/>
  <c r="CB46" i="11" s="1"/>
  <c r="CB35" i="11"/>
  <c r="CB52" i="11" s="1"/>
  <c r="CB10" i="17" s="1"/>
  <c r="CC20" i="11"/>
  <c r="CB21" i="17"/>
  <c r="BY17" i="17"/>
  <c r="BR18" i="23" l="1"/>
  <c r="BR32" i="19" s="1"/>
  <c r="CA16" i="10"/>
  <c r="CA15" i="17" s="1"/>
  <c r="CA19" i="19" s="1"/>
  <c r="BS17" i="23"/>
  <c r="BS22" i="23" s="1"/>
  <c r="BT14" i="23"/>
  <c r="BS12" i="19"/>
  <c r="CC26" i="17"/>
  <c r="BZ15" i="10"/>
  <c r="CB37" i="17"/>
  <c r="CB21" i="19" s="1"/>
  <c r="CC18" i="10"/>
  <c r="CA9" i="19"/>
  <c r="CA9" i="20" s="1"/>
  <c r="CA16" i="17"/>
  <c r="CA39" i="17" s="1"/>
  <c r="CC24" i="11"/>
  <c r="CC41" i="11" s="1"/>
  <c r="CC28" i="11"/>
  <c r="CC45" i="11" s="1"/>
  <c r="CC32" i="11"/>
  <c r="CC49" i="11" s="1"/>
  <c r="CC36" i="11"/>
  <c r="CC53" i="11" s="1"/>
  <c r="CC11" i="17" s="1"/>
  <c r="CC27" i="11"/>
  <c r="CC44" i="11" s="1"/>
  <c r="CC33" i="11"/>
  <c r="CC50" i="11" s="1"/>
  <c r="CC8" i="17" s="1"/>
  <c r="CC29" i="11"/>
  <c r="CC46" i="11" s="1"/>
  <c r="CC34" i="11"/>
  <c r="CC51" i="11" s="1"/>
  <c r="CC9" i="17" s="1"/>
  <c r="CC25" i="11"/>
  <c r="CC42" i="11" s="1"/>
  <c r="CC30" i="11"/>
  <c r="CC47" i="11" s="1"/>
  <c r="CC35" i="11"/>
  <c r="CC52" i="11" s="1"/>
  <c r="CC10" i="17" s="1"/>
  <c r="CC26" i="11"/>
  <c r="CC43" i="11" s="1"/>
  <c r="CC31" i="11"/>
  <c r="CC48" i="11" s="1"/>
  <c r="CC37" i="11"/>
  <c r="CC54" i="11" s="1"/>
  <c r="CC12" i="17" s="1"/>
  <c r="CD20" i="11"/>
  <c r="CB40" i="11"/>
  <c r="CB7" i="17" s="1"/>
  <c r="CB13" i="17" s="1"/>
  <c r="CB55" i="11"/>
  <c r="CC13" i="10"/>
  <c r="CD7" i="10"/>
  <c r="CC32" i="17"/>
  <c r="CD31" i="10"/>
  <c r="CD30" i="17" s="1"/>
  <c r="CD34" i="10"/>
  <c r="CD33" i="17" s="1"/>
  <c r="CD20" i="10"/>
  <c r="CE9" i="10"/>
  <c r="CD21" i="10"/>
  <c r="CD20" i="17" s="1"/>
  <c r="CD24" i="10"/>
  <c r="CD23" i="17" s="1"/>
  <c r="CD36" i="10"/>
  <c r="CD35" i="17" s="1"/>
  <c r="CD28" i="10"/>
  <c r="CD27" i="17" s="1"/>
  <c r="CD27" i="10"/>
  <c r="CD26" i="17" s="1"/>
  <c r="CD30" i="10"/>
  <c r="CD29" i="17" s="1"/>
  <c r="CD22" i="10"/>
  <c r="CD25" i="10"/>
  <c r="CD24" i="17" s="1"/>
  <c r="CD35" i="10"/>
  <c r="CD34" i="17" s="1"/>
  <c r="CD29" i="10"/>
  <c r="CD33" i="10"/>
  <c r="CD32" i="17" s="1"/>
  <c r="CD32" i="10"/>
  <c r="CD23" i="10"/>
  <c r="A88" i="37"/>
  <c r="B89" i="37"/>
  <c r="BW39" i="17"/>
  <c r="BW17" i="17"/>
  <c r="BS18" i="23" l="1"/>
  <c r="BS32" i="19" s="1"/>
  <c r="BT17" i="23"/>
  <c r="BT22" i="23" s="1"/>
  <c r="BU14" i="23"/>
  <c r="BT12" i="19"/>
  <c r="CC37" i="17"/>
  <c r="CC21" i="19" s="1"/>
  <c r="CB9" i="19"/>
  <c r="CB9" i="20" s="1"/>
  <c r="CD31" i="17"/>
  <c r="CC40" i="11"/>
  <c r="CC7" i="17" s="1"/>
  <c r="CC13" i="17" s="1"/>
  <c r="CD13" i="10"/>
  <c r="CE7" i="10"/>
  <c r="CD26" i="11"/>
  <c r="CD43" i="11" s="1"/>
  <c r="CD30" i="11"/>
  <c r="CD47" i="11" s="1"/>
  <c r="CD34" i="11"/>
  <c r="CD51" i="11" s="1"/>
  <c r="CD9" i="17" s="1"/>
  <c r="CD24" i="11"/>
  <c r="CD41" i="11" s="1"/>
  <c r="CD29" i="11"/>
  <c r="CD46" i="11" s="1"/>
  <c r="CD35" i="11"/>
  <c r="CD52" i="11" s="1"/>
  <c r="CD10" i="17" s="1"/>
  <c r="CD25" i="11"/>
  <c r="CD42" i="11" s="1"/>
  <c r="CD31" i="11"/>
  <c r="CD48" i="11" s="1"/>
  <c r="CD36" i="11"/>
  <c r="CD53" i="11" s="1"/>
  <c r="CD11" i="17" s="1"/>
  <c r="CD27" i="11"/>
  <c r="CD44" i="11" s="1"/>
  <c r="CD32" i="11"/>
  <c r="CD49" i="11" s="1"/>
  <c r="CD37" i="11"/>
  <c r="CD54" i="11" s="1"/>
  <c r="CD12" i="17" s="1"/>
  <c r="CD33" i="11"/>
  <c r="CD50" i="11" s="1"/>
  <c r="CD8" i="17" s="1"/>
  <c r="CD28" i="11"/>
  <c r="CD45" i="11" s="1"/>
  <c r="CE20" i="11"/>
  <c r="CE31" i="10"/>
  <c r="CE30" i="17" s="1"/>
  <c r="CE34" i="10"/>
  <c r="CE33" i="17" s="1"/>
  <c r="CF9" i="10"/>
  <c r="CE20" i="10"/>
  <c r="CE22" i="10"/>
  <c r="CE21" i="17" s="1"/>
  <c r="CE25" i="10"/>
  <c r="CE24" i="17" s="1"/>
  <c r="CE35" i="10"/>
  <c r="CE34" i="17" s="1"/>
  <c r="CE29" i="10"/>
  <c r="CE28" i="17" s="1"/>
  <c r="CE21" i="10"/>
  <c r="CE20" i="17" s="1"/>
  <c r="CE24" i="10"/>
  <c r="CE23" i="17" s="1"/>
  <c r="CE36" i="10"/>
  <c r="CE35" i="17" s="1"/>
  <c r="CE28" i="10"/>
  <c r="CE27" i="17" s="1"/>
  <c r="CE27" i="10"/>
  <c r="CE26" i="17" s="1"/>
  <c r="CE30" i="10"/>
  <c r="CE29" i="17" s="1"/>
  <c r="CE33" i="10"/>
  <c r="CE32" i="17" s="1"/>
  <c r="CE32" i="10"/>
  <c r="CE31" i="17" s="1"/>
  <c r="CE23" i="10"/>
  <c r="CE22" i="17" s="1"/>
  <c r="B90" i="37"/>
  <c r="A89" i="37"/>
  <c r="CD21" i="17"/>
  <c r="CD18" i="10"/>
  <c r="CB14" i="10"/>
  <c r="CC55" i="11"/>
  <c r="CC14" i="10" s="1"/>
  <c r="CC15" i="10" s="1"/>
  <c r="CD22" i="17"/>
  <c r="CD28" i="17"/>
  <c r="CA17" i="17"/>
  <c r="BZ16" i="10"/>
  <c r="BZ15" i="17" s="1"/>
  <c r="BT18" i="23" l="1"/>
  <c r="BT32" i="19" s="1"/>
  <c r="BU12" i="19"/>
  <c r="BU17" i="23"/>
  <c r="BU22" i="23" s="1"/>
  <c r="BV14" i="23"/>
  <c r="CE37" i="17"/>
  <c r="CE21" i="19" s="1"/>
  <c r="CE18" i="10"/>
  <c r="CE24" i="11"/>
  <c r="CE41" i="11" s="1"/>
  <c r="CE28" i="11"/>
  <c r="CE45" i="11" s="1"/>
  <c r="CE26" i="11"/>
  <c r="CE43" i="11" s="1"/>
  <c r="CE31" i="11"/>
  <c r="CE48" i="11" s="1"/>
  <c r="CE35" i="11"/>
  <c r="CE52" i="11" s="1"/>
  <c r="CE10" i="17" s="1"/>
  <c r="CE27" i="11"/>
  <c r="CE44" i="11" s="1"/>
  <c r="CE32" i="11"/>
  <c r="CE49" i="11" s="1"/>
  <c r="CE36" i="11"/>
  <c r="CE53" i="11" s="1"/>
  <c r="CE11" i="17" s="1"/>
  <c r="CE29" i="11"/>
  <c r="CE46" i="11" s="1"/>
  <c r="CE33" i="11"/>
  <c r="CE50" i="11" s="1"/>
  <c r="CE8" i="17" s="1"/>
  <c r="CE37" i="11"/>
  <c r="CE54" i="11" s="1"/>
  <c r="CE12" i="17" s="1"/>
  <c r="CE25" i="11"/>
  <c r="CE42" i="11" s="1"/>
  <c r="CE30" i="11"/>
  <c r="CE47" i="11" s="1"/>
  <c r="CE34" i="11"/>
  <c r="CE51" i="11" s="1"/>
  <c r="CE9" i="17" s="1"/>
  <c r="CF20" i="11"/>
  <c r="BZ19" i="19"/>
  <c r="BZ16" i="17"/>
  <c r="CC9" i="19"/>
  <c r="CC9" i="20" s="1"/>
  <c r="CD37" i="17"/>
  <c r="CD21" i="19" s="1"/>
  <c r="CB15" i="10"/>
  <c r="CB16" i="10" s="1"/>
  <c r="CB15" i="17" s="1"/>
  <c r="CF31" i="10"/>
  <c r="CF30" i="17" s="1"/>
  <c r="CF34" i="10"/>
  <c r="CF33" i="17" s="1"/>
  <c r="CF20" i="10"/>
  <c r="CG9" i="10"/>
  <c r="CF28" i="10"/>
  <c r="CF27" i="17" s="1"/>
  <c r="CF27" i="10"/>
  <c r="CF26" i="17" s="1"/>
  <c r="CF30" i="10"/>
  <c r="CF29" i="17" s="1"/>
  <c r="CF36" i="10"/>
  <c r="CF35" i="17" s="1"/>
  <c r="CF22" i="10"/>
  <c r="CF21" i="17" s="1"/>
  <c r="CF25" i="10"/>
  <c r="CF24" i="17" s="1"/>
  <c r="CF29" i="10"/>
  <c r="CF28" i="17" s="1"/>
  <c r="CF35" i="10"/>
  <c r="CF34" i="17" s="1"/>
  <c r="CF24" i="10"/>
  <c r="CF23" i="17" s="1"/>
  <c r="CF21" i="10"/>
  <c r="CF20" i="17" s="1"/>
  <c r="CF33" i="10"/>
  <c r="CF32" i="17" s="1"/>
  <c r="CF32" i="10"/>
  <c r="CF31" i="17" s="1"/>
  <c r="CF23" i="10"/>
  <c r="CF22" i="17" s="1"/>
  <c r="CD40" i="11"/>
  <c r="CD7" i="17" s="1"/>
  <c r="CD13" i="17" s="1"/>
  <c r="CD55" i="11"/>
  <c r="CD14" i="10" s="1"/>
  <c r="CD15" i="10" s="1"/>
  <c r="CE13" i="10"/>
  <c r="CF7" i="10"/>
  <c r="A90" i="37"/>
  <c r="B91" i="37"/>
  <c r="CC16" i="10"/>
  <c r="CC15" i="17" s="1"/>
  <c r="CC19" i="19" s="1"/>
  <c r="BU18" i="23" l="1"/>
  <c r="BU32" i="19" s="1"/>
  <c r="BV17" i="23"/>
  <c r="BV22" i="23" s="1"/>
  <c r="BW14" i="23"/>
  <c r="BV12" i="19"/>
  <c r="CF37" i="17"/>
  <c r="CF21" i="19" s="1"/>
  <c r="CD9" i="19"/>
  <c r="CD9" i="20" s="1"/>
  <c r="CG31" i="10"/>
  <c r="CG30" i="17" s="1"/>
  <c r="CG34" i="10"/>
  <c r="CG33" i="17" s="1"/>
  <c r="CH9" i="10"/>
  <c r="CG20" i="10"/>
  <c r="CG29" i="10"/>
  <c r="CG28" i="17" s="1"/>
  <c r="CG21" i="10"/>
  <c r="CG20" i="17" s="1"/>
  <c r="CG24" i="10"/>
  <c r="CG23" i="17" s="1"/>
  <c r="CG36" i="10"/>
  <c r="CG35" i="17" s="1"/>
  <c r="CG28" i="10"/>
  <c r="CG27" i="17" s="1"/>
  <c r="CG27" i="10"/>
  <c r="CG26" i="17" s="1"/>
  <c r="CG30" i="10"/>
  <c r="CG29" i="17" s="1"/>
  <c r="CG25" i="10"/>
  <c r="CG24" i="17" s="1"/>
  <c r="CG22" i="10"/>
  <c r="CG21" i="17" s="1"/>
  <c r="CG35" i="10"/>
  <c r="CG34" i="17" s="1"/>
  <c r="CG33" i="10"/>
  <c r="CG32" i="17" s="1"/>
  <c r="CG32" i="10"/>
  <c r="CG31" i="17" s="1"/>
  <c r="CG23" i="10"/>
  <c r="CG22" i="17" s="1"/>
  <c r="BZ39" i="17"/>
  <c r="BZ17" i="17"/>
  <c r="CF25" i="11"/>
  <c r="CF42" i="11" s="1"/>
  <c r="CF29" i="11"/>
  <c r="CF46" i="11" s="1"/>
  <c r="CF33" i="11"/>
  <c r="CF50" i="11" s="1"/>
  <c r="CF8" i="17" s="1"/>
  <c r="CF37" i="11"/>
  <c r="CF54" i="11" s="1"/>
  <c r="CF12" i="17" s="1"/>
  <c r="CF26" i="11"/>
  <c r="CF43" i="11" s="1"/>
  <c r="CF30" i="11"/>
  <c r="CF47" i="11" s="1"/>
  <c r="CF34" i="11"/>
  <c r="CF51" i="11" s="1"/>
  <c r="CF9" i="17" s="1"/>
  <c r="CF27" i="11"/>
  <c r="CF44" i="11" s="1"/>
  <c r="CF31" i="11"/>
  <c r="CF48" i="11" s="1"/>
  <c r="CF35" i="11"/>
  <c r="CF52" i="11" s="1"/>
  <c r="CF10" i="17" s="1"/>
  <c r="CF24" i="11"/>
  <c r="CF41" i="11" s="1"/>
  <c r="CF28" i="11"/>
  <c r="CF45" i="11" s="1"/>
  <c r="CF32" i="11"/>
  <c r="CF49" i="11" s="1"/>
  <c r="CF36" i="11"/>
  <c r="CF53" i="11" s="1"/>
  <c r="CF11" i="17" s="1"/>
  <c r="CG20" i="11"/>
  <c r="B92" i="37"/>
  <c r="A91" i="37"/>
  <c r="CF18" i="10"/>
  <c r="CC16" i="17"/>
  <c r="CD16" i="10"/>
  <c r="CD15" i="17" s="1"/>
  <c r="CE40" i="11"/>
  <c r="CE7" i="17" s="1"/>
  <c r="CE13" i="17" s="1"/>
  <c r="CE55" i="11"/>
  <c r="CF13" i="10"/>
  <c r="CG7" i="10"/>
  <c r="CB19" i="19"/>
  <c r="CB16" i="17"/>
  <c r="BV18" i="23" l="1"/>
  <c r="BV32" i="19" s="1"/>
  <c r="BX14" i="23"/>
  <c r="BW17" i="23"/>
  <c r="BW22" i="23" s="1"/>
  <c r="BW12" i="19"/>
  <c r="CE9" i="19"/>
  <c r="CE9" i="20" s="1"/>
  <c r="CH31" i="10"/>
  <c r="CH34" i="10"/>
  <c r="CI9" i="10"/>
  <c r="CH20" i="10"/>
  <c r="CH28" i="10"/>
  <c r="CH27" i="10"/>
  <c r="CH30" i="10"/>
  <c r="CH22" i="10"/>
  <c r="CH25" i="10"/>
  <c r="CH35" i="10"/>
  <c r="CH29" i="10"/>
  <c r="CH21" i="10"/>
  <c r="CH24" i="10"/>
  <c r="CH36" i="10"/>
  <c r="CH33" i="10"/>
  <c r="CH32" i="10"/>
  <c r="CH23" i="10"/>
  <c r="CB39" i="17"/>
  <c r="CB17" i="17"/>
  <c r="CE14" i="10"/>
  <c r="CG27" i="11"/>
  <c r="CG44" i="11" s="1"/>
  <c r="CG31" i="11"/>
  <c r="CG48" i="11" s="1"/>
  <c r="CG35" i="11"/>
  <c r="CG52" i="11" s="1"/>
  <c r="CG10" i="17" s="1"/>
  <c r="CG24" i="11"/>
  <c r="CG41" i="11" s="1"/>
  <c r="CG28" i="11"/>
  <c r="CG45" i="11" s="1"/>
  <c r="CG32" i="11"/>
  <c r="CG49" i="11" s="1"/>
  <c r="CG36" i="11"/>
  <c r="CG53" i="11" s="1"/>
  <c r="CG11" i="17" s="1"/>
  <c r="CG25" i="11"/>
  <c r="CG42" i="11" s="1"/>
  <c r="CG29" i="11"/>
  <c r="CG46" i="11" s="1"/>
  <c r="CG33" i="11"/>
  <c r="CG50" i="11" s="1"/>
  <c r="CG8" i="17" s="1"/>
  <c r="CG37" i="11"/>
  <c r="CG54" i="11" s="1"/>
  <c r="CG12" i="17" s="1"/>
  <c r="CG26" i="11"/>
  <c r="CG43" i="11" s="1"/>
  <c r="CG30" i="11"/>
  <c r="CG47" i="11" s="1"/>
  <c r="CG34" i="11"/>
  <c r="CG51" i="11" s="1"/>
  <c r="CG9" i="17" s="1"/>
  <c r="CH20" i="11"/>
  <c r="CG13" i="10"/>
  <c r="CH7" i="10"/>
  <c r="CD16" i="17"/>
  <c r="CD19" i="19"/>
  <c r="CG37" i="17"/>
  <c r="CG21" i="19" s="1"/>
  <c r="CF40" i="11"/>
  <c r="CF7" i="17" s="1"/>
  <c r="CF13" i="17" s="1"/>
  <c r="CF55" i="11"/>
  <c r="CF14" i="10" s="1"/>
  <c r="CF15" i="10" s="1"/>
  <c r="CC39" i="17"/>
  <c r="CC17" i="17"/>
  <c r="A92" i="37"/>
  <c r="B93" i="37"/>
  <c r="CG18" i="10"/>
  <c r="BW18" i="23" l="1"/>
  <c r="BW32" i="19" s="1"/>
  <c r="BX17" i="23"/>
  <c r="BX22" i="23" s="1"/>
  <c r="BY14" i="23"/>
  <c r="BX12" i="19"/>
  <c r="CF16" i="10"/>
  <c r="CF15" i="17" s="1"/>
  <c r="CF19" i="19" s="1"/>
  <c r="CF9" i="19"/>
  <c r="CF9" i="20" s="1"/>
  <c r="CG40" i="11"/>
  <c r="CG7" i="17" s="1"/>
  <c r="CG13" i="17" s="1"/>
  <c r="CG55" i="11"/>
  <c r="CG14" i="10" s="1"/>
  <c r="CH23" i="17"/>
  <c r="K24" i="32"/>
  <c r="CH25" i="11"/>
  <c r="CH42" i="11" s="1"/>
  <c r="CH29" i="11"/>
  <c r="CH46" i="11" s="1"/>
  <c r="CH33" i="11"/>
  <c r="CH50" i="11" s="1"/>
  <c r="CH8" i="17" s="1"/>
  <c r="CH37" i="11"/>
  <c r="CH54" i="11" s="1"/>
  <c r="CH12" i="17" s="1"/>
  <c r="CH26" i="11"/>
  <c r="CH43" i="11" s="1"/>
  <c r="CH30" i="11"/>
  <c r="CH47" i="11" s="1"/>
  <c r="CH34" i="11"/>
  <c r="CH51" i="11" s="1"/>
  <c r="CH9" i="17" s="1"/>
  <c r="CH27" i="11"/>
  <c r="CH44" i="11" s="1"/>
  <c r="CH31" i="11"/>
  <c r="CH48" i="11" s="1"/>
  <c r="CH35" i="11"/>
  <c r="CH52" i="11" s="1"/>
  <c r="CH10" i="17" s="1"/>
  <c r="CH28" i="11"/>
  <c r="CH45" i="11" s="1"/>
  <c r="CH32" i="11"/>
  <c r="CH49" i="11" s="1"/>
  <c r="CH36" i="11"/>
  <c r="CH53" i="11" s="1"/>
  <c r="CH11" i="17" s="1"/>
  <c r="CH24" i="11"/>
  <c r="CH41" i="11" s="1"/>
  <c r="CI20" i="11"/>
  <c r="CE15" i="10"/>
  <c r="CE16" i="10" s="1"/>
  <c r="CE15" i="17" s="1"/>
  <c r="CH31" i="17"/>
  <c r="K32" i="32"/>
  <c r="CH20" i="17"/>
  <c r="K21" i="32"/>
  <c r="H9" i="43" s="1"/>
  <c r="CH21" i="17"/>
  <c r="K22" i="32"/>
  <c r="CH18" i="10"/>
  <c r="BW38" i="10" s="1"/>
  <c r="K20" i="32"/>
  <c r="CH22" i="17"/>
  <c r="K23" i="32"/>
  <c r="CH24" i="17"/>
  <c r="K25" i="32"/>
  <c r="CH27" i="17"/>
  <c r="K28" i="32"/>
  <c r="CH30" i="17"/>
  <c r="K31" i="32"/>
  <c r="B94" i="37"/>
  <c r="A93" i="37"/>
  <c r="CD39" i="17"/>
  <c r="CD17" i="17"/>
  <c r="CH32" i="17"/>
  <c r="K33" i="32"/>
  <c r="CH28" i="17"/>
  <c r="K29" i="32"/>
  <c r="CH29" i="17"/>
  <c r="K30" i="32"/>
  <c r="CI31" i="10"/>
  <c r="CI34" i="10"/>
  <c r="CJ9" i="10"/>
  <c r="CI20" i="10"/>
  <c r="CI29" i="10"/>
  <c r="CI21" i="10"/>
  <c r="CI24" i="10"/>
  <c r="CI36" i="10"/>
  <c r="CI28" i="10"/>
  <c r="CI27" i="10"/>
  <c r="CI30" i="10"/>
  <c r="CI22" i="10"/>
  <c r="CI25" i="10"/>
  <c r="CI35" i="10"/>
  <c r="CI33" i="10"/>
  <c r="CI32" i="10"/>
  <c r="CI23" i="10"/>
  <c r="CH13" i="10"/>
  <c r="K13" i="32" s="1"/>
  <c r="H2" i="43" s="1"/>
  <c r="CI7" i="10"/>
  <c r="CH35" i="17"/>
  <c r="K36" i="32"/>
  <c r="CH34" i="17"/>
  <c r="K35" i="32"/>
  <c r="CH26" i="17"/>
  <c r="K27" i="32"/>
  <c r="CH33" i="17"/>
  <c r="K34" i="32"/>
  <c r="BX18" i="23" l="1"/>
  <c r="BX32" i="19" s="1"/>
  <c r="K38" i="32"/>
  <c r="I21" i="30"/>
  <c r="H16" i="43"/>
  <c r="I26" i="30"/>
  <c r="H21" i="43"/>
  <c r="I27" i="30"/>
  <c r="H22" i="43"/>
  <c r="I18" i="30"/>
  <c r="H13" i="43"/>
  <c r="I15" i="30"/>
  <c r="H10" i="43"/>
  <c r="I20" i="30"/>
  <c r="H15" i="43"/>
  <c r="I23" i="30"/>
  <c r="H18" i="43"/>
  <c r="I16" i="30"/>
  <c r="H11" i="43"/>
  <c r="I25" i="30"/>
  <c r="H20" i="43"/>
  <c r="I28" i="30"/>
  <c r="H23" i="43"/>
  <c r="I22" i="30"/>
  <c r="H17" i="43"/>
  <c r="I24" i="30"/>
  <c r="H19" i="43"/>
  <c r="I13" i="30"/>
  <c r="H8" i="43"/>
  <c r="I17" i="30"/>
  <c r="H12" i="43"/>
  <c r="I29" i="30"/>
  <c r="H24" i="43"/>
  <c r="BY12" i="19"/>
  <c r="BY17" i="23"/>
  <c r="BY22" i="23" s="1"/>
  <c r="BZ14" i="23"/>
  <c r="CF16" i="17"/>
  <c r="CF39" i="17" s="1"/>
  <c r="CI24" i="17"/>
  <c r="CI28" i="17"/>
  <c r="CI31" i="17"/>
  <c r="CI21" i="17"/>
  <c r="CI35" i="17"/>
  <c r="CI18" i="10"/>
  <c r="CE19" i="19"/>
  <c r="CE16" i="17"/>
  <c r="CG15" i="10"/>
  <c r="CG16" i="10" s="1"/>
  <c r="CG15" i="17" s="1"/>
  <c r="CI13" i="10"/>
  <c r="CJ7" i="10"/>
  <c r="CI32" i="17"/>
  <c r="CI29" i="17"/>
  <c r="CI23" i="17"/>
  <c r="CJ31" i="10"/>
  <c r="CJ30" i="17" s="1"/>
  <c r="CJ34" i="10"/>
  <c r="CJ33" i="17" s="1"/>
  <c r="CJ20" i="10"/>
  <c r="CK9" i="10"/>
  <c r="CJ28" i="10"/>
  <c r="CJ27" i="17" s="1"/>
  <c r="CJ27" i="10"/>
  <c r="CJ26" i="17" s="1"/>
  <c r="CJ30" i="10"/>
  <c r="CJ29" i="17" s="1"/>
  <c r="CJ22" i="10"/>
  <c r="CJ21" i="17" s="1"/>
  <c r="CJ25" i="10"/>
  <c r="CJ24" i="17" s="1"/>
  <c r="CJ35" i="10"/>
  <c r="CJ34" i="17" s="1"/>
  <c r="CJ29" i="10"/>
  <c r="CJ28" i="17" s="1"/>
  <c r="CJ21" i="10"/>
  <c r="CJ20" i="17" s="1"/>
  <c r="CJ24" i="10"/>
  <c r="CJ23" i="17" s="1"/>
  <c r="CJ36" i="10"/>
  <c r="CJ35" i="17" s="1"/>
  <c r="CJ33" i="10"/>
  <c r="CJ32" i="17" s="1"/>
  <c r="CJ32" i="10"/>
  <c r="CJ31" i="17" s="1"/>
  <c r="CJ23" i="10"/>
  <c r="CJ22" i="17" s="1"/>
  <c r="CI27" i="11"/>
  <c r="CI31" i="11"/>
  <c r="CI35" i="11"/>
  <c r="CI36" i="11"/>
  <c r="CI24" i="11"/>
  <c r="CI29" i="11"/>
  <c r="CI32" i="11"/>
  <c r="J19" i="38"/>
  <c r="CI25" i="11"/>
  <c r="CI26" i="11"/>
  <c r="CI28" i="11"/>
  <c r="CI33" i="11"/>
  <c r="CI34" i="11"/>
  <c r="CI37" i="11"/>
  <c r="CI30" i="11"/>
  <c r="CJ20" i="11"/>
  <c r="CI22" i="17"/>
  <c r="CI27" i="17"/>
  <c r="CI30" i="17"/>
  <c r="I14" i="30"/>
  <c r="I7" i="30"/>
  <c r="CI34" i="17"/>
  <c r="CI26" i="17"/>
  <c r="CI20" i="17"/>
  <c r="CI33" i="17"/>
  <c r="CG9" i="19"/>
  <c r="CG9" i="20" s="1"/>
  <c r="A94" i="37"/>
  <c r="B95" i="37"/>
  <c r="CH37" i="17"/>
  <c r="CH21" i="19" s="1"/>
  <c r="CH40" i="11"/>
  <c r="CH7" i="17" s="1"/>
  <c r="CH13" i="17" s="1"/>
  <c r="CH55" i="11"/>
  <c r="CF17" i="17" l="1"/>
  <c r="I31" i="30"/>
  <c r="I67" i="30" s="1"/>
  <c r="H9" i="34" s="1"/>
  <c r="H26" i="43"/>
  <c r="BY18" i="23"/>
  <c r="BY32" i="19" s="1"/>
  <c r="CA14" i="23"/>
  <c r="BZ12" i="19"/>
  <c r="BZ17" i="23"/>
  <c r="BZ22" i="23" s="1"/>
  <c r="CJ37" i="17"/>
  <c r="CJ21" i="19" s="1"/>
  <c r="CG19" i="19"/>
  <c r="CG16" i="17"/>
  <c r="CH9" i="19"/>
  <c r="CH9" i="20" s="1"/>
  <c r="CH14" i="10"/>
  <c r="BW56" i="11"/>
  <c r="K6" i="32" s="1"/>
  <c r="K7" i="32" s="1"/>
  <c r="J36" i="38"/>
  <c r="J54" i="38" s="1"/>
  <c r="CI54" i="11"/>
  <c r="CI12" i="17" s="1"/>
  <c r="J25" i="38"/>
  <c r="J43" i="38" s="1"/>
  <c r="CI43" i="11"/>
  <c r="J28" i="38"/>
  <c r="J46" i="38" s="1"/>
  <c r="CI46" i="11"/>
  <c r="J30" i="38"/>
  <c r="J48" i="38" s="1"/>
  <c r="CI48" i="11"/>
  <c r="CK31" i="10"/>
  <c r="CK34" i="10"/>
  <c r="CL9" i="10"/>
  <c r="CK20" i="10"/>
  <c r="CK22" i="10"/>
  <c r="CK21" i="17" s="1"/>
  <c r="CK25" i="10"/>
  <c r="CK24" i="17" s="1"/>
  <c r="CK29" i="10"/>
  <c r="CK28" i="17" s="1"/>
  <c r="CK36" i="10"/>
  <c r="CK35" i="17" s="1"/>
  <c r="CK21" i="10"/>
  <c r="CK24" i="10"/>
  <c r="CK23" i="17" s="1"/>
  <c r="CK30" i="10"/>
  <c r="CK35" i="10"/>
  <c r="CK27" i="10"/>
  <c r="CK26" i="17" s="1"/>
  <c r="CK28" i="10"/>
  <c r="CK33" i="10"/>
  <c r="CK32" i="10"/>
  <c r="CK23" i="10"/>
  <c r="CK22" i="17" s="1"/>
  <c r="CI37" i="17"/>
  <c r="CI21" i="19" s="1"/>
  <c r="J29" i="38"/>
  <c r="J47" i="38" s="1"/>
  <c r="CI47" i="11"/>
  <c r="J27" i="38"/>
  <c r="J45" i="38" s="1"/>
  <c r="CI45" i="11"/>
  <c r="J31" i="38"/>
  <c r="J49" i="38" s="1"/>
  <c r="CI49" i="11"/>
  <c r="J34" i="38"/>
  <c r="J52" i="38" s="1"/>
  <c r="CI52" i="11"/>
  <c r="CI10" i="17" s="1"/>
  <c r="J33" i="38"/>
  <c r="J51" i="38" s="1"/>
  <c r="CI51" i="11"/>
  <c r="CI9" i="17" s="1"/>
  <c r="J24" i="38"/>
  <c r="J42" i="38" s="1"/>
  <c r="CI42" i="11"/>
  <c r="J23" i="38"/>
  <c r="J41" i="38" s="1"/>
  <c r="CI41" i="11"/>
  <c r="J26" i="38"/>
  <c r="J44" i="38" s="1"/>
  <c r="CI44" i="11"/>
  <c r="CJ18" i="10"/>
  <c r="B96" i="37"/>
  <c r="A95" i="37"/>
  <c r="CJ25" i="11"/>
  <c r="CJ42" i="11" s="1"/>
  <c r="CJ29" i="11"/>
  <c r="CJ46" i="11" s="1"/>
  <c r="CJ33" i="11"/>
  <c r="CJ50" i="11" s="1"/>
  <c r="CJ8" i="17" s="1"/>
  <c r="CJ37" i="11"/>
  <c r="CJ54" i="11" s="1"/>
  <c r="CJ12" i="17" s="1"/>
  <c r="CJ26" i="11"/>
  <c r="CJ43" i="11" s="1"/>
  <c r="CJ31" i="11"/>
  <c r="CJ48" i="11" s="1"/>
  <c r="CJ36" i="11"/>
  <c r="CJ53" i="11" s="1"/>
  <c r="CJ11" i="17" s="1"/>
  <c r="CJ27" i="11"/>
  <c r="CJ44" i="11" s="1"/>
  <c r="CJ32" i="11"/>
  <c r="CJ49" i="11" s="1"/>
  <c r="CJ28" i="11"/>
  <c r="CJ45" i="11" s="1"/>
  <c r="CJ34" i="11"/>
  <c r="CJ51" i="11" s="1"/>
  <c r="CJ9" i="17" s="1"/>
  <c r="CJ24" i="11"/>
  <c r="CJ41" i="11" s="1"/>
  <c r="CJ30" i="11"/>
  <c r="CJ47" i="11" s="1"/>
  <c r="CJ35" i="11"/>
  <c r="CJ52" i="11" s="1"/>
  <c r="CJ10" i="17" s="1"/>
  <c r="CK20" i="11"/>
  <c r="J32" i="38"/>
  <c r="J50" i="38" s="1"/>
  <c r="CI50" i="11"/>
  <c r="CI8" i="17" s="1"/>
  <c r="J35" i="38"/>
  <c r="J53" i="38" s="1"/>
  <c r="CI53" i="11"/>
  <c r="CI11" i="17" s="1"/>
  <c r="CJ13" i="10"/>
  <c r="CK7" i="10"/>
  <c r="CE39" i="17"/>
  <c r="CE17" i="17"/>
  <c r="BZ18" i="23" l="1"/>
  <c r="BZ32" i="19" s="1"/>
  <c r="CB14" i="23"/>
  <c r="CA17" i="23"/>
  <c r="CA22" i="23" s="1"/>
  <c r="CA12" i="19"/>
  <c r="CK27" i="17"/>
  <c r="CK33" i="17"/>
  <c r="CK27" i="11"/>
  <c r="CK44" i="11" s="1"/>
  <c r="CK31" i="11"/>
  <c r="CK48" i="11" s="1"/>
  <c r="CK35" i="11"/>
  <c r="CK52" i="11" s="1"/>
  <c r="CK10" i="17" s="1"/>
  <c r="CK28" i="11"/>
  <c r="CK45" i="11" s="1"/>
  <c r="CK33" i="11"/>
  <c r="CK50" i="11" s="1"/>
  <c r="CK8" i="17" s="1"/>
  <c r="CK24" i="11"/>
  <c r="CK41" i="11" s="1"/>
  <c r="CK29" i="11"/>
  <c r="CK46" i="11" s="1"/>
  <c r="CK34" i="11"/>
  <c r="CK51" i="11" s="1"/>
  <c r="CK9" i="17" s="1"/>
  <c r="CK25" i="11"/>
  <c r="CK42" i="11" s="1"/>
  <c r="CK30" i="11"/>
  <c r="CK47" i="11" s="1"/>
  <c r="CK36" i="11"/>
  <c r="CK53" i="11" s="1"/>
  <c r="CK11" i="17" s="1"/>
  <c r="CK32" i="11"/>
  <c r="CK49" i="11" s="1"/>
  <c r="CK37" i="11"/>
  <c r="CK54" i="11" s="1"/>
  <c r="CK12" i="17" s="1"/>
  <c r="CK26" i="11"/>
  <c r="CK43" i="11" s="1"/>
  <c r="CL20" i="11"/>
  <c r="A96" i="37"/>
  <c r="B97" i="37"/>
  <c r="CI40" i="11"/>
  <c r="CI7" i="17" s="1"/>
  <c r="CI13" i="17" s="1"/>
  <c r="CI55" i="11"/>
  <c r="CK20" i="17"/>
  <c r="CK30" i="17"/>
  <c r="CH15" i="10"/>
  <c r="K15" i="32" s="1"/>
  <c r="K14" i="32"/>
  <c r="H3" i="43" s="1"/>
  <c r="CJ40" i="11"/>
  <c r="CJ7" i="17" s="1"/>
  <c r="CJ13" i="17" s="1"/>
  <c r="CJ55" i="11"/>
  <c r="CJ14" i="10" s="1"/>
  <c r="K9" i="32"/>
  <c r="I6" i="30" s="1"/>
  <c r="I5" i="30"/>
  <c r="J55" i="38"/>
  <c r="CK31" i="17"/>
  <c r="CK34" i="17"/>
  <c r="CK18" i="10"/>
  <c r="CK13" i="10"/>
  <c r="CL7" i="10"/>
  <c r="CK32" i="17"/>
  <c r="CK29" i="17"/>
  <c r="CL31" i="10"/>
  <c r="CL30" i="17" s="1"/>
  <c r="CL34" i="10"/>
  <c r="CL33" i="17" s="1"/>
  <c r="CL20" i="10"/>
  <c r="CM9" i="10"/>
  <c r="CL21" i="10"/>
  <c r="CL20" i="17" s="1"/>
  <c r="CL24" i="10"/>
  <c r="CL23" i="17" s="1"/>
  <c r="CL36" i="10"/>
  <c r="CL35" i="17" s="1"/>
  <c r="CL28" i="10"/>
  <c r="CL27" i="17" s="1"/>
  <c r="CL27" i="10"/>
  <c r="CL26" i="17" s="1"/>
  <c r="CL30" i="10"/>
  <c r="CL29" i="17" s="1"/>
  <c r="CL22" i="10"/>
  <c r="CL25" i="10"/>
  <c r="CL24" i="17" s="1"/>
  <c r="CL35" i="10"/>
  <c r="CL34" i="17" s="1"/>
  <c r="CL29" i="10"/>
  <c r="CL33" i="10"/>
  <c r="CL32" i="17" s="1"/>
  <c r="CL32" i="10"/>
  <c r="CL31" i="17" s="1"/>
  <c r="CL23" i="10"/>
  <c r="CL22" i="17" s="1"/>
  <c r="CG39" i="17"/>
  <c r="CG17" i="17"/>
  <c r="CA18" i="23" l="1"/>
  <c r="CA32" i="19" s="1"/>
  <c r="I9" i="30"/>
  <c r="H4" i="43"/>
  <c r="CC14" i="23"/>
  <c r="CB12" i="19"/>
  <c r="CB17" i="23"/>
  <c r="CB22" i="23" s="1"/>
  <c r="CK37" i="17"/>
  <c r="CK21" i="19" s="1"/>
  <c r="CH16" i="10"/>
  <c r="CH15" i="17" s="1"/>
  <c r="CH16" i="17" s="1"/>
  <c r="CJ9" i="19"/>
  <c r="CL25" i="11"/>
  <c r="CL42" i="11" s="1"/>
  <c r="CL29" i="11"/>
  <c r="CL46" i="11" s="1"/>
  <c r="CL33" i="11"/>
  <c r="CL50" i="11" s="1"/>
  <c r="CL8" i="17" s="1"/>
  <c r="CL37" i="11"/>
  <c r="CL54" i="11" s="1"/>
  <c r="CL12" i="17" s="1"/>
  <c r="CL24" i="11"/>
  <c r="CL41" i="11" s="1"/>
  <c r="CL30" i="11"/>
  <c r="CL47" i="11" s="1"/>
  <c r="CL35" i="11"/>
  <c r="CL52" i="11" s="1"/>
  <c r="CL10" i="17" s="1"/>
  <c r="CL26" i="11"/>
  <c r="CL43" i="11" s="1"/>
  <c r="CL31" i="11"/>
  <c r="CL48" i="11" s="1"/>
  <c r="CL36" i="11"/>
  <c r="CL53" i="11" s="1"/>
  <c r="CL11" i="17" s="1"/>
  <c r="CL27" i="11"/>
  <c r="CL44" i="11" s="1"/>
  <c r="CL32" i="11"/>
  <c r="CL49" i="11" s="1"/>
  <c r="CL28" i="11"/>
  <c r="CL45" i="11" s="1"/>
  <c r="CL34" i="11"/>
  <c r="CL51" i="11" s="1"/>
  <c r="CL9" i="17" s="1"/>
  <c r="CM20" i="11"/>
  <c r="CL21" i="17"/>
  <c r="CL18" i="10"/>
  <c r="I45" i="30"/>
  <c r="I54" i="30"/>
  <c r="I44" i="30"/>
  <c r="I49" i="30"/>
  <c r="I58" i="30"/>
  <c r="I40" i="30"/>
  <c r="I64" i="30"/>
  <c r="I46" i="30"/>
  <c r="I41" i="30"/>
  <c r="I55" i="30"/>
  <c r="I53" i="30"/>
  <c r="I43" i="30"/>
  <c r="I52" i="30"/>
  <c r="I57" i="30"/>
  <c r="I66" i="30"/>
  <c r="H8" i="34" s="1"/>
  <c r="I48" i="30"/>
  <c r="I51" i="30"/>
  <c r="I60" i="30"/>
  <c r="I42" i="30"/>
  <c r="I56" i="30"/>
  <c r="I47" i="30"/>
  <c r="I59" i="30"/>
  <c r="I50" i="30"/>
  <c r="I3" i="30"/>
  <c r="I8" i="30"/>
  <c r="K16" i="32"/>
  <c r="B98" i="37"/>
  <c r="A97" i="37"/>
  <c r="CK40" i="11"/>
  <c r="CK7" i="17" s="1"/>
  <c r="CK13" i="17" s="1"/>
  <c r="CK55" i="11"/>
  <c r="CK14" i="10" s="1"/>
  <c r="CK15" i="10" s="1"/>
  <c r="CK16" i="10" s="1"/>
  <c r="CK15" i="17" s="1"/>
  <c r="CM31" i="10"/>
  <c r="CM30" i="17" s="1"/>
  <c r="CM34" i="10"/>
  <c r="CN9" i="10"/>
  <c r="CM20" i="10"/>
  <c r="CM22" i="10"/>
  <c r="CM21" i="17" s="1"/>
  <c r="CM25" i="10"/>
  <c r="CM24" i="17" s="1"/>
  <c r="CM35" i="10"/>
  <c r="CM29" i="10"/>
  <c r="CM28" i="17" s="1"/>
  <c r="CM21" i="10"/>
  <c r="CM20" i="17" s="1"/>
  <c r="CM24" i="10"/>
  <c r="CM36" i="10"/>
  <c r="CM28" i="10"/>
  <c r="CM27" i="17" s="1"/>
  <c r="CM27" i="10"/>
  <c r="CM26" i="17" s="1"/>
  <c r="CM30" i="10"/>
  <c r="CM33" i="10"/>
  <c r="CM32" i="17" s="1"/>
  <c r="CM32" i="10"/>
  <c r="CM31" i="17" s="1"/>
  <c r="CM23" i="10"/>
  <c r="CM22" i="17" s="1"/>
  <c r="CL13" i="10"/>
  <c r="CM7" i="10"/>
  <c r="CL28" i="17"/>
  <c r="CI14" i="10"/>
  <c r="CL37" i="17"/>
  <c r="CL21" i="19" s="1"/>
  <c r="CJ15" i="10"/>
  <c r="CJ16" i="10" s="1"/>
  <c r="CJ15" i="17" s="1"/>
  <c r="CI9" i="19"/>
  <c r="CI9" i="20" s="1"/>
  <c r="I10" i="30" l="1"/>
  <c r="I32" i="30" s="1"/>
  <c r="CH19" i="19"/>
  <c r="CB18" i="23"/>
  <c r="CB32" i="19" s="1"/>
  <c r="K17" i="32"/>
  <c r="H5" i="43"/>
  <c r="CC17" i="23"/>
  <c r="CC22" i="23" s="1"/>
  <c r="CD14" i="23"/>
  <c r="CC12" i="19"/>
  <c r="CK19" i="19"/>
  <c r="CJ9" i="20"/>
  <c r="CJ19" i="19"/>
  <c r="CJ16" i="17"/>
  <c r="CM18" i="10"/>
  <c r="CI15" i="10"/>
  <c r="CI16" i="10" s="1"/>
  <c r="CI15" i="17" s="1"/>
  <c r="CM13" i="10"/>
  <c r="CN7" i="10"/>
  <c r="CM35" i="17"/>
  <c r="CM34" i="17"/>
  <c r="CN34" i="10"/>
  <c r="CN33" i="17" s="1"/>
  <c r="CN31" i="10"/>
  <c r="CN20" i="10"/>
  <c r="CO9" i="10"/>
  <c r="CN21" i="10"/>
  <c r="CN24" i="10"/>
  <c r="CN23" i="17" s="1"/>
  <c r="CN36" i="10"/>
  <c r="CN35" i="17" s="1"/>
  <c r="CN28" i="10"/>
  <c r="CN27" i="10"/>
  <c r="CN30" i="10"/>
  <c r="CN29" i="17" s="1"/>
  <c r="CN22" i="10"/>
  <c r="CN21" i="17" s="1"/>
  <c r="CN25" i="10"/>
  <c r="CN35" i="10"/>
  <c r="CN34" i="17" s="1"/>
  <c r="CN29" i="10"/>
  <c r="CN28" i="17" s="1"/>
  <c r="CN33" i="10"/>
  <c r="CN32" i="10"/>
  <c r="CN31" i="17" s="1"/>
  <c r="CN23" i="10"/>
  <c r="CK9" i="19"/>
  <c r="CK9" i="20" s="1"/>
  <c r="CK16" i="17"/>
  <c r="CK39" i="17" s="1"/>
  <c r="CL40" i="11"/>
  <c r="CL7" i="17" s="1"/>
  <c r="CL13" i="17" s="1"/>
  <c r="CL55" i="11"/>
  <c r="CL14" i="10" s="1"/>
  <c r="CL15" i="10" s="1"/>
  <c r="CL16" i="10" s="1"/>
  <c r="CL15" i="17" s="1"/>
  <c r="CL19" i="19" s="1"/>
  <c r="I68" i="30"/>
  <c r="H6" i="34"/>
  <c r="CH39" i="17"/>
  <c r="CH17" i="17"/>
  <c r="CM29" i="17"/>
  <c r="CM23" i="17"/>
  <c r="CM33" i="17"/>
  <c r="A98" i="37"/>
  <c r="B99" i="37"/>
  <c r="CM27" i="11"/>
  <c r="CM44" i="11" s="1"/>
  <c r="CM31" i="11"/>
  <c r="CM48" i="11" s="1"/>
  <c r="CM35" i="11"/>
  <c r="CM52" i="11" s="1"/>
  <c r="CM10" i="17" s="1"/>
  <c r="CM26" i="11"/>
  <c r="CM43" i="11" s="1"/>
  <c r="CM32" i="11"/>
  <c r="CM49" i="11" s="1"/>
  <c r="CM37" i="11"/>
  <c r="CM54" i="11" s="1"/>
  <c r="CM12" i="17" s="1"/>
  <c r="CM28" i="11"/>
  <c r="CM45" i="11" s="1"/>
  <c r="CM33" i="11"/>
  <c r="CM50" i="11" s="1"/>
  <c r="CM8" i="17" s="1"/>
  <c r="CM24" i="11"/>
  <c r="CM41" i="11" s="1"/>
  <c r="CM29" i="11"/>
  <c r="CM46" i="11" s="1"/>
  <c r="CM34" i="11"/>
  <c r="CM51" i="11" s="1"/>
  <c r="CM9" i="17" s="1"/>
  <c r="CM25" i="11"/>
  <c r="CM42" i="11" s="1"/>
  <c r="CM30" i="11"/>
  <c r="CM47" i="11" s="1"/>
  <c r="CM36" i="11"/>
  <c r="CM53" i="11" s="1"/>
  <c r="CM11" i="17" s="1"/>
  <c r="CN20" i="11"/>
  <c r="I39" i="30" l="1"/>
  <c r="CC18" i="23"/>
  <c r="CC32" i="19" s="1"/>
  <c r="CM37" i="17"/>
  <c r="CM21" i="19" s="1"/>
  <c r="CE14" i="23"/>
  <c r="CD12" i="19"/>
  <c r="CD17" i="23"/>
  <c r="CD22" i="23" s="1"/>
  <c r="CK17" i="17"/>
  <c r="CN32" i="17"/>
  <c r="CN18" i="10"/>
  <c r="I81" i="30"/>
  <c r="F11" i="35" s="1"/>
  <c r="I75" i="30"/>
  <c r="CN24" i="17"/>
  <c r="CN27" i="17"/>
  <c r="CN13" i="10"/>
  <c r="CO7" i="10"/>
  <c r="CN25" i="11"/>
  <c r="CN42" i="11" s="1"/>
  <c r="CN29" i="11"/>
  <c r="CN46" i="11" s="1"/>
  <c r="CN33" i="11"/>
  <c r="CN50" i="11" s="1"/>
  <c r="CN8" i="17" s="1"/>
  <c r="CN37" i="11"/>
  <c r="CN54" i="11" s="1"/>
  <c r="CN12" i="17" s="1"/>
  <c r="CN28" i="11"/>
  <c r="CN45" i="11" s="1"/>
  <c r="CN34" i="11"/>
  <c r="CN51" i="11" s="1"/>
  <c r="CN9" i="17" s="1"/>
  <c r="CN24" i="11"/>
  <c r="CN41" i="11" s="1"/>
  <c r="CN30" i="11"/>
  <c r="CN47" i="11" s="1"/>
  <c r="CN35" i="11"/>
  <c r="CN52" i="11" s="1"/>
  <c r="CN10" i="17" s="1"/>
  <c r="CN26" i="11"/>
  <c r="CN43" i="11" s="1"/>
  <c r="CN31" i="11"/>
  <c r="CN48" i="11" s="1"/>
  <c r="CN36" i="11"/>
  <c r="CN53" i="11" s="1"/>
  <c r="CN11" i="17" s="1"/>
  <c r="CN32" i="11"/>
  <c r="CN49" i="11" s="1"/>
  <c r="CN27" i="11"/>
  <c r="CN44" i="11" s="1"/>
  <c r="CO20" i="11"/>
  <c r="B100" i="37"/>
  <c r="A99" i="37"/>
  <c r="CL9" i="19"/>
  <c r="CL9" i="20" s="1"/>
  <c r="CL16" i="17"/>
  <c r="CL39" i="17" s="1"/>
  <c r="CN30" i="17"/>
  <c r="CI19" i="19"/>
  <c r="CI16" i="17"/>
  <c r="CM40" i="11"/>
  <c r="CM7" i="17" s="1"/>
  <c r="CM13" i="17" s="1"/>
  <c r="CM55" i="11"/>
  <c r="CM14" i="10" s="1"/>
  <c r="CO31" i="10"/>
  <c r="CO30" i="17" s="1"/>
  <c r="CO34" i="10"/>
  <c r="CP9" i="10"/>
  <c r="CO20" i="10"/>
  <c r="CO21" i="10"/>
  <c r="CO20" i="17" s="1"/>
  <c r="CO24" i="10"/>
  <c r="CO35" i="10"/>
  <c r="CO28" i="10"/>
  <c r="CO27" i="17" s="1"/>
  <c r="CO27" i="10"/>
  <c r="CO26" i="17" s="1"/>
  <c r="CO30" i="10"/>
  <c r="CO22" i="10"/>
  <c r="CO25" i="10"/>
  <c r="CO24" i="17" s="1"/>
  <c r="CO36" i="10"/>
  <c r="CO35" i="17" s="1"/>
  <c r="CO29" i="10"/>
  <c r="CO33" i="10"/>
  <c r="CO32" i="17" s="1"/>
  <c r="CO32" i="10"/>
  <c r="CO31" i="17" s="1"/>
  <c r="CO23" i="10"/>
  <c r="CO22" i="17" s="1"/>
  <c r="CN22" i="17"/>
  <c r="CN26" i="17"/>
  <c r="CN20" i="17"/>
  <c r="CJ39" i="17"/>
  <c r="CJ17" i="17"/>
  <c r="CD18" i="23" l="1"/>
  <c r="CD32" i="19" s="1"/>
  <c r="CF14" i="23"/>
  <c r="CE12" i="19"/>
  <c r="CE17" i="23"/>
  <c r="CE22" i="23" s="1"/>
  <c r="CN37" i="17"/>
  <c r="CN21" i="19" s="1"/>
  <c r="CO21" i="17"/>
  <c r="CP31" i="10"/>
  <c r="CP34" i="10"/>
  <c r="CP33" i="17" s="1"/>
  <c r="CQ9" i="10"/>
  <c r="CP20" i="10"/>
  <c r="CP22" i="10"/>
  <c r="CP21" i="17" s="1"/>
  <c r="CP25" i="10"/>
  <c r="CP24" i="17" s="1"/>
  <c r="CP35" i="10"/>
  <c r="CP34" i="17" s="1"/>
  <c r="CP29" i="10"/>
  <c r="CP28" i="17" s="1"/>
  <c r="CP21" i="10"/>
  <c r="CP24" i="10"/>
  <c r="CP23" i="17" s="1"/>
  <c r="CP36" i="10"/>
  <c r="CP35" i="17" s="1"/>
  <c r="CP30" i="10"/>
  <c r="CP29" i="17" s="1"/>
  <c r="CP27" i="10"/>
  <c r="CP26" i="17" s="1"/>
  <c r="CP28" i="10"/>
  <c r="CP33" i="10"/>
  <c r="CP32" i="17" s="1"/>
  <c r="CP32" i="10"/>
  <c r="CP31" i="17" s="1"/>
  <c r="CP23" i="10"/>
  <c r="CP22" i="17" s="1"/>
  <c r="CO29" i="17"/>
  <c r="CN40" i="11"/>
  <c r="CN7" i="17" s="1"/>
  <c r="CN13" i="17" s="1"/>
  <c r="CM9" i="19"/>
  <c r="CM9" i="20" s="1"/>
  <c r="CO28" i="17"/>
  <c r="CO23" i="17"/>
  <c r="CO33" i="17"/>
  <c r="CI39" i="17"/>
  <c r="CI17" i="17"/>
  <c r="CL17" i="17"/>
  <c r="A100" i="37"/>
  <c r="B101" i="37"/>
  <c r="CO13" i="10"/>
  <c r="CP7" i="10"/>
  <c r="CO34" i="17"/>
  <c r="CO18" i="10"/>
  <c r="CM15" i="10"/>
  <c r="CO27" i="11"/>
  <c r="CO44" i="11" s="1"/>
  <c r="CO31" i="11"/>
  <c r="CO48" i="11" s="1"/>
  <c r="CO35" i="11"/>
  <c r="CO52" i="11" s="1"/>
  <c r="CO10" i="17" s="1"/>
  <c r="CO25" i="11"/>
  <c r="CO42" i="11" s="1"/>
  <c r="CO30" i="11"/>
  <c r="CO47" i="11" s="1"/>
  <c r="CO36" i="11"/>
  <c r="CO53" i="11" s="1"/>
  <c r="CO11" i="17" s="1"/>
  <c r="CO26" i="11"/>
  <c r="CO43" i="11" s="1"/>
  <c r="CO32" i="11"/>
  <c r="CO49" i="11" s="1"/>
  <c r="CO37" i="11"/>
  <c r="CO54" i="11" s="1"/>
  <c r="CO12" i="17" s="1"/>
  <c r="CO28" i="11"/>
  <c r="CO45" i="11" s="1"/>
  <c r="CO33" i="11"/>
  <c r="CO50" i="11" s="1"/>
  <c r="CO8" i="17" s="1"/>
  <c r="CO24" i="11"/>
  <c r="CO41" i="11" s="1"/>
  <c r="CO29" i="11"/>
  <c r="CO46" i="11" s="1"/>
  <c r="CO34" i="11"/>
  <c r="CO51" i="11" s="1"/>
  <c r="CO9" i="17" s="1"/>
  <c r="CP20" i="11"/>
  <c r="CN55" i="11"/>
  <c r="CE18" i="23" l="1"/>
  <c r="CE32" i="19" s="1"/>
  <c r="CG14" i="23"/>
  <c r="CF17" i="23"/>
  <c r="CF22" i="23" s="1"/>
  <c r="CF12" i="19"/>
  <c r="CO37" i="17"/>
  <c r="CO21" i="19" s="1"/>
  <c r="CM16" i="10"/>
  <c r="CM15" i="17" s="1"/>
  <c r="CQ31" i="10"/>
  <c r="CQ30" i="17" s="1"/>
  <c r="CQ34" i="10"/>
  <c r="CR9" i="10"/>
  <c r="CQ20" i="10"/>
  <c r="CQ21" i="10"/>
  <c r="CQ20" i="17" s="1"/>
  <c r="CQ24" i="10"/>
  <c r="CQ23" i="17" s="1"/>
  <c r="CQ36" i="10"/>
  <c r="CQ35" i="17" s="1"/>
  <c r="CQ28" i="10"/>
  <c r="CQ27" i="17" s="1"/>
  <c r="CQ27" i="10"/>
  <c r="CQ26" i="17" s="1"/>
  <c r="CQ30" i="10"/>
  <c r="CQ22" i="10"/>
  <c r="CQ21" i="17" s="1"/>
  <c r="CQ25" i="10"/>
  <c r="CQ24" i="17" s="1"/>
  <c r="CQ35" i="10"/>
  <c r="CQ34" i="17" s="1"/>
  <c r="CQ29" i="10"/>
  <c r="CQ28" i="17" s="1"/>
  <c r="CQ33" i="10"/>
  <c r="CQ32" i="17" s="1"/>
  <c r="CQ32" i="10"/>
  <c r="CQ31" i="17" s="1"/>
  <c r="CQ23" i="10"/>
  <c r="CQ22" i="17" s="1"/>
  <c r="CP27" i="17"/>
  <c r="CP25" i="11"/>
  <c r="CP42" i="11" s="1"/>
  <c r="CP29" i="11"/>
  <c r="CP46" i="11" s="1"/>
  <c r="CP33" i="11"/>
  <c r="CP50" i="11" s="1"/>
  <c r="CP8" i="17" s="1"/>
  <c r="CP37" i="11"/>
  <c r="CP54" i="11" s="1"/>
  <c r="CP12" i="17" s="1"/>
  <c r="CP27" i="11"/>
  <c r="CP44" i="11" s="1"/>
  <c r="CP32" i="11"/>
  <c r="CP49" i="11" s="1"/>
  <c r="CP28" i="11"/>
  <c r="CP45" i="11" s="1"/>
  <c r="CP34" i="11"/>
  <c r="CP51" i="11" s="1"/>
  <c r="CP9" i="17" s="1"/>
  <c r="CP24" i="11"/>
  <c r="CP41" i="11" s="1"/>
  <c r="CP30" i="11"/>
  <c r="CP47" i="11" s="1"/>
  <c r="CP35" i="11"/>
  <c r="CP52" i="11" s="1"/>
  <c r="CP10" i="17" s="1"/>
  <c r="CP26" i="11"/>
  <c r="CP43" i="11" s="1"/>
  <c r="CP31" i="11"/>
  <c r="CP48" i="11" s="1"/>
  <c r="CP36" i="11"/>
  <c r="CP53" i="11" s="1"/>
  <c r="CP11" i="17" s="1"/>
  <c r="CQ20" i="11"/>
  <c r="B102" i="37"/>
  <c r="A101" i="37"/>
  <c r="CO40" i="11"/>
  <c r="CO7" i="17" s="1"/>
  <c r="CO13" i="17" s="1"/>
  <c r="CP13" i="10"/>
  <c r="CQ7" i="10"/>
  <c r="CP20" i="17"/>
  <c r="CP30" i="17"/>
  <c r="CN14" i="10"/>
  <c r="CO55" i="11"/>
  <c r="CO14" i="10" s="1"/>
  <c r="CO15" i="10" s="1"/>
  <c r="CO16" i="10" s="1"/>
  <c r="CO15" i="17" s="1"/>
  <c r="CN9" i="19"/>
  <c r="CN9" i="20" s="1"/>
  <c r="CP18" i="10"/>
  <c r="CF18" i="23" l="1"/>
  <c r="CF32" i="19" s="1"/>
  <c r="CH14" i="23"/>
  <c r="CG17" i="23"/>
  <c r="CG22" i="23" s="1"/>
  <c r="CG12" i="19"/>
  <c r="CO19" i="19"/>
  <c r="CP37" i="17"/>
  <c r="CP21" i="19" s="1"/>
  <c r="CO9" i="19"/>
  <c r="CO9" i="20" s="1"/>
  <c r="CO16" i="17"/>
  <c r="CO39" i="17" s="1"/>
  <c r="CR34" i="10"/>
  <c r="CR33" i="17" s="1"/>
  <c r="CR31" i="10"/>
  <c r="CR30" i="17" s="1"/>
  <c r="CR20" i="10"/>
  <c r="CS9" i="10"/>
  <c r="CR22" i="10"/>
  <c r="CR21" i="17" s="1"/>
  <c r="CR25" i="10"/>
  <c r="CR24" i="17" s="1"/>
  <c r="CR35" i="10"/>
  <c r="CR34" i="17" s="1"/>
  <c r="CR29" i="10"/>
  <c r="CR28" i="17" s="1"/>
  <c r="CR21" i="10"/>
  <c r="CR20" i="17" s="1"/>
  <c r="CR24" i="10"/>
  <c r="CR23" i="17" s="1"/>
  <c r="CR36" i="10"/>
  <c r="CR35" i="17" s="1"/>
  <c r="CR28" i="10"/>
  <c r="CR27" i="17" s="1"/>
  <c r="CR27" i="10"/>
  <c r="CR26" i="17" s="1"/>
  <c r="CR30" i="10"/>
  <c r="CR29" i="17" s="1"/>
  <c r="CR33" i="10"/>
  <c r="CR32" i="17" s="1"/>
  <c r="CR32" i="10"/>
  <c r="CR31" i="17" s="1"/>
  <c r="CR23" i="10"/>
  <c r="CR22" i="17" s="1"/>
  <c r="CN15" i="10"/>
  <c r="CQ27" i="11"/>
  <c r="CQ44" i="11" s="1"/>
  <c r="CQ31" i="11"/>
  <c r="CQ48" i="11" s="1"/>
  <c r="CQ35" i="11"/>
  <c r="CQ52" i="11" s="1"/>
  <c r="CQ10" i="17" s="1"/>
  <c r="CQ24" i="11"/>
  <c r="CQ41" i="11" s="1"/>
  <c r="CQ29" i="11"/>
  <c r="CQ46" i="11" s="1"/>
  <c r="CQ34" i="11"/>
  <c r="CQ51" i="11" s="1"/>
  <c r="CQ9" i="17" s="1"/>
  <c r="CQ25" i="11"/>
  <c r="CQ42" i="11" s="1"/>
  <c r="CQ30" i="11"/>
  <c r="CQ47" i="11" s="1"/>
  <c r="CQ36" i="11"/>
  <c r="CQ53" i="11" s="1"/>
  <c r="CQ11" i="17" s="1"/>
  <c r="CQ26" i="11"/>
  <c r="CQ43" i="11" s="1"/>
  <c r="CQ32" i="11"/>
  <c r="CQ49" i="11" s="1"/>
  <c r="CQ37" i="11"/>
  <c r="CQ54" i="11" s="1"/>
  <c r="CQ12" i="17" s="1"/>
  <c r="CQ33" i="11"/>
  <c r="CQ50" i="11" s="1"/>
  <c r="CQ8" i="17" s="1"/>
  <c r="CQ28" i="11"/>
  <c r="CQ45" i="11" s="1"/>
  <c r="CR20" i="11"/>
  <c r="CQ29" i="17"/>
  <c r="CQ33" i="17"/>
  <c r="A102" i="37"/>
  <c r="B103" i="37"/>
  <c r="CQ13" i="10"/>
  <c r="CR7" i="10"/>
  <c r="CP40" i="11"/>
  <c r="CP7" i="17" s="1"/>
  <c r="CP13" i="17" s="1"/>
  <c r="CP55" i="11"/>
  <c r="CQ18" i="10"/>
  <c r="CM19" i="19"/>
  <c r="CM16" i="17"/>
  <c r="CG18" i="23" l="1"/>
  <c r="CG32" i="19" s="1"/>
  <c r="CI14" i="23"/>
  <c r="CH17" i="23"/>
  <c r="CH22" i="23" s="1"/>
  <c r="CH12" i="19"/>
  <c r="CQ37" i="17"/>
  <c r="CQ21" i="19" s="1"/>
  <c r="CO17" i="17"/>
  <c r="CP9" i="19"/>
  <c r="CP9" i="20" s="1"/>
  <c r="CM39" i="17"/>
  <c r="CM17" i="17"/>
  <c r="CR13" i="10"/>
  <c r="CS7" i="10"/>
  <c r="B104" i="37"/>
  <c r="A103" i="37"/>
  <c r="CR37" i="17"/>
  <c r="CR21" i="19" s="1"/>
  <c r="CQ40" i="11"/>
  <c r="CQ7" i="17" s="1"/>
  <c r="CQ13" i="17" s="1"/>
  <c r="CQ55" i="11"/>
  <c r="CQ14" i="10" s="1"/>
  <c r="CQ15" i="10" s="1"/>
  <c r="CQ16" i="10" s="1"/>
  <c r="CQ15" i="17" s="1"/>
  <c r="CN16" i="10"/>
  <c r="CN15" i="17" s="1"/>
  <c r="CS31" i="10"/>
  <c r="CS30" i="17" s="1"/>
  <c r="CS34" i="10"/>
  <c r="CS33" i="17" s="1"/>
  <c r="CT9" i="10"/>
  <c r="CS20" i="10"/>
  <c r="CS22" i="10"/>
  <c r="CS21" i="17" s="1"/>
  <c r="CS25" i="10"/>
  <c r="CS24" i="17" s="1"/>
  <c r="CS36" i="10"/>
  <c r="CS35" i="17" s="1"/>
  <c r="CS29" i="10"/>
  <c r="CS28" i="17" s="1"/>
  <c r="CS21" i="10"/>
  <c r="CS20" i="17" s="1"/>
  <c r="CS24" i="10"/>
  <c r="CS23" i="17" s="1"/>
  <c r="CS35" i="10"/>
  <c r="CS34" i="17" s="1"/>
  <c r="CS27" i="10"/>
  <c r="CS26" i="17" s="1"/>
  <c r="CS30" i="10"/>
  <c r="CS29" i="17" s="1"/>
  <c r="CS28" i="10"/>
  <c r="CS27" i="17" s="1"/>
  <c r="CS33" i="10"/>
  <c r="CS32" i="17" s="1"/>
  <c r="CS32" i="10"/>
  <c r="CS31" i="17" s="1"/>
  <c r="CS23" i="10"/>
  <c r="CS22" i="17" s="1"/>
  <c r="CP14" i="10"/>
  <c r="CR25" i="11"/>
  <c r="CR42" i="11" s="1"/>
  <c r="CR29" i="11"/>
  <c r="CR46" i="11" s="1"/>
  <c r="CR33" i="11"/>
  <c r="CR50" i="11" s="1"/>
  <c r="CR8" i="17" s="1"/>
  <c r="CR37" i="11"/>
  <c r="CR54" i="11" s="1"/>
  <c r="CR12" i="17" s="1"/>
  <c r="CR26" i="11"/>
  <c r="CR43" i="11" s="1"/>
  <c r="CR31" i="11"/>
  <c r="CR48" i="11" s="1"/>
  <c r="CR36" i="11"/>
  <c r="CR53" i="11" s="1"/>
  <c r="CR11" i="17" s="1"/>
  <c r="CR27" i="11"/>
  <c r="CR44" i="11" s="1"/>
  <c r="CR32" i="11"/>
  <c r="CR49" i="11" s="1"/>
  <c r="CR28" i="11"/>
  <c r="CR45" i="11" s="1"/>
  <c r="CR34" i="11"/>
  <c r="CR51" i="11" s="1"/>
  <c r="CR9" i="17" s="1"/>
  <c r="CR24" i="11"/>
  <c r="CR41" i="11" s="1"/>
  <c r="CR30" i="11"/>
  <c r="CR47" i="11" s="1"/>
  <c r="CR35" i="11"/>
  <c r="CR52" i="11" s="1"/>
  <c r="CR10" i="17" s="1"/>
  <c r="CS20" i="11"/>
  <c r="CR18" i="10"/>
  <c r="CH18" i="23" l="1"/>
  <c r="CH32" i="19" s="1"/>
  <c r="CI17" i="23"/>
  <c r="CI22" i="23" s="1"/>
  <c r="CI12" i="19"/>
  <c r="CJ14" i="23"/>
  <c r="CQ19" i="19"/>
  <c r="CQ9" i="19"/>
  <c r="CQ9" i="20" s="1"/>
  <c r="CQ16" i="17"/>
  <c r="CQ39" i="17" s="1"/>
  <c r="A104" i="37"/>
  <c r="B105" i="37"/>
  <c r="CP15" i="10"/>
  <c r="CS37" i="17"/>
  <c r="CS21" i="19" s="1"/>
  <c r="CS13" i="10"/>
  <c r="CT7" i="10"/>
  <c r="CS27" i="11"/>
  <c r="CS44" i="11" s="1"/>
  <c r="CS31" i="11"/>
  <c r="CS48" i="11" s="1"/>
  <c r="CS35" i="11"/>
  <c r="CS52" i="11" s="1"/>
  <c r="CS10" i="17" s="1"/>
  <c r="CS28" i="11"/>
  <c r="CS45" i="11" s="1"/>
  <c r="CS33" i="11"/>
  <c r="CS50" i="11" s="1"/>
  <c r="CS8" i="17" s="1"/>
  <c r="CS24" i="11"/>
  <c r="CS41" i="11" s="1"/>
  <c r="CS29" i="11"/>
  <c r="CS46" i="11" s="1"/>
  <c r="CS34" i="11"/>
  <c r="CS51" i="11" s="1"/>
  <c r="CS9" i="17" s="1"/>
  <c r="CS25" i="11"/>
  <c r="CS42" i="11" s="1"/>
  <c r="CS30" i="11"/>
  <c r="CS47" i="11" s="1"/>
  <c r="CS36" i="11"/>
  <c r="CS53" i="11" s="1"/>
  <c r="CS11" i="17" s="1"/>
  <c r="CS26" i="11"/>
  <c r="CS43" i="11" s="1"/>
  <c r="CS32" i="11"/>
  <c r="CS49" i="11" s="1"/>
  <c r="CS37" i="11"/>
  <c r="CS54" i="11" s="1"/>
  <c r="CS12" i="17" s="1"/>
  <c r="CT20" i="11"/>
  <c r="CT31" i="10"/>
  <c r="CT34" i="10"/>
  <c r="CT20" i="10"/>
  <c r="CU9" i="10"/>
  <c r="CT21" i="10"/>
  <c r="CT24" i="10"/>
  <c r="CT36" i="10"/>
  <c r="CT28" i="10"/>
  <c r="CT27" i="10"/>
  <c r="CT30" i="10"/>
  <c r="CT22" i="10"/>
  <c r="CT25" i="10"/>
  <c r="CT35" i="10"/>
  <c r="CT29" i="10"/>
  <c r="CT33" i="10"/>
  <c r="CT32" i="10"/>
  <c r="CT23" i="10"/>
  <c r="CR40" i="11"/>
  <c r="CR7" i="17" s="1"/>
  <c r="CR13" i="17" s="1"/>
  <c r="CR55" i="11"/>
  <c r="CR14" i="10" s="1"/>
  <c r="CR15" i="10" s="1"/>
  <c r="CR16" i="10" s="1"/>
  <c r="CR15" i="17" s="1"/>
  <c r="CR19" i="19" s="1"/>
  <c r="CS18" i="10"/>
  <c r="CN19" i="19"/>
  <c r="CN16" i="17"/>
  <c r="CI18" i="23" l="1"/>
  <c r="CI32" i="19" s="1"/>
  <c r="CK14" i="23"/>
  <c r="CJ12" i="19"/>
  <c r="CJ17" i="23"/>
  <c r="CJ22" i="23" s="1"/>
  <c r="CT31" i="17"/>
  <c r="L32" i="32"/>
  <c r="CT24" i="17"/>
  <c r="L25" i="32"/>
  <c r="CU31" i="10"/>
  <c r="CU34" i="10"/>
  <c r="CV9" i="10"/>
  <c r="CU20" i="10"/>
  <c r="CU22" i="10"/>
  <c r="CU25" i="10"/>
  <c r="CU35" i="10"/>
  <c r="CU29" i="10"/>
  <c r="CU21" i="10"/>
  <c r="CU24" i="10"/>
  <c r="CU36" i="10"/>
  <c r="CU28" i="10"/>
  <c r="CU30" i="10"/>
  <c r="CU27" i="10"/>
  <c r="CU33" i="10"/>
  <c r="CU32" i="10"/>
  <c r="CU23" i="10"/>
  <c r="CT24" i="11"/>
  <c r="CT41" i="11" s="1"/>
  <c r="CT28" i="11"/>
  <c r="CT45" i="11" s="1"/>
  <c r="CT32" i="11"/>
  <c r="CT49" i="11" s="1"/>
  <c r="CT36" i="11"/>
  <c r="CT53" i="11" s="1"/>
  <c r="CT11" i="17" s="1"/>
  <c r="CT25" i="11"/>
  <c r="CT42" i="11" s="1"/>
  <c r="CT29" i="11"/>
  <c r="CT46" i="11" s="1"/>
  <c r="CT33" i="11"/>
  <c r="CT50" i="11" s="1"/>
  <c r="CT8" i="17" s="1"/>
  <c r="CT37" i="11"/>
  <c r="CT54" i="11" s="1"/>
  <c r="CT12" i="17" s="1"/>
  <c r="CT26" i="11"/>
  <c r="CT43" i="11" s="1"/>
  <c r="CT30" i="11"/>
  <c r="CT47" i="11" s="1"/>
  <c r="CT34" i="11"/>
  <c r="CT51" i="11" s="1"/>
  <c r="CT9" i="17" s="1"/>
  <c r="CT31" i="11"/>
  <c r="CT48" i="11" s="1"/>
  <c r="CT35" i="11"/>
  <c r="CT52" i="11" s="1"/>
  <c r="CT10" i="17" s="1"/>
  <c r="CT27" i="11"/>
  <c r="CT44" i="11" s="1"/>
  <c r="CU20" i="11"/>
  <c r="CT32" i="17"/>
  <c r="L33" i="32"/>
  <c r="CT35" i="17"/>
  <c r="L36" i="32"/>
  <c r="CT18" i="10"/>
  <c r="CI38" i="10" s="1"/>
  <c r="L20" i="32"/>
  <c r="B106" i="37"/>
  <c r="A105" i="37"/>
  <c r="CT23" i="17"/>
  <c r="L24" i="32"/>
  <c r="CT33" i="17"/>
  <c r="L34" i="32"/>
  <c r="CT27" i="17"/>
  <c r="L28" i="32"/>
  <c r="CR9" i="19"/>
  <c r="CR9" i="20" s="1"/>
  <c r="CR16" i="17"/>
  <c r="CR39" i="17" s="1"/>
  <c r="CT21" i="17"/>
  <c r="L22" i="32"/>
  <c r="CS40" i="11"/>
  <c r="CS7" i="17" s="1"/>
  <c r="CS13" i="17" s="1"/>
  <c r="CS55" i="11"/>
  <c r="CS14" i="10" s="1"/>
  <c r="CS15" i="10" s="1"/>
  <c r="CS16" i="10" s="1"/>
  <c r="CS15" i="17" s="1"/>
  <c r="CS19" i="19" s="1"/>
  <c r="CN39" i="17"/>
  <c r="CN17" i="17"/>
  <c r="CT28" i="17"/>
  <c r="L29" i="32"/>
  <c r="CT29" i="17"/>
  <c r="L30" i="32"/>
  <c r="CT22" i="17"/>
  <c r="L23" i="32"/>
  <c r="CT34" i="17"/>
  <c r="L35" i="32"/>
  <c r="CT26" i="17"/>
  <c r="L27" i="32"/>
  <c r="CT20" i="17"/>
  <c r="L21" i="32"/>
  <c r="I9" i="43" s="1"/>
  <c r="CT30" i="17"/>
  <c r="L31" i="32"/>
  <c r="CT13" i="10"/>
  <c r="L13" i="32" s="1"/>
  <c r="I2" i="43" s="1"/>
  <c r="CU7" i="10"/>
  <c r="CP16" i="10"/>
  <c r="CP15" i="17" s="1"/>
  <c r="CQ17" i="17"/>
  <c r="CJ18" i="23" l="1"/>
  <c r="CJ32" i="19" s="1"/>
  <c r="L38" i="32"/>
  <c r="J20" i="30"/>
  <c r="I15" i="43"/>
  <c r="J13" i="30"/>
  <c r="I8" i="43"/>
  <c r="J21" i="30"/>
  <c r="I16" i="43"/>
  <c r="J25" i="30"/>
  <c r="I20" i="43"/>
  <c r="J29" i="30"/>
  <c r="I24" i="43"/>
  <c r="J26" i="30"/>
  <c r="I21" i="43"/>
  <c r="J22" i="30"/>
  <c r="I17" i="43"/>
  <c r="J18" i="30"/>
  <c r="I13" i="43"/>
  <c r="J28" i="30"/>
  <c r="I23" i="43"/>
  <c r="J24" i="30"/>
  <c r="I19" i="43"/>
  <c r="J16" i="30"/>
  <c r="I11" i="43"/>
  <c r="J27" i="30"/>
  <c r="I22" i="43"/>
  <c r="J23" i="30"/>
  <c r="I18" i="43"/>
  <c r="J15" i="30"/>
  <c r="I10" i="43"/>
  <c r="J17" i="30"/>
  <c r="I12" i="43"/>
  <c r="CL14" i="23"/>
  <c r="CK17" i="23"/>
  <c r="CK22" i="23" s="1"/>
  <c r="CK12" i="19"/>
  <c r="CR17" i="17"/>
  <c r="CS9" i="19"/>
  <c r="CS9" i="20" s="1"/>
  <c r="CS16" i="17"/>
  <c r="CS39" i="17" s="1"/>
  <c r="CP19" i="19"/>
  <c r="CP16" i="17"/>
  <c r="CU26" i="17"/>
  <c r="CU33" i="17"/>
  <c r="CU13" i="10"/>
  <c r="CV7" i="10"/>
  <c r="CU29" i="17"/>
  <c r="J7" i="30"/>
  <c r="CU25" i="11"/>
  <c r="CU26" i="11"/>
  <c r="CU30" i="11"/>
  <c r="CU34" i="11"/>
  <c r="K19" i="38"/>
  <c r="CU28" i="11"/>
  <c r="CU33" i="11"/>
  <c r="CU24" i="11"/>
  <c r="CU29" i="11"/>
  <c r="CU35" i="11"/>
  <c r="CU36" i="11"/>
  <c r="CU32" i="11"/>
  <c r="CU37" i="11"/>
  <c r="CU27" i="11"/>
  <c r="CU31" i="11"/>
  <c r="CV20" i="11"/>
  <c r="CU31" i="17"/>
  <c r="CU27" i="17"/>
  <c r="CU28" i="17"/>
  <c r="CU18" i="10"/>
  <c r="CT55" i="11"/>
  <c r="CT40" i="11"/>
  <c r="CT7" i="17" s="1"/>
  <c r="CT13" i="17" s="1"/>
  <c r="CU23" i="17"/>
  <c r="CU24" i="17"/>
  <c r="CT37" i="17"/>
  <c r="CT21" i="19" s="1"/>
  <c r="CU22" i="17"/>
  <c r="CU20" i="17"/>
  <c r="CU21" i="17"/>
  <c r="CU30" i="17"/>
  <c r="J14" i="30"/>
  <c r="A106" i="37"/>
  <c r="B107" i="37"/>
  <c r="CU32" i="17"/>
  <c r="CU35" i="17"/>
  <c r="CU34" i="17"/>
  <c r="CV31" i="10"/>
  <c r="CV30" i="17" s="1"/>
  <c r="CV34" i="10"/>
  <c r="CV33" i="17" s="1"/>
  <c r="CV20" i="10"/>
  <c r="CW9" i="10"/>
  <c r="CV21" i="10"/>
  <c r="CV20" i="17" s="1"/>
  <c r="CV24" i="10"/>
  <c r="CV23" i="17" s="1"/>
  <c r="CV36" i="10"/>
  <c r="CV35" i="17" s="1"/>
  <c r="CV28" i="10"/>
  <c r="CV27" i="17" s="1"/>
  <c r="CV27" i="10"/>
  <c r="CV26" i="17" s="1"/>
  <c r="CV30" i="10"/>
  <c r="CV29" i="17" s="1"/>
  <c r="CV22" i="10"/>
  <c r="CV21" i="17" s="1"/>
  <c r="CV25" i="10"/>
  <c r="CV24" i="17" s="1"/>
  <c r="CV35" i="10"/>
  <c r="CV34" i="17" s="1"/>
  <c r="CV29" i="10"/>
  <c r="CV28" i="17" s="1"/>
  <c r="CV33" i="10"/>
  <c r="CV32" i="17" s="1"/>
  <c r="CV32" i="10"/>
  <c r="CV31" i="17" s="1"/>
  <c r="CV23" i="10"/>
  <c r="CV22" i="17" s="1"/>
  <c r="J31" i="30" l="1"/>
  <c r="J67" i="30" s="1"/>
  <c r="I9" i="34" s="1"/>
  <c r="I26" i="43"/>
  <c r="CK18" i="23"/>
  <c r="CK32" i="19" s="1"/>
  <c r="CL17" i="23"/>
  <c r="CL22" i="23" s="1"/>
  <c r="CM14" i="23"/>
  <c r="CL12" i="19"/>
  <c r="K36" i="38"/>
  <c r="K54" i="38" s="1"/>
  <c r="CU54" i="11"/>
  <c r="CU12" i="17" s="1"/>
  <c r="CP39" i="17"/>
  <c r="CP17" i="17"/>
  <c r="CV26" i="11"/>
  <c r="CV43" i="11" s="1"/>
  <c r="CV30" i="11"/>
  <c r="CV47" i="11" s="1"/>
  <c r="CV34" i="11"/>
  <c r="CV51" i="11" s="1"/>
  <c r="CV9" i="17" s="1"/>
  <c r="CV27" i="11"/>
  <c r="CV44" i="11" s="1"/>
  <c r="CV31" i="11"/>
  <c r="CV48" i="11" s="1"/>
  <c r="CV35" i="11"/>
  <c r="CV52" i="11" s="1"/>
  <c r="CV10" i="17" s="1"/>
  <c r="CV24" i="11"/>
  <c r="CV41" i="11" s="1"/>
  <c r="CV28" i="11"/>
  <c r="CV45" i="11" s="1"/>
  <c r="CV32" i="11"/>
  <c r="CV49" i="11" s="1"/>
  <c r="CV36" i="11"/>
  <c r="CV53" i="11" s="1"/>
  <c r="CV11" i="17" s="1"/>
  <c r="CV33" i="11"/>
  <c r="CV50" i="11" s="1"/>
  <c r="CV8" i="17" s="1"/>
  <c r="CV37" i="11"/>
  <c r="CV54" i="11" s="1"/>
  <c r="CV12" i="17" s="1"/>
  <c r="CV25" i="11"/>
  <c r="CV42" i="11" s="1"/>
  <c r="CV29" i="11"/>
  <c r="CV46" i="11" s="1"/>
  <c r="CW20" i="11"/>
  <c r="K31" i="38"/>
  <c r="K49" i="38" s="1"/>
  <c r="CU49" i="11"/>
  <c r="K23" i="38"/>
  <c r="K41" i="38" s="1"/>
  <c r="CU41" i="11"/>
  <c r="K33" i="38"/>
  <c r="K51" i="38" s="1"/>
  <c r="CU51" i="11"/>
  <c r="CU9" i="17" s="1"/>
  <c r="CV13" i="10"/>
  <c r="CW7" i="10"/>
  <c r="CV18" i="10"/>
  <c r="CT9" i="19"/>
  <c r="CT9" i="20" s="1"/>
  <c r="K28" i="38"/>
  <c r="K46" i="38" s="1"/>
  <c r="CU46" i="11"/>
  <c r="K24" i="38"/>
  <c r="K42" i="38" s="1"/>
  <c r="CU42" i="11"/>
  <c r="B108" i="37"/>
  <c r="A107" i="37"/>
  <c r="CV37" i="17"/>
  <c r="CV21" i="19" s="1"/>
  <c r="K30" i="38"/>
  <c r="K48" i="38" s="1"/>
  <c r="CU48" i="11"/>
  <c r="K35" i="38"/>
  <c r="K53" i="38" s="1"/>
  <c r="CU53" i="11"/>
  <c r="CU11" i="17" s="1"/>
  <c r="K32" i="38"/>
  <c r="K50" i="38" s="1"/>
  <c r="CU50" i="11"/>
  <c r="CU8" i="17" s="1"/>
  <c r="K29" i="38"/>
  <c r="K47" i="38" s="1"/>
  <c r="CU47" i="11"/>
  <c r="CS17" i="17"/>
  <c r="CW31" i="10"/>
  <c r="CW34" i="10"/>
  <c r="CW33" i="17" s="1"/>
  <c r="CX9" i="10"/>
  <c r="CW20" i="10"/>
  <c r="CW22" i="10"/>
  <c r="CW21" i="17" s="1"/>
  <c r="CW25" i="10"/>
  <c r="CW24" i="17" s="1"/>
  <c r="CW35" i="10"/>
  <c r="CW29" i="10"/>
  <c r="CW28" i="17" s="1"/>
  <c r="CW21" i="10"/>
  <c r="CW20" i="17" s="1"/>
  <c r="CW24" i="10"/>
  <c r="CW23" i="17" s="1"/>
  <c r="CW36" i="10"/>
  <c r="CW35" i="17" s="1"/>
  <c r="CW27" i="10"/>
  <c r="CW26" i="17" s="1"/>
  <c r="CW30" i="10"/>
  <c r="CW28" i="10"/>
  <c r="CW27" i="17" s="1"/>
  <c r="CW33" i="10"/>
  <c r="CW32" i="17" s="1"/>
  <c r="CW32" i="10"/>
  <c r="CW31" i="17" s="1"/>
  <c r="CW23" i="10"/>
  <c r="CU37" i="17"/>
  <c r="CU21" i="19" s="1"/>
  <c r="CT14" i="10"/>
  <c r="CI56" i="11"/>
  <c r="L6" i="32" s="1"/>
  <c r="L7" i="32" s="1"/>
  <c r="K26" i="38"/>
  <c r="K44" i="38" s="1"/>
  <c r="CU44" i="11"/>
  <c r="K34" i="38"/>
  <c r="K52" i="38" s="1"/>
  <c r="CU52" i="11"/>
  <c r="CU10" i="17" s="1"/>
  <c r="K27" i="38"/>
  <c r="K45" i="38" s="1"/>
  <c r="CU45" i="11"/>
  <c r="K25" i="38"/>
  <c r="K43" i="38" s="1"/>
  <c r="CU43" i="11"/>
  <c r="CL18" i="23" l="1"/>
  <c r="CL32" i="19" s="1"/>
  <c r="CM12" i="19"/>
  <c r="CN14" i="23"/>
  <c r="CM17" i="23"/>
  <c r="CM22" i="23" s="1"/>
  <c r="CT15" i="10"/>
  <c r="L14" i="32"/>
  <c r="I3" i="43" s="1"/>
  <c r="CW30" i="17"/>
  <c r="CW13" i="10"/>
  <c r="CX7" i="10"/>
  <c r="CV40" i="11"/>
  <c r="CV7" i="17" s="1"/>
  <c r="CV13" i="17" s="1"/>
  <c r="CV55" i="11"/>
  <c r="CV14" i="10" s="1"/>
  <c r="CV15" i="10" s="1"/>
  <c r="CV16" i="10" s="1"/>
  <c r="CV15" i="17" s="1"/>
  <c r="CV19" i="19" s="1"/>
  <c r="CW18" i="10"/>
  <c r="K55" i="38"/>
  <c r="L9" i="32"/>
  <c r="J6" i="30" s="1"/>
  <c r="J5" i="30"/>
  <c r="CW22" i="17"/>
  <c r="CW29" i="17"/>
  <c r="CU40" i="11"/>
  <c r="CU7" i="17" s="1"/>
  <c r="CU13" i="17" s="1"/>
  <c r="CU55" i="11"/>
  <c r="CW24" i="11"/>
  <c r="CW41" i="11" s="1"/>
  <c r="CW28" i="11"/>
  <c r="CW45" i="11" s="1"/>
  <c r="CW32" i="11"/>
  <c r="CW49" i="11" s="1"/>
  <c r="CW36" i="11"/>
  <c r="CW53" i="11" s="1"/>
  <c r="CW11" i="17" s="1"/>
  <c r="CW25" i="11"/>
  <c r="CW42" i="11" s="1"/>
  <c r="CW29" i="11"/>
  <c r="CW46" i="11" s="1"/>
  <c r="CW33" i="11"/>
  <c r="CW50" i="11" s="1"/>
  <c r="CW8" i="17" s="1"/>
  <c r="CW37" i="11"/>
  <c r="CW54" i="11" s="1"/>
  <c r="CW12" i="17" s="1"/>
  <c r="CW26" i="11"/>
  <c r="CW43" i="11" s="1"/>
  <c r="CW30" i="11"/>
  <c r="CW47" i="11" s="1"/>
  <c r="CW34" i="11"/>
  <c r="CW51" i="11" s="1"/>
  <c r="CW9" i="17" s="1"/>
  <c r="CW35" i="11"/>
  <c r="CW52" i="11" s="1"/>
  <c r="CW10" i="17" s="1"/>
  <c r="CW27" i="11"/>
  <c r="CW44" i="11" s="1"/>
  <c r="CW31" i="11"/>
  <c r="CW48" i="11" s="1"/>
  <c r="CX20" i="11"/>
  <c r="CW34" i="17"/>
  <c r="CX31" i="10"/>
  <c r="CX30" i="17" s="1"/>
  <c r="CX34" i="10"/>
  <c r="CX33" i="17" s="1"/>
  <c r="CY9" i="10"/>
  <c r="CX21" i="10"/>
  <c r="CX20" i="17" s="1"/>
  <c r="CX24" i="10"/>
  <c r="CX23" i="17" s="1"/>
  <c r="CX36" i="10"/>
  <c r="CX20" i="10"/>
  <c r="CX28" i="10"/>
  <c r="CX27" i="17" s="1"/>
  <c r="CX27" i="10"/>
  <c r="CX26" i="17" s="1"/>
  <c r="CX30" i="10"/>
  <c r="CX29" i="17" s="1"/>
  <c r="CX22" i="10"/>
  <c r="CX21" i="17" s="1"/>
  <c r="CX25" i="10"/>
  <c r="CX24" i="17" s="1"/>
  <c r="CX35" i="10"/>
  <c r="CX34" i="17" s="1"/>
  <c r="CX29" i="10"/>
  <c r="CX28" i="17" s="1"/>
  <c r="CX33" i="10"/>
  <c r="CX32" i="10"/>
  <c r="CX31" i="17" s="1"/>
  <c r="CX23" i="10"/>
  <c r="CX22" i="17" s="1"/>
  <c r="A108" i="37"/>
  <c r="B109" i="37"/>
  <c r="CM18" i="23" l="1"/>
  <c r="CM32" i="19" s="1"/>
  <c r="CN17" i="23"/>
  <c r="CN22" i="23" s="1"/>
  <c r="CO14" i="23"/>
  <c r="CN12" i="19"/>
  <c r="B110" i="37"/>
  <c r="A109" i="37"/>
  <c r="CW40" i="11"/>
  <c r="CW7" i="17" s="1"/>
  <c r="CW13" i="17" s="1"/>
  <c r="CW55" i="11"/>
  <c r="CW14" i="10" s="1"/>
  <c r="CW15" i="10" s="1"/>
  <c r="CW16" i="10" s="1"/>
  <c r="CW15" i="17" s="1"/>
  <c r="J54" i="30"/>
  <c r="J59" i="30"/>
  <c r="J43" i="30"/>
  <c r="J48" i="30"/>
  <c r="J53" i="30"/>
  <c r="J47" i="30"/>
  <c r="J57" i="30"/>
  <c r="J64" i="30"/>
  <c r="J50" i="30"/>
  <c r="J55" i="30"/>
  <c r="J60" i="30"/>
  <c r="J44" i="30"/>
  <c r="J49" i="30"/>
  <c r="J46" i="30"/>
  <c r="J51" i="30"/>
  <c r="J40" i="30"/>
  <c r="J45" i="30"/>
  <c r="J66" i="30"/>
  <c r="I8" i="34" s="1"/>
  <c r="J56" i="30"/>
  <c r="J58" i="30"/>
  <c r="J42" i="30"/>
  <c r="J52" i="30"/>
  <c r="J41" i="30"/>
  <c r="J3" i="30"/>
  <c r="CV9" i="19"/>
  <c r="CV16" i="17"/>
  <c r="CV39" i="17" s="1"/>
  <c r="CU9" i="19"/>
  <c r="CU9" i="20" s="1"/>
  <c r="CX35" i="17"/>
  <c r="CX37" i="17" s="1"/>
  <c r="CX21" i="19" s="1"/>
  <c r="CU14" i="10"/>
  <c r="CX13" i="10"/>
  <c r="CY7" i="10"/>
  <c r="J8" i="30"/>
  <c r="CX32" i="17"/>
  <c r="CX18" i="10"/>
  <c r="CY31" i="10"/>
  <c r="CY34" i="10"/>
  <c r="CY33" i="17" s="1"/>
  <c r="CZ9" i="10"/>
  <c r="CY20" i="10"/>
  <c r="CY22" i="10"/>
  <c r="CY21" i="17" s="1"/>
  <c r="CY25" i="10"/>
  <c r="CY35" i="10"/>
  <c r="CY34" i="17" s="1"/>
  <c r="CY29" i="10"/>
  <c r="CY28" i="17" s="1"/>
  <c r="CY21" i="10"/>
  <c r="CY24" i="10"/>
  <c r="CY23" i="17" s="1"/>
  <c r="CY36" i="10"/>
  <c r="CY35" i="17" s="1"/>
  <c r="CY28" i="10"/>
  <c r="CY30" i="10"/>
  <c r="CY29" i="17" s="1"/>
  <c r="CY27" i="10"/>
  <c r="CY33" i="10"/>
  <c r="CY32" i="17" s="1"/>
  <c r="CY32" i="10"/>
  <c r="CY31" i="17" s="1"/>
  <c r="CY23" i="10"/>
  <c r="CY22" i="17" s="1"/>
  <c r="CX26" i="11"/>
  <c r="CX43" i="11" s="1"/>
  <c r="CX30" i="11"/>
  <c r="CX47" i="11" s="1"/>
  <c r="CX34" i="11"/>
  <c r="CX51" i="11" s="1"/>
  <c r="CX9" i="17" s="1"/>
  <c r="CX27" i="11"/>
  <c r="CX44" i="11" s="1"/>
  <c r="CX31" i="11"/>
  <c r="CX48" i="11" s="1"/>
  <c r="CX35" i="11"/>
  <c r="CX52" i="11" s="1"/>
  <c r="CX10" i="17" s="1"/>
  <c r="CX24" i="11"/>
  <c r="CX41" i="11" s="1"/>
  <c r="CX28" i="11"/>
  <c r="CX45" i="11" s="1"/>
  <c r="CX32" i="11"/>
  <c r="CX49" i="11" s="1"/>
  <c r="CX36" i="11"/>
  <c r="CX53" i="11" s="1"/>
  <c r="CX11" i="17" s="1"/>
  <c r="CX37" i="11"/>
  <c r="CX54" i="11" s="1"/>
  <c r="CX12" i="17" s="1"/>
  <c r="CX25" i="11"/>
  <c r="CX42" i="11" s="1"/>
  <c r="CX29" i="11"/>
  <c r="CX46" i="11" s="1"/>
  <c r="CX33" i="11"/>
  <c r="CX50" i="11" s="1"/>
  <c r="CX8" i="17" s="1"/>
  <c r="CY20" i="11"/>
  <c r="CW37" i="17"/>
  <c r="CW21" i="19" s="1"/>
  <c r="CT16" i="10"/>
  <c r="CT15" i="17" s="1"/>
  <c r="L15" i="32"/>
  <c r="CN18" i="23" l="1"/>
  <c r="CN32" i="19" s="1"/>
  <c r="J9" i="30"/>
  <c r="J10" i="30" s="1"/>
  <c r="J32" i="30" s="1"/>
  <c r="I4" i="43"/>
  <c r="CO17" i="23"/>
  <c r="CO22" i="23" s="1"/>
  <c r="CO12" i="19"/>
  <c r="CP14" i="23"/>
  <c r="CW19" i="19"/>
  <c r="CV17" i="17"/>
  <c r="CY26" i="17"/>
  <c r="CY24" i="17"/>
  <c r="CY13" i="10"/>
  <c r="CZ7" i="10"/>
  <c r="CU15" i="10"/>
  <c r="CU16" i="10" s="1"/>
  <c r="CU15" i="17" s="1"/>
  <c r="A110" i="37"/>
  <c r="B111" i="37"/>
  <c r="CT19" i="19"/>
  <c r="CT16" i="17"/>
  <c r="CW9" i="19"/>
  <c r="CW9" i="20" s="1"/>
  <c r="CW16" i="17"/>
  <c r="CW39" i="17" s="1"/>
  <c r="CY20" i="17"/>
  <c r="CY30" i="17"/>
  <c r="CV9" i="20"/>
  <c r="CZ31" i="10"/>
  <c r="CZ30" i="17" s="1"/>
  <c r="CZ34" i="10"/>
  <c r="CZ33" i="17" s="1"/>
  <c r="CZ20" i="10"/>
  <c r="DA9" i="10"/>
  <c r="CZ21" i="10"/>
  <c r="CZ20" i="17" s="1"/>
  <c r="CZ24" i="10"/>
  <c r="CZ23" i="17" s="1"/>
  <c r="CZ36" i="10"/>
  <c r="CZ35" i="17" s="1"/>
  <c r="CZ28" i="10"/>
  <c r="CZ27" i="17" s="1"/>
  <c r="CZ27" i="10"/>
  <c r="CZ26" i="17" s="1"/>
  <c r="CZ30" i="10"/>
  <c r="CZ22" i="10"/>
  <c r="CZ25" i="10"/>
  <c r="CZ24" i="17" s="1"/>
  <c r="CZ35" i="10"/>
  <c r="CZ34" i="17" s="1"/>
  <c r="CZ29" i="10"/>
  <c r="CZ28" i="17" s="1"/>
  <c r="CZ33" i="10"/>
  <c r="CZ32" i="17" s="1"/>
  <c r="CZ32" i="10"/>
  <c r="CZ31" i="17" s="1"/>
  <c r="CZ23" i="10"/>
  <c r="CY24" i="11"/>
  <c r="CY41" i="11" s="1"/>
  <c r="CY28" i="11"/>
  <c r="CY45" i="11" s="1"/>
  <c r="CY32" i="11"/>
  <c r="CY49" i="11" s="1"/>
  <c r="CY36" i="11"/>
  <c r="CY53" i="11" s="1"/>
  <c r="CY11" i="17" s="1"/>
  <c r="CY25" i="11"/>
  <c r="CY42" i="11" s="1"/>
  <c r="CY29" i="11"/>
  <c r="CY46" i="11" s="1"/>
  <c r="CY33" i="11"/>
  <c r="CY50" i="11" s="1"/>
  <c r="CY8" i="17" s="1"/>
  <c r="CY37" i="11"/>
  <c r="CY54" i="11" s="1"/>
  <c r="CY12" i="17" s="1"/>
  <c r="CY26" i="11"/>
  <c r="CY43" i="11" s="1"/>
  <c r="CY30" i="11"/>
  <c r="CY47" i="11" s="1"/>
  <c r="CY34" i="11"/>
  <c r="CY51" i="11" s="1"/>
  <c r="CY9" i="17" s="1"/>
  <c r="CY27" i="11"/>
  <c r="CY44" i="11" s="1"/>
  <c r="CY31" i="11"/>
  <c r="CY48" i="11" s="1"/>
  <c r="CY35" i="11"/>
  <c r="CY52" i="11" s="1"/>
  <c r="CY10" i="17" s="1"/>
  <c r="CZ20" i="11"/>
  <c r="CX55" i="11"/>
  <c r="CX40" i="11"/>
  <c r="CX7" i="17" s="1"/>
  <c r="CX13" i="17" s="1"/>
  <c r="CY27" i="17"/>
  <c r="CY18" i="10"/>
  <c r="L16" i="32"/>
  <c r="I6" i="34"/>
  <c r="J68" i="30"/>
  <c r="CO18" i="23" l="1"/>
  <c r="CO32" i="19" s="1"/>
  <c r="L17" i="32"/>
  <c r="I5" i="43"/>
  <c r="CP17" i="23"/>
  <c r="CP22" i="23" s="1"/>
  <c r="CP12" i="19"/>
  <c r="CQ14" i="23"/>
  <c r="CY37" i="17"/>
  <c r="CY21" i="19" s="1"/>
  <c r="J39" i="30"/>
  <c r="CX9" i="19"/>
  <c r="CX9" i="20" s="1"/>
  <c r="CU19" i="19"/>
  <c r="CU16" i="17"/>
  <c r="B112" i="37"/>
  <c r="A111" i="37"/>
  <c r="CZ26" i="11"/>
  <c r="CZ43" i="11" s="1"/>
  <c r="CZ30" i="11"/>
  <c r="CZ47" i="11" s="1"/>
  <c r="CZ34" i="11"/>
  <c r="CZ51" i="11" s="1"/>
  <c r="CZ9" i="17" s="1"/>
  <c r="CZ27" i="11"/>
  <c r="CZ44" i="11" s="1"/>
  <c r="CZ31" i="11"/>
  <c r="CZ48" i="11" s="1"/>
  <c r="CZ35" i="11"/>
  <c r="CZ52" i="11" s="1"/>
  <c r="CZ10" i="17" s="1"/>
  <c r="CZ24" i="11"/>
  <c r="CZ41" i="11" s="1"/>
  <c r="CZ28" i="11"/>
  <c r="CZ45" i="11" s="1"/>
  <c r="CZ32" i="11"/>
  <c r="CZ49" i="11" s="1"/>
  <c r="CZ36" i="11"/>
  <c r="CZ53" i="11" s="1"/>
  <c r="CZ11" i="17" s="1"/>
  <c r="CZ25" i="11"/>
  <c r="CZ42" i="11" s="1"/>
  <c r="CZ29" i="11"/>
  <c r="CZ46" i="11" s="1"/>
  <c r="CZ33" i="11"/>
  <c r="CZ50" i="11" s="1"/>
  <c r="CZ8" i="17" s="1"/>
  <c r="CZ37" i="11"/>
  <c r="CZ54" i="11" s="1"/>
  <c r="CZ12" i="17" s="1"/>
  <c r="DA20" i="11"/>
  <c r="DA31" i="10"/>
  <c r="DA30" i="17" s="1"/>
  <c r="DA34" i="10"/>
  <c r="DA33" i="17" s="1"/>
  <c r="DB9" i="10"/>
  <c r="DA20" i="10"/>
  <c r="DA22" i="10"/>
  <c r="DA21" i="17" s="1"/>
  <c r="DA25" i="10"/>
  <c r="DA35" i="10"/>
  <c r="DA29" i="10"/>
  <c r="DA28" i="17" s="1"/>
  <c r="DA21" i="10"/>
  <c r="DA20" i="17" s="1"/>
  <c r="DA24" i="10"/>
  <c r="DA23" i="17" s="1"/>
  <c r="DA36" i="10"/>
  <c r="DA27" i="10"/>
  <c r="DA26" i="17" s="1"/>
  <c r="DA30" i="10"/>
  <c r="DA29" i="17" s="1"/>
  <c r="DA28" i="10"/>
  <c r="DA33" i="10"/>
  <c r="DA32" i="17" s="1"/>
  <c r="DA32" i="10"/>
  <c r="DA31" i="17" s="1"/>
  <c r="DA23" i="10"/>
  <c r="DA22" i="17" s="1"/>
  <c r="CZ13" i="10"/>
  <c r="DA7" i="10"/>
  <c r="CX14" i="10"/>
  <c r="CZ22" i="17"/>
  <c r="CZ21" i="17"/>
  <c r="CZ18" i="10"/>
  <c r="CT39" i="17"/>
  <c r="CT17" i="17"/>
  <c r="J81" i="30"/>
  <c r="F12" i="35" s="1"/>
  <c r="J75" i="30"/>
  <c r="CY40" i="11"/>
  <c r="CY7" i="17" s="1"/>
  <c r="CY13" i="17" s="1"/>
  <c r="CY55" i="11"/>
  <c r="CY14" i="10" s="1"/>
  <c r="CY15" i="10" s="1"/>
  <c r="CZ29" i="17"/>
  <c r="CW17" i="17"/>
  <c r="CP18" i="23" l="1"/>
  <c r="CP32" i="19" s="1"/>
  <c r="CQ12" i="19"/>
  <c r="CR14" i="23"/>
  <c r="CQ17" i="23"/>
  <c r="CQ22" i="23" s="1"/>
  <c r="CY16" i="10"/>
  <c r="CY15" i="17" s="1"/>
  <c r="CY16" i="17" s="1"/>
  <c r="CY9" i="19"/>
  <c r="CY9" i="20" s="1"/>
  <c r="DA13" i="10"/>
  <c r="DB7" i="10"/>
  <c r="DA34" i="17"/>
  <c r="A112" i="37"/>
  <c r="B113" i="37"/>
  <c r="CZ37" i="17"/>
  <c r="CZ21" i="19" s="1"/>
  <c r="DA27" i="17"/>
  <c r="DA24" i="17"/>
  <c r="CU39" i="17"/>
  <c r="CU17" i="17"/>
  <c r="DB31" i="10"/>
  <c r="DB34" i="10"/>
  <c r="DB33" i="17" s="1"/>
  <c r="DB20" i="10"/>
  <c r="DC9" i="10"/>
  <c r="DB21" i="10"/>
  <c r="DB20" i="17" s="1"/>
  <c r="DB24" i="10"/>
  <c r="DB23" i="17" s="1"/>
  <c r="DB36" i="10"/>
  <c r="DB35" i="17" s="1"/>
  <c r="DB28" i="10"/>
  <c r="DB27" i="17" s="1"/>
  <c r="DB27" i="10"/>
  <c r="DB26" i="17" s="1"/>
  <c r="DB30" i="10"/>
  <c r="DB22" i="10"/>
  <c r="DB21" i="17" s="1"/>
  <c r="DB25" i="10"/>
  <c r="DB24" i="17" s="1"/>
  <c r="DB35" i="10"/>
  <c r="DB34" i="17" s="1"/>
  <c r="DB29" i="10"/>
  <c r="DB28" i="17" s="1"/>
  <c r="DB33" i="10"/>
  <c r="DB32" i="17" s="1"/>
  <c r="DB32" i="10"/>
  <c r="DB31" i="17" s="1"/>
  <c r="DB23" i="10"/>
  <c r="DA35" i="17"/>
  <c r="DA24" i="11"/>
  <c r="DA41" i="11" s="1"/>
  <c r="DA28" i="11"/>
  <c r="DA45" i="11" s="1"/>
  <c r="DA32" i="11"/>
  <c r="DA49" i="11" s="1"/>
  <c r="DA36" i="11"/>
  <c r="DA53" i="11" s="1"/>
  <c r="DA11" i="17" s="1"/>
  <c r="DA25" i="11"/>
  <c r="DA42" i="11" s="1"/>
  <c r="DA29" i="11"/>
  <c r="DA46" i="11" s="1"/>
  <c r="DA33" i="11"/>
  <c r="DA50" i="11" s="1"/>
  <c r="DA8" i="17" s="1"/>
  <c r="DA37" i="11"/>
  <c r="DA54" i="11" s="1"/>
  <c r="DA12" i="17" s="1"/>
  <c r="DA26" i="11"/>
  <c r="DA43" i="11" s="1"/>
  <c r="DA30" i="11"/>
  <c r="DA47" i="11" s="1"/>
  <c r="DA34" i="11"/>
  <c r="DA51" i="11" s="1"/>
  <c r="DA9" i="17" s="1"/>
  <c r="DA27" i="11"/>
  <c r="DA44" i="11" s="1"/>
  <c r="DA31" i="11"/>
  <c r="DA48" i="11" s="1"/>
  <c r="DA35" i="11"/>
  <c r="DA52" i="11" s="1"/>
  <c r="DA10" i="17" s="1"/>
  <c r="DB20" i="11"/>
  <c r="CZ55" i="11"/>
  <c r="CZ14" i="10" s="1"/>
  <c r="CZ15" i="10" s="1"/>
  <c r="CZ16" i="10" s="1"/>
  <c r="CZ15" i="17" s="1"/>
  <c r="CZ40" i="11"/>
  <c r="CZ7" i="17" s="1"/>
  <c r="CZ13" i="17" s="1"/>
  <c r="CX15" i="10"/>
  <c r="DA18" i="10"/>
  <c r="CQ18" i="23" l="1"/>
  <c r="CQ32" i="19" s="1"/>
  <c r="CR12" i="19"/>
  <c r="CR17" i="23"/>
  <c r="CR22" i="23" s="1"/>
  <c r="CS14" i="23"/>
  <c r="DA37" i="17"/>
  <c r="DA21" i="19" s="1"/>
  <c r="CY19" i="19"/>
  <c r="CZ19" i="19"/>
  <c r="CY39" i="17"/>
  <c r="CY17" i="17"/>
  <c r="DB26" i="11"/>
  <c r="DB43" i="11" s="1"/>
  <c r="DB30" i="11"/>
  <c r="DB47" i="11" s="1"/>
  <c r="DB34" i="11"/>
  <c r="DB51" i="11" s="1"/>
  <c r="DB9" i="17" s="1"/>
  <c r="DB27" i="11"/>
  <c r="DB44" i="11" s="1"/>
  <c r="DB31" i="11"/>
  <c r="DB48" i="11" s="1"/>
  <c r="DB35" i="11"/>
  <c r="DB52" i="11" s="1"/>
  <c r="DB10" i="17" s="1"/>
  <c r="DB24" i="11"/>
  <c r="DB41" i="11" s="1"/>
  <c r="DB28" i="11"/>
  <c r="DB45" i="11" s="1"/>
  <c r="DB32" i="11"/>
  <c r="DB49" i="11" s="1"/>
  <c r="DB36" i="11"/>
  <c r="DB53" i="11" s="1"/>
  <c r="DB11" i="17" s="1"/>
  <c r="DB29" i="11"/>
  <c r="DB46" i="11" s="1"/>
  <c r="DB33" i="11"/>
  <c r="DB50" i="11" s="1"/>
  <c r="DB8" i="17" s="1"/>
  <c r="DB37" i="11"/>
  <c r="DB54" i="11" s="1"/>
  <c r="DB12" i="17" s="1"/>
  <c r="DB25" i="11"/>
  <c r="DB42" i="11" s="1"/>
  <c r="DC20" i="11"/>
  <c r="DB29" i="17"/>
  <c r="DC31" i="10"/>
  <c r="DC30" i="17" s="1"/>
  <c r="DC34" i="10"/>
  <c r="DC33" i="17" s="1"/>
  <c r="DD9" i="10"/>
  <c r="DC20" i="10"/>
  <c r="DC22" i="10"/>
  <c r="DC21" i="17" s="1"/>
  <c r="DC25" i="10"/>
  <c r="DC24" i="17" s="1"/>
  <c r="DC35" i="10"/>
  <c r="DC34" i="17" s="1"/>
  <c r="DC29" i="10"/>
  <c r="DC28" i="17" s="1"/>
  <c r="DC21" i="10"/>
  <c r="DC20" i="17" s="1"/>
  <c r="DC24" i="10"/>
  <c r="DC23" i="17" s="1"/>
  <c r="DC36" i="10"/>
  <c r="DC35" i="17" s="1"/>
  <c r="DC28" i="10"/>
  <c r="DC27" i="17" s="1"/>
  <c r="DC30" i="10"/>
  <c r="DC29" i="17" s="1"/>
  <c r="DC27" i="10"/>
  <c r="DC26" i="17" s="1"/>
  <c r="DC33" i="10"/>
  <c r="DC32" i="17" s="1"/>
  <c r="DC32" i="10"/>
  <c r="DC31" i="17" s="1"/>
  <c r="DC23" i="10"/>
  <c r="DC22" i="17" s="1"/>
  <c r="DB13" i="10"/>
  <c r="DC7" i="10"/>
  <c r="DB18" i="10"/>
  <c r="CZ9" i="19"/>
  <c r="CZ9" i="20" s="1"/>
  <c r="CZ16" i="17"/>
  <c r="CZ39" i="17" s="1"/>
  <c r="DA40" i="11"/>
  <c r="DA7" i="17" s="1"/>
  <c r="DA13" i="17" s="1"/>
  <c r="DA55" i="11"/>
  <c r="CX16" i="10"/>
  <c r="CX15" i="17" s="1"/>
  <c r="DB22" i="17"/>
  <c r="DB30" i="17"/>
  <c r="B114" i="37"/>
  <c r="A113" i="37"/>
  <c r="CR18" i="23" l="1"/>
  <c r="CR32" i="19" s="1"/>
  <c r="CS17" i="23"/>
  <c r="CS22" i="23" s="1"/>
  <c r="CT14" i="23"/>
  <c r="CS12" i="19"/>
  <c r="DA9" i="19"/>
  <c r="DA9" i="20" s="1"/>
  <c r="DA14" i="10"/>
  <c r="DC37" i="17"/>
  <c r="DC21" i="19" s="1"/>
  <c r="A114" i="37"/>
  <c r="B115" i="37"/>
  <c r="DB37" i="17"/>
  <c r="DB21" i="19" s="1"/>
  <c r="CZ17" i="17"/>
  <c r="DC18" i="10"/>
  <c r="DC24" i="11"/>
  <c r="DC41" i="11" s="1"/>
  <c r="DC28" i="11"/>
  <c r="DC45" i="11" s="1"/>
  <c r="DC32" i="11"/>
  <c r="DC49" i="11" s="1"/>
  <c r="DC36" i="11"/>
  <c r="DC53" i="11" s="1"/>
  <c r="DC11" i="17" s="1"/>
  <c r="DC25" i="11"/>
  <c r="DC42" i="11" s="1"/>
  <c r="DC29" i="11"/>
  <c r="DC46" i="11" s="1"/>
  <c r="DC33" i="11"/>
  <c r="DC50" i="11" s="1"/>
  <c r="DC8" i="17" s="1"/>
  <c r="DC37" i="11"/>
  <c r="DC54" i="11" s="1"/>
  <c r="DC12" i="17" s="1"/>
  <c r="DC26" i="11"/>
  <c r="DC43" i="11" s="1"/>
  <c r="DC30" i="11"/>
  <c r="DC47" i="11" s="1"/>
  <c r="DC34" i="11"/>
  <c r="DC51" i="11" s="1"/>
  <c r="DC9" i="17" s="1"/>
  <c r="DC31" i="11"/>
  <c r="DC48" i="11" s="1"/>
  <c r="DC35" i="11"/>
  <c r="DC52" i="11" s="1"/>
  <c r="DC10" i="17" s="1"/>
  <c r="DC27" i="11"/>
  <c r="DC44" i="11" s="1"/>
  <c r="DD20" i="11"/>
  <c r="DB40" i="11"/>
  <c r="DB7" i="17" s="1"/>
  <c r="DB13" i="17" s="1"/>
  <c r="DB55" i="11"/>
  <c r="DB14" i="10" s="1"/>
  <c r="DB15" i="10" s="1"/>
  <c r="CX16" i="17"/>
  <c r="CX19" i="19"/>
  <c r="DC13" i="10"/>
  <c r="DD7" i="10"/>
  <c r="DD31" i="10"/>
  <c r="DD30" i="17" s="1"/>
  <c r="DD34" i="10"/>
  <c r="DD33" i="17" s="1"/>
  <c r="DD20" i="10"/>
  <c r="DE9" i="10"/>
  <c r="DD21" i="10"/>
  <c r="DD20" i="17" s="1"/>
  <c r="DD24" i="10"/>
  <c r="DD23" i="17" s="1"/>
  <c r="DD36" i="10"/>
  <c r="DD35" i="17" s="1"/>
  <c r="DD28" i="10"/>
  <c r="DD27" i="17" s="1"/>
  <c r="DD27" i="10"/>
  <c r="DD26" i="17" s="1"/>
  <c r="DD30" i="10"/>
  <c r="DD29" i="17" s="1"/>
  <c r="DD22" i="10"/>
  <c r="DD21" i="17" s="1"/>
  <c r="DD25" i="10"/>
  <c r="DD24" i="17" s="1"/>
  <c r="DD35" i="10"/>
  <c r="DD34" i="17" s="1"/>
  <c r="DD29" i="10"/>
  <c r="DD28" i="17" s="1"/>
  <c r="DD33" i="10"/>
  <c r="DD32" i="17" s="1"/>
  <c r="DD32" i="10"/>
  <c r="DD31" i="17" s="1"/>
  <c r="DD23" i="10"/>
  <c r="DD22" i="17" s="1"/>
  <c r="CS18" i="23" l="1"/>
  <c r="CS32" i="19" s="1"/>
  <c r="CT12" i="19"/>
  <c r="CU14" i="23"/>
  <c r="CT17" i="23"/>
  <c r="CT22" i="23" s="1"/>
  <c r="B116" i="37"/>
  <c r="A115" i="37"/>
  <c r="DA15" i="10"/>
  <c r="DE31" i="10"/>
  <c r="DE30" i="17" s="1"/>
  <c r="DE34" i="10"/>
  <c r="DE33" i="17" s="1"/>
  <c r="DF9" i="10"/>
  <c r="DE20" i="10"/>
  <c r="DE22" i="10"/>
  <c r="DE21" i="17" s="1"/>
  <c r="DE25" i="10"/>
  <c r="DE24" i="17" s="1"/>
  <c r="DE35" i="10"/>
  <c r="DE34" i="17" s="1"/>
  <c r="DE29" i="10"/>
  <c r="DE28" i="17" s="1"/>
  <c r="DE21" i="10"/>
  <c r="DE20" i="17" s="1"/>
  <c r="DE24" i="10"/>
  <c r="DE23" i="17" s="1"/>
  <c r="DE36" i="10"/>
  <c r="DE35" i="17" s="1"/>
  <c r="DE27" i="10"/>
  <c r="DE26" i="17" s="1"/>
  <c r="DE30" i="10"/>
  <c r="DE29" i="17" s="1"/>
  <c r="DE28" i="10"/>
  <c r="DE27" i="17" s="1"/>
  <c r="DE33" i="10"/>
  <c r="DE32" i="17" s="1"/>
  <c r="DE32" i="10"/>
  <c r="DE31" i="17" s="1"/>
  <c r="DE23" i="10"/>
  <c r="DE22" i="17" s="1"/>
  <c r="DD13" i="10"/>
  <c r="DE7" i="10"/>
  <c r="DC40" i="11"/>
  <c r="DC7" i="17" s="1"/>
  <c r="DC13" i="17" s="1"/>
  <c r="DC55" i="11"/>
  <c r="DC14" i="10" s="1"/>
  <c r="DC15" i="10" s="1"/>
  <c r="DC16" i="10" s="1"/>
  <c r="DC15" i="17" s="1"/>
  <c r="DC19" i="19" s="1"/>
  <c r="DD18" i="10"/>
  <c r="DB9" i="19"/>
  <c r="DB9" i="20" s="1"/>
  <c r="DD26" i="11"/>
  <c r="DD43" i="11" s="1"/>
  <c r="DD30" i="11"/>
  <c r="DD47" i="11" s="1"/>
  <c r="DD34" i="11"/>
  <c r="DD51" i="11" s="1"/>
  <c r="DD9" i="17" s="1"/>
  <c r="DD27" i="11"/>
  <c r="DD44" i="11" s="1"/>
  <c r="DD31" i="11"/>
  <c r="DD48" i="11" s="1"/>
  <c r="DD35" i="11"/>
  <c r="DD52" i="11" s="1"/>
  <c r="DD10" i="17" s="1"/>
  <c r="DD24" i="11"/>
  <c r="DD41" i="11" s="1"/>
  <c r="DD28" i="11"/>
  <c r="DD45" i="11" s="1"/>
  <c r="DD32" i="11"/>
  <c r="DD49" i="11" s="1"/>
  <c r="DD36" i="11"/>
  <c r="DD53" i="11" s="1"/>
  <c r="DD11" i="17" s="1"/>
  <c r="DD33" i="11"/>
  <c r="DD50" i="11" s="1"/>
  <c r="DD8" i="17" s="1"/>
  <c r="DD37" i="11"/>
  <c r="DD54" i="11" s="1"/>
  <c r="DD12" i="17" s="1"/>
  <c r="DD25" i="11"/>
  <c r="DD42" i="11" s="1"/>
  <c r="DD29" i="11"/>
  <c r="DD46" i="11" s="1"/>
  <c r="DE20" i="11"/>
  <c r="DB16" i="10"/>
  <c r="DB15" i="17" s="1"/>
  <c r="DD37" i="17"/>
  <c r="DD21" i="19" s="1"/>
  <c r="CX39" i="17"/>
  <c r="CX17" i="17"/>
  <c r="CT18" i="23" l="1"/>
  <c r="CT32" i="19" s="1"/>
  <c r="CV14" i="23"/>
  <c r="CU17" i="23"/>
  <c r="CU22" i="23" s="1"/>
  <c r="CU12" i="19"/>
  <c r="DC9" i="19"/>
  <c r="DC9" i="20" s="1"/>
  <c r="DC16" i="17"/>
  <c r="DC39" i="17" s="1"/>
  <c r="DD40" i="11"/>
  <c r="DD7" i="17" s="1"/>
  <c r="DD13" i="17" s="1"/>
  <c r="DD55" i="11"/>
  <c r="DD14" i="10" s="1"/>
  <c r="DE13" i="10"/>
  <c r="DF7" i="10"/>
  <c r="DF34" i="10"/>
  <c r="DF31" i="10"/>
  <c r="DG9" i="10"/>
  <c r="DF20" i="10"/>
  <c r="DF21" i="10"/>
  <c r="DF24" i="10"/>
  <c r="DF36" i="10"/>
  <c r="DF28" i="10"/>
  <c r="DF27" i="10"/>
  <c r="DF30" i="10"/>
  <c r="DF22" i="10"/>
  <c r="DF25" i="10"/>
  <c r="DF35" i="10"/>
  <c r="DF29" i="10"/>
  <c r="DF33" i="10"/>
  <c r="DF32" i="10"/>
  <c r="DF23" i="10"/>
  <c r="DA16" i="10"/>
  <c r="DA15" i="17" s="1"/>
  <c r="DE18" i="10"/>
  <c r="A116" i="37"/>
  <c r="B117" i="37"/>
  <c r="DE24" i="11"/>
  <c r="DE41" i="11" s="1"/>
  <c r="DE28" i="11"/>
  <c r="DE45" i="11" s="1"/>
  <c r="DE32" i="11"/>
  <c r="DE49" i="11" s="1"/>
  <c r="DE36" i="11"/>
  <c r="DE53" i="11" s="1"/>
  <c r="DE11" i="17" s="1"/>
  <c r="DE25" i="11"/>
  <c r="DE42" i="11" s="1"/>
  <c r="DE29" i="11"/>
  <c r="DE46" i="11" s="1"/>
  <c r="DE33" i="11"/>
  <c r="DE50" i="11" s="1"/>
  <c r="DE8" i="17" s="1"/>
  <c r="DE37" i="11"/>
  <c r="DE54" i="11" s="1"/>
  <c r="DE12" i="17" s="1"/>
  <c r="DE26" i="11"/>
  <c r="DE43" i="11" s="1"/>
  <c r="DE30" i="11"/>
  <c r="DE47" i="11" s="1"/>
  <c r="DE34" i="11"/>
  <c r="DE51" i="11" s="1"/>
  <c r="DE9" i="17" s="1"/>
  <c r="DE35" i="11"/>
  <c r="DE52" i="11" s="1"/>
  <c r="DE10" i="17" s="1"/>
  <c r="DE27" i="11"/>
  <c r="DE44" i="11" s="1"/>
  <c r="DE31" i="11"/>
  <c r="DE48" i="11" s="1"/>
  <c r="DF20" i="11"/>
  <c r="DB16" i="17"/>
  <c r="DB19" i="19"/>
  <c r="DE37" i="17"/>
  <c r="DE21" i="19" s="1"/>
  <c r="CU18" i="23" l="1"/>
  <c r="CU32" i="19" s="1"/>
  <c r="CV12" i="19"/>
  <c r="CV17" i="23"/>
  <c r="CV22" i="23" s="1"/>
  <c r="CW14" i="23"/>
  <c r="DC17" i="17"/>
  <c r="DD9" i="19"/>
  <c r="DD9" i="20" s="1"/>
  <c r="DF22" i="17"/>
  <c r="M23" i="32"/>
  <c r="DF33" i="17"/>
  <c r="M34" i="32"/>
  <c r="DF31" i="17"/>
  <c r="M32" i="32"/>
  <c r="DF24" i="17"/>
  <c r="M25" i="32"/>
  <c r="DF27" i="17"/>
  <c r="M28" i="32"/>
  <c r="DF18" i="10"/>
  <c r="CU38" i="10" s="1"/>
  <c r="M20" i="32"/>
  <c r="DF13" i="10"/>
  <c r="M13" i="32" s="1"/>
  <c r="J2" i="43" s="1"/>
  <c r="DG7" i="10"/>
  <c r="DF34" i="17"/>
  <c r="M35" i="32"/>
  <c r="DF26" i="17"/>
  <c r="M27" i="32"/>
  <c r="DF20" i="17"/>
  <c r="M21" i="32"/>
  <c r="J9" i="43" s="1"/>
  <c r="DE40" i="11"/>
  <c r="DE7" i="17" s="1"/>
  <c r="DE13" i="17" s="1"/>
  <c r="DE9" i="19" s="1"/>
  <c r="DE55" i="11"/>
  <c r="DE14" i="10" s="1"/>
  <c r="DE15" i="10" s="1"/>
  <c r="DE16" i="10" s="1"/>
  <c r="DE15" i="17" s="1"/>
  <c r="DF32" i="17"/>
  <c r="M33" i="32"/>
  <c r="DF21" i="17"/>
  <c r="M22" i="32"/>
  <c r="DF35" i="17"/>
  <c r="M36" i="32"/>
  <c r="DG31" i="10"/>
  <c r="DG34" i="10"/>
  <c r="DH9" i="10"/>
  <c r="DG20" i="10"/>
  <c r="DG22" i="10"/>
  <c r="DG25" i="10"/>
  <c r="DG35" i="10"/>
  <c r="DG29" i="10"/>
  <c r="DG21" i="10"/>
  <c r="DG24" i="10"/>
  <c r="DG36" i="10"/>
  <c r="DG28" i="10"/>
  <c r="DG27" i="10"/>
  <c r="DG30" i="10"/>
  <c r="DG33" i="10"/>
  <c r="DG32" i="10"/>
  <c r="DG23" i="10"/>
  <c r="DF26" i="11"/>
  <c r="DF43" i="11" s="1"/>
  <c r="DF30" i="11"/>
  <c r="DF47" i="11" s="1"/>
  <c r="DF34" i="11"/>
  <c r="DF51" i="11" s="1"/>
  <c r="DF9" i="17" s="1"/>
  <c r="DF27" i="11"/>
  <c r="DF44" i="11" s="1"/>
  <c r="DF31" i="11"/>
  <c r="DF48" i="11" s="1"/>
  <c r="DF35" i="11"/>
  <c r="DF52" i="11" s="1"/>
  <c r="DF10" i="17" s="1"/>
  <c r="DF24" i="11"/>
  <c r="DF41" i="11" s="1"/>
  <c r="DF28" i="11"/>
  <c r="DF45" i="11" s="1"/>
  <c r="DF32" i="11"/>
  <c r="DF49" i="11" s="1"/>
  <c r="DF36" i="11"/>
  <c r="DF53" i="11" s="1"/>
  <c r="DF11" i="17" s="1"/>
  <c r="DF37" i="11"/>
  <c r="DF54" i="11" s="1"/>
  <c r="DF12" i="17" s="1"/>
  <c r="DF25" i="11"/>
  <c r="DF42" i="11" s="1"/>
  <c r="DF29" i="11"/>
  <c r="DF46" i="11" s="1"/>
  <c r="DF33" i="11"/>
  <c r="DF50" i="11" s="1"/>
  <c r="DF8" i="17" s="1"/>
  <c r="DG20" i="11"/>
  <c r="DD15" i="10"/>
  <c r="DB39" i="17"/>
  <c r="DB17" i="17"/>
  <c r="B118" i="37"/>
  <c r="A117" i="37"/>
  <c r="DA19" i="19"/>
  <c r="DA16" i="17"/>
  <c r="DF28" i="17"/>
  <c r="M29" i="32"/>
  <c r="DF29" i="17"/>
  <c r="M30" i="32"/>
  <c r="DF23" i="17"/>
  <c r="M24" i="32"/>
  <c r="DF30" i="17"/>
  <c r="M31" i="32"/>
  <c r="CV18" i="23" l="1"/>
  <c r="CV32" i="19" s="1"/>
  <c r="M38" i="32"/>
  <c r="K15" i="30"/>
  <c r="J10" i="43"/>
  <c r="K16" i="30"/>
  <c r="J11" i="43"/>
  <c r="K26" i="30"/>
  <c r="J21" i="43"/>
  <c r="K21" i="30"/>
  <c r="J16" i="43"/>
  <c r="K17" i="30"/>
  <c r="J12" i="43"/>
  <c r="K28" i="30"/>
  <c r="J23" i="43"/>
  <c r="K18" i="30"/>
  <c r="J13" i="43"/>
  <c r="K23" i="30"/>
  <c r="J18" i="43"/>
  <c r="K25" i="30"/>
  <c r="J20" i="43"/>
  <c r="K29" i="30"/>
  <c r="J24" i="43"/>
  <c r="K27" i="30"/>
  <c r="J22" i="43"/>
  <c r="K20" i="30"/>
  <c r="J15" i="43"/>
  <c r="K22" i="30"/>
  <c r="J17" i="43"/>
  <c r="K13" i="30"/>
  <c r="J8" i="43"/>
  <c r="K24" i="30"/>
  <c r="J19" i="43"/>
  <c r="CW12" i="19"/>
  <c r="CW17" i="23"/>
  <c r="CW22" i="23" s="1"/>
  <c r="CX14" i="23"/>
  <c r="DG29" i="17"/>
  <c r="DG23" i="17"/>
  <c r="DG24" i="17"/>
  <c r="DG33" i="17"/>
  <c r="DE16" i="17"/>
  <c r="DE19" i="19"/>
  <c r="DG13" i="10"/>
  <c r="DH7" i="10"/>
  <c r="DG32" i="17"/>
  <c r="DG34" i="17"/>
  <c r="DH31" i="10"/>
  <c r="DH30" i="17" s="1"/>
  <c r="DH34" i="10"/>
  <c r="DH33" i="17" s="1"/>
  <c r="DH20" i="10"/>
  <c r="DH21" i="10"/>
  <c r="DH20" i="17" s="1"/>
  <c r="DH24" i="10"/>
  <c r="DH23" i="17" s="1"/>
  <c r="DH36" i="10"/>
  <c r="DH35" i="17" s="1"/>
  <c r="DH28" i="10"/>
  <c r="DH27" i="17" s="1"/>
  <c r="DH27" i="10"/>
  <c r="DH26" i="17" s="1"/>
  <c r="DH30" i="10"/>
  <c r="DH29" i="17" s="1"/>
  <c r="DI9" i="10"/>
  <c r="DH22" i="10"/>
  <c r="DH21" i="17" s="1"/>
  <c r="DH25" i="10"/>
  <c r="DH24" i="17" s="1"/>
  <c r="DH35" i="10"/>
  <c r="DH34" i="17" s="1"/>
  <c r="DH29" i="10"/>
  <c r="DH28" i="17" s="1"/>
  <c r="DH33" i="10"/>
  <c r="DH32" i="17" s="1"/>
  <c r="DH32" i="10"/>
  <c r="DH31" i="17" s="1"/>
  <c r="DH23" i="10"/>
  <c r="DH22" i="17" s="1"/>
  <c r="A118" i="37"/>
  <c r="B119" i="37"/>
  <c r="DD16" i="10"/>
  <c r="DD15" i="17" s="1"/>
  <c r="DG22" i="17"/>
  <c r="DG26" i="17"/>
  <c r="DG20" i="17"/>
  <c r="DG21" i="17"/>
  <c r="DG30" i="17"/>
  <c r="DE9" i="20"/>
  <c r="K7" i="30"/>
  <c r="DF37" i="17"/>
  <c r="DF21" i="19" s="1"/>
  <c r="DG35" i="17"/>
  <c r="DA39" i="17"/>
  <c r="DA17" i="17"/>
  <c r="DG24" i="11"/>
  <c r="DG29" i="11"/>
  <c r="DG32" i="11"/>
  <c r="DG27" i="11"/>
  <c r="DG31" i="11"/>
  <c r="DG35" i="11"/>
  <c r="DG36" i="11"/>
  <c r="DG30" i="11"/>
  <c r="L19" i="38"/>
  <c r="DG25" i="11"/>
  <c r="DG26" i="11"/>
  <c r="DG28" i="11"/>
  <c r="DG33" i="11"/>
  <c r="DG34" i="11"/>
  <c r="DG37" i="11"/>
  <c r="DH20" i="11"/>
  <c r="DF40" i="11"/>
  <c r="DF7" i="17" s="1"/>
  <c r="DF13" i="17" s="1"/>
  <c r="DF55" i="11"/>
  <c r="DG31" i="17"/>
  <c r="DG27" i="17"/>
  <c r="DG28" i="17"/>
  <c r="DG18" i="10"/>
  <c r="K14" i="30"/>
  <c r="J26" i="43" l="1"/>
  <c r="K31" i="30"/>
  <c r="K67" i="30" s="1"/>
  <c r="J9" i="34" s="1"/>
  <c r="CW18" i="23"/>
  <c r="CW32" i="19" s="1"/>
  <c r="CX12" i="19"/>
  <c r="CY14" i="23"/>
  <c r="CX17" i="23"/>
  <c r="CX22" i="23" s="1"/>
  <c r="DF9" i="19"/>
  <c r="DF9" i="20" s="1"/>
  <c r="L27" i="38"/>
  <c r="L45" i="38" s="1"/>
  <c r="DG45" i="11"/>
  <c r="L26" i="38"/>
  <c r="L44" i="38" s="1"/>
  <c r="DG44" i="11"/>
  <c r="DG37" i="17"/>
  <c r="DG21" i="19" s="1"/>
  <c r="B120" i="37"/>
  <c r="A119" i="37"/>
  <c r="DH18" i="10"/>
  <c r="DH13" i="10"/>
  <c r="DI7" i="10"/>
  <c r="L32" i="38"/>
  <c r="L50" i="38" s="1"/>
  <c r="DG50" i="11"/>
  <c r="DG8" i="17" s="1"/>
  <c r="L23" i="38"/>
  <c r="L41" i="38" s="1"/>
  <c r="DG41" i="11"/>
  <c r="DE17" i="17"/>
  <c r="DE39" i="17"/>
  <c r="DH24" i="11"/>
  <c r="DH41" i="11" s="1"/>
  <c r="DH28" i="11"/>
  <c r="DH45" i="11" s="1"/>
  <c r="DH32" i="11"/>
  <c r="DH49" i="11" s="1"/>
  <c r="DH36" i="11"/>
  <c r="DH53" i="11" s="1"/>
  <c r="DH11" i="17" s="1"/>
  <c r="DH25" i="11"/>
  <c r="DH42" i="11" s="1"/>
  <c r="DH29" i="11"/>
  <c r="DH46" i="11" s="1"/>
  <c r="DH33" i="11"/>
  <c r="DH50" i="11" s="1"/>
  <c r="DH8" i="17" s="1"/>
  <c r="DH37" i="11"/>
  <c r="DH54" i="11" s="1"/>
  <c r="DH12" i="17" s="1"/>
  <c r="DH26" i="11"/>
  <c r="DH43" i="11" s="1"/>
  <c r="DH30" i="11"/>
  <c r="DH47" i="11" s="1"/>
  <c r="DH34" i="11"/>
  <c r="DH51" i="11" s="1"/>
  <c r="DH9" i="17" s="1"/>
  <c r="DH27" i="11"/>
  <c r="DH44" i="11" s="1"/>
  <c r="DH31" i="11"/>
  <c r="DH48" i="11" s="1"/>
  <c r="DH35" i="11"/>
  <c r="DH52" i="11" s="1"/>
  <c r="DH10" i="17" s="1"/>
  <c r="DI20" i="11"/>
  <c r="L29" i="38"/>
  <c r="L47" i="38" s="1"/>
  <c r="DG47" i="11"/>
  <c r="L36" i="38"/>
  <c r="L54" i="38" s="1"/>
  <c r="DG54" i="11"/>
  <c r="DG12" i="17" s="1"/>
  <c r="L25" i="38"/>
  <c r="L43" i="38" s="1"/>
  <c r="DG43" i="11"/>
  <c r="L35" i="38"/>
  <c r="L53" i="38" s="1"/>
  <c r="DG53" i="11"/>
  <c r="DG11" i="17" s="1"/>
  <c r="L31" i="38"/>
  <c r="L49" i="38" s="1"/>
  <c r="DG49" i="11"/>
  <c r="DI31" i="10"/>
  <c r="DI34" i="10"/>
  <c r="DI33" i="17" s="1"/>
  <c r="DJ9" i="10"/>
  <c r="DI20" i="10"/>
  <c r="DI22" i="10"/>
  <c r="DI25" i="10"/>
  <c r="DI24" i="17" s="1"/>
  <c r="DI35" i="10"/>
  <c r="DI34" i="17" s="1"/>
  <c r="DI29" i="10"/>
  <c r="DI21" i="10"/>
  <c r="DI20" i="17" s="1"/>
  <c r="DI24" i="10"/>
  <c r="DI23" i="17" s="1"/>
  <c r="DI36" i="10"/>
  <c r="DI27" i="10"/>
  <c r="DI30" i="10"/>
  <c r="DI28" i="10"/>
  <c r="DI33" i="10"/>
  <c r="DI32" i="17" s="1"/>
  <c r="DI32" i="10"/>
  <c r="DI31" i="17" s="1"/>
  <c r="DI23" i="10"/>
  <c r="L30" i="38"/>
  <c r="L48" i="38" s="1"/>
  <c r="DG48" i="11"/>
  <c r="DD16" i="17"/>
  <c r="DD19" i="19"/>
  <c r="DF14" i="10"/>
  <c r="CU56" i="11"/>
  <c r="M6" i="32" s="1"/>
  <c r="M7" i="32" s="1"/>
  <c r="L33" i="38"/>
  <c r="L51" i="38" s="1"/>
  <c r="DG51" i="11"/>
  <c r="DG9" i="17" s="1"/>
  <c r="L24" i="38"/>
  <c r="L42" i="38" s="1"/>
  <c r="DG42" i="11"/>
  <c r="L34" i="38"/>
  <c r="L52" i="38" s="1"/>
  <c r="DG52" i="11"/>
  <c r="DG10" i="17" s="1"/>
  <c r="L28" i="38"/>
  <c r="L46" i="38" s="1"/>
  <c r="DG46" i="11"/>
  <c r="DH37" i="17"/>
  <c r="DH21" i="19" s="1"/>
  <c r="CX18" i="23" l="1"/>
  <c r="CX32" i="19" s="1"/>
  <c r="CZ14" i="23"/>
  <c r="CY17" i="23"/>
  <c r="CY22" i="23" s="1"/>
  <c r="CY12" i="19"/>
  <c r="DD39" i="17"/>
  <c r="DD17" i="17"/>
  <c r="M9" i="32"/>
  <c r="K6" i="30" s="1"/>
  <c r="K5" i="30"/>
  <c r="DI27" i="17"/>
  <c r="DH40" i="11"/>
  <c r="DH7" i="17" s="1"/>
  <c r="DH13" i="17" s="1"/>
  <c r="DH55" i="11"/>
  <c r="DH14" i="10" s="1"/>
  <c r="DH15" i="10" s="1"/>
  <c r="DH16" i="10" s="1"/>
  <c r="DH15" i="17" s="1"/>
  <c r="DG40" i="11"/>
  <c r="DG7" i="17" s="1"/>
  <c r="DG13" i="17" s="1"/>
  <c r="DG55" i="11"/>
  <c r="DJ31" i="10"/>
  <c r="DJ30" i="17" s="1"/>
  <c r="DJ34" i="10"/>
  <c r="DJ33" i="17" s="1"/>
  <c r="DJ20" i="10"/>
  <c r="DK9" i="10"/>
  <c r="DJ29" i="10"/>
  <c r="DJ28" i="17" s="1"/>
  <c r="DJ36" i="10"/>
  <c r="DJ35" i="17" s="1"/>
  <c r="DJ21" i="10"/>
  <c r="DJ24" i="10"/>
  <c r="DJ28" i="10"/>
  <c r="DJ27" i="17" s="1"/>
  <c r="DJ27" i="10"/>
  <c r="DJ26" i="17" s="1"/>
  <c r="DJ30" i="10"/>
  <c r="DJ29" i="17" s="1"/>
  <c r="DJ35" i="10"/>
  <c r="DJ34" i="17" s="1"/>
  <c r="DJ22" i="10"/>
  <c r="DJ21" i="17" s="1"/>
  <c r="DJ25" i="10"/>
  <c r="DJ24" i="17" s="1"/>
  <c r="DJ33" i="10"/>
  <c r="DJ32" i="17" s="1"/>
  <c r="DJ32" i="10"/>
  <c r="DJ31" i="17" s="1"/>
  <c r="DJ23" i="10"/>
  <c r="DJ22" i="17" s="1"/>
  <c r="DF15" i="10"/>
  <c r="M14" i="32"/>
  <c r="J3" i="43" s="1"/>
  <c r="DI22" i="17"/>
  <c r="DI29" i="17"/>
  <c r="DI21" i="17"/>
  <c r="DI30" i="17"/>
  <c r="L55" i="38"/>
  <c r="DI13" i="10"/>
  <c r="DJ7" i="10"/>
  <c r="DI35" i="17"/>
  <c r="DI26" i="17"/>
  <c r="DI28" i="17"/>
  <c r="DI18" i="10"/>
  <c r="DI26" i="11"/>
  <c r="DI43" i="11" s="1"/>
  <c r="DI30" i="11"/>
  <c r="DI47" i="11" s="1"/>
  <c r="DI34" i="11"/>
  <c r="DI51" i="11" s="1"/>
  <c r="DI9" i="17" s="1"/>
  <c r="DI27" i="11"/>
  <c r="DI44" i="11" s="1"/>
  <c r="DI31" i="11"/>
  <c r="DI48" i="11" s="1"/>
  <c r="DI35" i="11"/>
  <c r="DI52" i="11" s="1"/>
  <c r="DI10" i="17" s="1"/>
  <c r="DI24" i="11"/>
  <c r="DI41" i="11" s="1"/>
  <c r="DI28" i="11"/>
  <c r="DI45" i="11" s="1"/>
  <c r="DI32" i="11"/>
  <c r="DI49" i="11" s="1"/>
  <c r="DI36" i="11"/>
  <c r="DI53" i="11" s="1"/>
  <c r="DI11" i="17" s="1"/>
  <c r="DI29" i="11"/>
  <c r="DI46" i="11" s="1"/>
  <c r="DI33" i="11"/>
  <c r="DI50" i="11" s="1"/>
  <c r="DI8" i="17" s="1"/>
  <c r="DI37" i="11"/>
  <c r="DI54" i="11" s="1"/>
  <c r="DI12" i="17" s="1"/>
  <c r="DI25" i="11"/>
  <c r="DI42" i="11" s="1"/>
  <c r="DJ20" i="11"/>
  <c r="A120" i="37"/>
  <c r="B121" i="37"/>
  <c r="CY18" i="23" l="1"/>
  <c r="CY32" i="19" s="1"/>
  <c r="DA14" i="23"/>
  <c r="CZ12" i="19"/>
  <c r="CZ17" i="23"/>
  <c r="CZ22" i="23" s="1"/>
  <c r="DH9" i="19"/>
  <c r="K8" i="30"/>
  <c r="DJ20" i="17"/>
  <c r="B122" i="37"/>
  <c r="A121" i="37"/>
  <c r="DG9" i="19"/>
  <c r="DG9" i="20" s="1"/>
  <c r="DF16" i="10"/>
  <c r="DF15" i="17" s="1"/>
  <c r="M15" i="32"/>
  <c r="DG14" i="10"/>
  <c r="DJ24" i="11"/>
  <c r="DJ41" i="11" s="1"/>
  <c r="DJ28" i="11"/>
  <c r="DJ45" i="11" s="1"/>
  <c r="DJ32" i="11"/>
  <c r="DJ49" i="11" s="1"/>
  <c r="DJ36" i="11"/>
  <c r="DJ53" i="11" s="1"/>
  <c r="DJ11" i="17" s="1"/>
  <c r="DJ25" i="11"/>
  <c r="DJ42" i="11" s="1"/>
  <c r="DJ29" i="11"/>
  <c r="DJ46" i="11" s="1"/>
  <c r="DJ33" i="11"/>
  <c r="DJ50" i="11" s="1"/>
  <c r="DJ8" i="17" s="1"/>
  <c r="DJ37" i="11"/>
  <c r="DJ54" i="11" s="1"/>
  <c r="DJ12" i="17" s="1"/>
  <c r="DJ26" i="11"/>
  <c r="DJ43" i="11" s="1"/>
  <c r="DJ30" i="11"/>
  <c r="DJ47" i="11" s="1"/>
  <c r="DJ34" i="11"/>
  <c r="DJ51" i="11" s="1"/>
  <c r="DJ9" i="17" s="1"/>
  <c r="DJ31" i="11"/>
  <c r="DJ48" i="11" s="1"/>
  <c r="DJ35" i="11"/>
  <c r="DJ52" i="11" s="1"/>
  <c r="DJ10" i="17" s="1"/>
  <c r="DJ27" i="11"/>
  <c r="DJ44" i="11" s="1"/>
  <c r="DK20" i="11"/>
  <c r="DJ13" i="10"/>
  <c r="DK7" i="10"/>
  <c r="DJ18" i="10"/>
  <c r="K42" i="30"/>
  <c r="K51" i="30"/>
  <c r="K56" i="30"/>
  <c r="K46" i="30"/>
  <c r="K55" i="30"/>
  <c r="K52" i="30"/>
  <c r="K48" i="30"/>
  <c r="K53" i="30"/>
  <c r="K50" i="30"/>
  <c r="K59" i="30"/>
  <c r="K41" i="30"/>
  <c r="K54" i="30"/>
  <c r="K64" i="30"/>
  <c r="K60" i="30"/>
  <c r="K57" i="30"/>
  <c r="K44" i="30"/>
  <c r="K58" i="30"/>
  <c r="K40" i="30"/>
  <c r="K49" i="30"/>
  <c r="K66" i="30"/>
  <c r="J8" i="34" s="1"/>
  <c r="K45" i="30"/>
  <c r="K43" i="30"/>
  <c r="K47" i="30"/>
  <c r="K3" i="30"/>
  <c r="DI40" i="11"/>
  <c r="DI7" i="17" s="1"/>
  <c r="DI13" i="17" s="1"/>
  <c r="DI55" i="11"/>
  <c r="DI14" i="10" s="1"/>
  <c r="DI15" i="10" s="1"/>
  <c r="DI37" i="17"/>
  <c r="DI21" i="19" s="1"/>
  <c r="DJ23" i="17"/>
  <c r="DK34" i="10"/>
  <c r="DK31" i="10"/>
  <c r="DL9" i="10"/>
  <c r="DK20" i="10"/>
  <c r="DK28" i="10"/>
  <c r="DK27" i="10"/>
  <c r="DK30" i="10"/>
  <c r="DK22" i="10"/>
  <c r="DK25" i="10"/>
  <c r="DK24" i="17" s="1"/>
  <c r="DK35" i="10"/>
  <c r="DK34" i="17" s="1"/>
  <c r="DK29" i="10"/>
  <c r="DK24" i="10"/>
  <c r="DK23" i="17" s="1"/>
  <c r="DK36" i="10"/>
  <c r="DK21" i="10"/>
  <c r="DK20" i="17" s="1"/>
  <c r="DK33" i="10"/>
  <c r="DK32" i="17" s="1"/>
  <c r="DK32" i="10"/>
  <c r="DK23" i="10"/>
  <c r="DH16" i="17"/>
  <c r="DH39" i="17" s="1"/>
  <c r="DH19" i="19"/>
  <c r="CZ18" i="23" l="1"/>
  <c r="CZ32" i="19" s="1"/>
  <c r="DJ37" i="17"/>
  <c r="DJ21" i="19" s="1"/>
  <c r="K9" i="30"/>
  <c r="K10" i="30" s="1"/>
  <c r="K32" i="30" s="1"/>
  <c r="J4" i="43"/>
  <c r="DA17" i="23"/>
  <c r="DA22" i="23" s="1"/>
  <c r="DB14" i="23"/>
  <c r="DA12" i="19"/>
  <c r="DH9" i="20"/>
  <c r="DI16" i="10"/>
  <c r="DI15" i="17" s="1"/>
  <c r="DI19" i="19" s="1"/>
  <c r="M16" i="32"/>
  <c r="DI9" i="19"/>
  <c r="DI9" i="20" s="1"/>
  <c r="DL31" i="10"/>
  <c r="DL30" i="17" s="1"/>
  <c r="DL34" i="10"/>
  <c r="DL33" i="17" s="1"/>
  <c r="DL20" i="10"/>
  <c r="DM9" i="10"/>
  <c r="DL29" i="10"/>
  <c r="DL28" i="17" s="1"/>
  <c r="DL21" i="10"/>
  <c r="DL20" i="17" s="1"/>
  <c r="DL24" i="10"/>
  <c r="DL23" i="17" s="1"/>
  <c r="DL36" i="10"/>
  <c r="DL35" i="17" s="1"/>
  <c r="DL28" i="10"/>
  <c r="DL27" i="17" s="1"/>
  <c r="DL27" i="10"/>
  <c r="DL26" i="17" s="1"/>
  <c r="DL30" i="10"/>
  <c r="DL29" i="17" s="1"/>
  <c r="DL25" i="10"/>
  <c r="DL35" i="10"/>
  <c r="DL34" i="17" s="1"/>
  <c r="DL22" i="10"/>
  <c r="DL21" i="17" s="1"/>
  <c r="DL33" i="10"/>
  <c r="DL32" i="17" s="1"/>
  <c r="DL32" i="10"/>
  <c r="DL31" i="17" s="1"/>
  <c r="DL23" i="10"/>
  <c r="DL22" i="17" s="1"/>
  <c r="DG15" i="10"/>
  <c r="DK26" i="17"/>
  <c r="DK30" i="17"/>
  <c r="DJ55" i="11"/>
  <c r="DJ14" i="10" s="1"/>
  <c r="DJ15" i="10" s="1"/>
  <c r="DJ40" i="11"/>
  <c r="DJ7" i="17" s="1"/>
  <c r="DJ13" i="17" s="1"/>
  <c r="A122" i="37"/>
  <c r="B123" i="37"/>
  <c r="DK28" i="17"/>
  <c r="DK13" i="10"/>
  <c r="DL7" i="10"/>
  <c r="DK22" i="17"/>
  <c r="DK35" i="17"/>
  <c r="DK27" i="17"/>
  <c r="DK33" i="17"/>
  <c r="K68" i="30"/>
  <c r="J6" i="34"/>
  <c r="DF19" i="19"/>
  <c r="DF16" i="17"/>
  <c r="DK29" i="17"/>
  <c r="DK31" i="17"/>
  <c r="DK21" i="17"/>
  <c r="DK18" i="10"/>
  <c r="DK26" i="11"/>
  <c r="DK43" i="11" s="1"/>
  <c r="DK30" i="11"/>
  <c r="DK47" i="11" s="1"/>
  <c r="DK34" i="11"/>
  <c r="DK51" i="11" s="1"/>
  <c r="DK9" i="17" s="1"/>
  <c r="DK27" i="11"/>
  <c r="DK44" i="11" s="1"/>
  <c r="DK31" i="11"/>
  <c r="DK48" i="11" s="1"/>
  <c r="DK35" i="11"/>
  <c r="DK52" i="11" s="1"/>
  <c r="DK10" i="17" s="1"/>
  <c r="DK24" i="11"/>
  <c r="DK41" i="11" s="1"/>
  <c r="DK28" i="11"/>
  <c r="DK45" i="11" s="1"/>
  <c r="DK32" i="11"/>
  <c r="DK49" i="11" s="1"/>
  <c r="DK36" i="11"/>
  <c r="DK53" i="11" s="1"/>
  <c r="DK11" i="17" s="1"/>
  <c r="DK33" i="11"/>
  <c r="DK50" i="11" s="1"/>
  <c r="DK8" i="17" s="1"/>
  <c r="DK37" i="11"/>
  <c r="DK54" i="11" s="1"/>
  <c r="DK12" i="17" s="1"/>
  <c r="DK25" i="11"/>
  <c r="DK42" i="11" s="1"/>
  <c r="DK29" i="11"/>
  <c r="DK46" i="11" s="1"/>
  <c r="DL20" i="11"/>
  <c r="DH17" i="17"/>
  <c r="DA18" i="23" l="1"/>
  <c r="DA32" i="19" s="1"/>
  <c r="M17" i="32"/>
  <c r="J5" i="43"/>
  <c r="DB17" i="23"/>
  <c r="DB22" i="23" s="1"/>
  <c r="DB12" i="19"/>
  <c r="DC14" i="23"/>
  <c r="DJ16" i="10"/>
  <c r="DJ15" i="17" s="1"/>
  <c r="DJ19" i="19" s="1"/>
  <c r="DI16" i="17"/>
  <c r="DI39" i="17" s="1"/>
  <c r="DK37" i="17"/>
  <c r="DK21" i="19" s="1"/>
  <c r="K39" i="30"/>
  <c r="DL13" i="10"/>
  <c r="DM7" i="10"/>
  <c r="DL24" i="11"/>
  <c r="DL41" i="11" s="1"/>
  <c r="DL28" i="11"/>
  <c r="DL45" i="11" s="1"/>
  <c r="DL32" i="11"/>
  <c r="DL49" i="11" s="1"/>
  <c r="DL36" i="11"/>
  <c r="DL53" i="11" s="1"/>
  <c r="DL11" i="17" s="1"/>
  <c r="DL25" i="11"/>
  <c r="DL42" i="11" s="1"/>
  <c r="DL29" i="11"/>
  <c r="DL46" i="11" s="1"/>
  <c r="DL33" i="11"/>
  <c r="DL50" i="11" s="1"/>
  <c r="DL8" i="17" s="1"/>
  <c r="DL37" i="11"/>
  <c r="DL54" i="11" s="1"/>
  <c r="DL12" i="17" s="1"/>
  <c r="DL26" i="11"/>
  <c r="DL43" i="11" s="1"/>
  <c r="DL30" i="11"/>
  <c r="DL47" i="11" s="1"/>
  <c r="DL34" i="11"/>
  <c r="DL51" i="11" s="1"/>
  <c r="DL9" i="17" s="1"/>
  <c r="DL35" i="11"/>
  <c r="DL52" i="11" s="1"/>
  <c r="DL10" i="17" s="1"/>
  <c r="DL27" i="11"/>
  <c r="DL44" i="11" s="1"/>
  <c r="DL31" i="11"/>
  <c r="DL48" i="11" s="1"/>
  <c r="DM20" i="11"/>
  <c r="DK40" i="11"/>
  <c r="DK7" i="17" s="1"/>
  <c r="DK13" i="17" s="1"/>
  <c r="DK55" i="11"/>
  <c r="DF39" i="17"/>
  <c r="DF17" i="17"/>
  <c r="DL24" i="17"/>
  <c r="DL37" i="17" s="1"/>
  <c r="DL21" i="19" s="1"/>
  <c r="DM31" i="10"/>
  <c r="DM30" i="17" s="1"/>
  <c r="DM34" i="10"/>
  <c r="DN9" i="10"/>
  <c r="DM20" i="10"/>
  <c r="DM27" i="10"/>
  <c r="DM30" i="10"/>
  <c r="DM28" i="10"/>
  <c r="DM27" i="17" s="1"/>
  <c r="DM22" i="10"/>
  <c r="DM25" i="10"/>
  <c r="DM24" i="17" s="1"/>
  <c r="DM35" i="10"/>
  <c r="DM34" i="17" s="1"/>
  <c r="DM29" i="10"/>
  <c r="DM28" i="17" s="1"/>
  <c r="DM24" i="10"/>
  <c r="DM21" i="10"/>
  <c r="DM36" i="10"/>
  <c r="DM33" i="10"/>
  <c r="DM32" i="17" s="1"/>
  <c r="DM32" i="10"/>
  <c r="DM23" i="10"/>
  <c r="DM22" i="17" s="1"/>
  <c r="B124" i="37"/>
  <c r="A123" i="37"/>
  <c r="DG16" i="10"/>
  <c r="DG15" i="17" s="1"/>
  <c r="DL18" i="10"/>
  <c r="DJ9" i="19"/>
  <c r="DJ9" i="20" s="1"/>
  <c r="K81" i="30"/>
  <c r="F13" i="35" s="1"/>
  <c r="K75" i="30"/>
  <c r="DB18" i="23" l="1"/>
  <c r="DB32" i="19" s="1"/>
  <c r="DJ16" i="17"/>
  <c r="DJ39" i="17" s="1"/>
  <c r="DC17" i="23"/>
  <c r="DC22" i="23" s="1"/>
  <c r="DC12" i="19"/>
  <c r="DD14" i="23"/>
  <c r="DI17" i="17"/>
  <c r="DM23" i="17"/>
  <c r="DM21" i="17"/>
  <c r="DN31" i="10"/>
  <c r="DN34" i="10"/>
  <c r="DN33" i="17" s="1"/>
  <c r="DO9" i="10"/>
  <c r="DN20" i="10"/>
  <c r="DN29" i="10"/>
  <c r="DN36" i="10"/>
  <c r="DN35" i="17" s="1"/>
  <c r="DN21" i="10"/>
  <c r="DN20" i="17" s="1"/>
  <c r="DN28" i="10"/>
  <c r="DN25" i="10"/>
  <c r="DN24" i="17" s="1"/>
  <c r="DN35" i="10"/>
  <c r="DN34" i="17" s="1"/>
  <c r="DN22" i="10"/>
  <c r="DN21" i="17" s="1"/>
  <c r="DN30" i="10"/>
  <c r="DN29" i="17" s="1"/>
  <c r="DN27" i="10"/>
  <c r="DN26" i="17" s="1"/>
  <c r="DN24" i="10"/>
  <c r="DN23" i="17" s="1"/>
  <c r="DN33" i="10"/>
  <c r="DN32" i="17" s="1"/>
  <c r="DN32" i="10"/>
  <c r="DN31" i="17" s="1"/>
  <c r="DN23" i="10"/>
  <c r="DK14" i="10"/>
  <c r="DL40" i="11"/>
  <c r="DL7" i="17" s="1"/>
  <c r="DL13" i="17" s="1"/>
  <c r="DL55" i="11"/>
  <c r="DL14" i="10" s="1"/>
  <c r="DL15" i="10" s="1"/>
  <c r="DM31" i="17"/>
  <c r="DK9" i="19"/>
  <c r="DK9" i="20" s="1"/>
  <c r="DG19" i="19"/>
  <c r="DG16" i="17"/>
  <c r="A124" i="37"/>
  <c r="B125" i="37"/>
  <c r="DM35" i="17"/>
  <c r="DM29" i="17"/>
  <c r="DM33" i="17"/>
  <c r="DM18" i="10"/>
  <c r="DM20" i="17"/>
  <c r="DM26" i="17"/>
  <c r="DM26" i="11"/>
  <c r="DM43" i="11" s="1"/>
  <c r="DM33" i="11"/>
  <c r="DM50" i="11" s="1"/>
  <c r="DM8" i="17" s="1"/>
  <c r="DM37" i="11"/>
  <c r="DM54" i="11" s="1"/>
  <c r="DM12" i="17" s="1"/>
  <c r="DM27" i="11"/>
  <c r="DM44" i="11" s="1"/>
  <c r="DM30" i="11"/>
  <c r="DM47" i="11" s="1"/>
  <c r="DM34" i="11"/>
  <c r="DM51" i="11" s="1"/>
  <c r="DM9" i="17" s="1"/>
  <c r="DM24" i="11"/>
  <c r="DM41" i="11" s="1"/>
  <c r="DM28" i="11"/>
  <c r="DM45" i="11" s="1"/>
  <c r="DM31" i="11"/>
  <c r="DM48" i="11" s="1"/>
  <c r="DM35" i="11"/>
  <c r="DM52" i="11" s="1"/>
  <c r="DM10" i="17" s="1"/>
  <c r="DM36" i="11"/>
  <c r="DM53" i="11" s="1"/>
  <c r="DM11" i="17" s="1"/>
  <c r="DM25" i="11"/>
  <c r="DM42" i="11" s="1"/>
  <c r="DM29" i="11"/>
  <c r="DM46" i="11" s="1"/>
  <c r="DM32" i="11"/>
  <c r="DM49" i="11" s="1"/>
  <c r="DN20" i="11"/>
  <c r="DM13" i="10"/>
  <c r="DN7" i="10"/>
  <c r="DJ17" i="17" l="1"/>
  <c r="DC18" i="23"/>
  <c r="DC32" i="19" s="1"/>
  <c r="DD12" i="19"/>
  <c r="DD17" i="23"/>
  <c r="DD22" i="23" s="1"/>
  <c r="DE14" i="23"/>
  <c r="DM37" i="17"/>
  <c r="DM21" i="19" s="1"/>
  <c r="DL16" i="10"/>
  <c r="DL15" i="17" s="1"/>
  <c r="DL19" i="19" s="1"/>
  <c r="DN28" i="17"/>
  <c r="DN27" i="17"/>
  <c r="DN18" i="10"/>
  <c r="DN13" i="10"/>
  <c r="DO7" i="10"/>
  <c r="DN22" i="17"/>
  <c r="DN30" i="17"/>
  <c r="DL9" i="19"/>
  <c r="DL9" i="20" s="1"/>
  <c r="DG39" i="17"/>
  <c r="DG17" i="17"/>
  <c r="DO34" i="10"/>
  <c r="DO33" i="17" s="1"/>
  <c r="DO31" i="10"/>
  <c r="DO30" i="17" s="1"/>
  <c r="DP9" i="10"/>
  <c r="DO20" i="10"/>
  <c r="DO28" i="10"/>
  <c r="DO27" i="17" s="1"/>
  <c r="DO27" i="10"/>
  <c r="DO26" i="17" s="1"/>
  <c r="DO30" i="10"/>
  <c r="DO21" i="10"/>
  <c r="DO20" i="17" s="1"/>
  <c r="DO25" i="10"/>
  <c r="DO24" i="17" s="1"/>
  <c r="DO29" i="10"/>
  <c r="DO28" i="17" s="1"/>
  <c r="DO22" i="10"/>
  <c r="DO21" i="17" s="1"/>
  <c r="DO35" i="10"/>
  <c r="DO34" i="17" s="1"/>
  <c r="DO24" i="10"/>
  <c r="DO23" i="17" s="1"/>
  <c r="DO36" i="10"/>
  <c r="DO33" i="10"/>
  <c r="DO32" i="17" s="1"/>
  <c r="DO32" i="10"/>
  <c r="DO31" i="17" s="1"/>
  <c r="DO23" i="10"/>
  <c r="DO22" i="17" s="1"/>
  <c r="B126" i="37"/>
  <c r="A125" i="37"/>
  <c r="DN27" i="11"/>
  <c r="DN44" i="11" s="1"/>
  <c r="DN31" i="11"/>
  <c r="DN48" i="11" s="1"/>
  <c r="DN35" i="11"/>
  <c r="DN52" i="11" s="1"/>
  <c r="DN10" i="17" s="1"/>
  <c r="DN24" i="11"/>
  <c r="DN41" i="11" s="1"/>
  <c r="DN28" i="11"/>
  <c r="DN45" i="11" s="1"/>
  <c r="DN32" i="11"/>
  <c r="DN49" i="11" s="1"/>
  <c r="DN36" i="11"/>
  <c r="DN53" i="11" s="1"/>
  <c r="DN11" i="17" s="1"/>
  <c r="DN25" i="11"/>
  <c r="DN42" i="11" s="1"/>
  <c r="DN29" i="11"/>
  <c r="DN46" i="11" s="1"/>
  <c r="DN33" i="11"/>
  <c r="DN50" i="11" s="1"/>
  <c r="DN8" i="17" s="1"/>
  <c r="DN37" i="11"/>
  <c r="DN54" i="11" s="1"/>
  <c r="DN12" i="17" s="1"/>
  <c r="DN26" i="11"/>
  <c r="DN43" i="11" s="1"/>
  <c r="DN30" i="11"/>
  <c r="DN47" i="11" s="1"/>
  <c r="DN34" i="11"/>
  <c r="DN51" i="11" s="1"/>
  <c r="DN9" i="17" s="1"/>
  <c r="DO20" i="11"/>
  <c r="DM40" i="11"/>
  <c r="DM7" i="17" s="1"/>
  <c r="DM13" i="17" s="1"/>
  <c r="DM55" i="11"/>
  <c r="DM14" i="10" s="1"/>
  <c r="DM15" i="10" s="1"/>
  <c r="DM16" i="10" s="1"/>
  <c r="DM15" i="17" s="1"/>
  <c r="DK15" i="10"/>
  <c r="DD18" i="23" l="1"/>
  <c r="DD32" i="19" s="1"/>
  <c r="DE12" i="19"/>
  <c r="DE17" i="23"/>
  <c r="DE22" i="23" s="1"/>
  <c r="DF14" i="23"/>
  <c r="DL16" i="17"/>
  <c r="DL39" i="17" s="1"/>
  <c r="DM9" i="19"/>
  <c r="DM9" i="20" s="1"/>
  <c r="DM16" i="17"/>
  <c r="DM39" i="17" s="1"/>
  <c r="DM19" i="19"/>
  <c r="DO18" i="10"/>
  <c r="DO13" i="10"/>
  <c r="DP7" i="10"/>
  <c r="DN40" i="11"/>
  <c r="DN7" i="17" s="1"/>
  <c r="DN13" i="17" s="1"/>
  <c r="DN55" i="11"/>
  <c r="DN14" i="10" s="1"/>
  <c r="DO29" i="17"/>
  <c r="DP31" i="10"/>
  <c r="DP30" i="17" s="1"/>
  <c r="DP34" i="10"/>
  <c r="DP33" i="17" s="1"/>
  <c r="DP20" i="10"/>
  <c r="DQ9" i="10"/>
  <c r="DP29" i="10"/>
  <c r="DP28" i="17" s="1"/>
  <c r="DP21" i="10"/>
  <c r="DP20" i="17" s="1"/>
  <c r="DP28" i="10"/>
  <c r="DP27" i="17" s="1"/>
  <c r="DP25" i="10"/>
  <c r="DP24" i="17" s="1"/>
  <c r="DP22" i="10"/>
  <c r="DP21" i="17" s="1"/>
  <c r="DP30" i="10"/>
  <c r="DP29" i="17" s="1"/>
  <c r="DP35" i="10"/>
  <c r="DP34" i="17" s="1"/>
  <c r="DP24" i="10"/>
  <c r="DP23" i="17" s="1"/>
  <c r="DP36" i="10"/>
  <c r="DP35" i="17" s="1"/>
  <c r="DP27" i="10"/>
  <c r="DP26" i="17" s="1"/>
  <c r="DP33" i="10"/>
  <c r="DP32" i="17" s="1"/>
  <c r="DP32" i="10"/>
  <c r="DP31" i="17" s="1"/>
  <c r="DP23" i="10"/>
  <c r="DP22" i="17" s="1"/>
  <c r="DK16" i="10"/>
  <c r="DK15" i="17" s="1"/>
  <c r="DO25" i="11"/>
  <c r="DO42" i="11" s="1"/>
  <c r="DO29" i="11"/>
  <c r="DO46" i="11" s="1"/>
  <c r="DO33" i="11"/>
  <c r="DO50" i="11" s="1"/>
  <c r="DO8" i="17" s="1"/>
  <c r="DO37" i="11"/>
  <c r="DO54" i="11" s="1"/>
  <c r="DO12" i="17" s="1"/>
  <c r="DO26" i="11"/>
  <c r="DO43" i="11" s="1"/>
  <c r="DO30" i="11"/>
  <c r="DO47" i="11" s="1"/>
  <c r="DO34" i="11"/>
  <c r="DO51" i="11" s="1"/>
  <c r="DO9" i="17" s="1"/>
  <c r="DO27" i="11"/>
  <c r="DO44" i="11" s="1"/>
  <c r="DO31" i="11"/>
  <c r="DO48" i="11" s="1"/>
  <c r="DO35" i="11"/>
  <c r="DO52" i="11" s="1"/>
  <c r="DO10" i="17" s="1"/>
  <c r="DO24" i="11"/>
  <c r="DO41" i="11" s="1"/>
  <c r="DO28" i="11"/>
  <c r="DO45" i="11" s="1"/>
  <c r="DO32" i="11"/>
  <c r="DO49" i="11" s="1"/>
  <c r="DO36" i="11"/>
  <c r="DO53" i="11" s="1"/>
  <c r="DO11" i="17" s="1"/>
  <c r="DP20" i="11"/>
  <c r="A126" i="37"/>
  <c r="B127" i="37"/>
  <c r="DO35" i="17"/>
  <c r="DN37" i="17"/>
  <c r="DN21" i="19" s="1"/>
  <c r="DE18" i="23" l="1"/>
  <c r="DE32" i="19" s="1"/>
  <c r="DG14" i="23"/>
  <c r="DF17" i="23"/>
  <c r="DF22" i="23" s="1"/>
  <c r="DF12" i="19"/>
  <c r="DO37" i="17"/>
  <c r="DO21" i="19" s="1"/>
  <c r="DL17" i="17"/>
  <c r="DP27" i="11"/>
  <c r="DP44" i="11" s="1"/>
  <c r="DP31" i="11"/>
  <c r="DP48" i="11" s="1"/>
  <c r="DP35" i="11"/>
  <c r="DP52" i="11" s="1"/>
  <c r="DP10" i="17" s="1"/>
  <c r="DP24" i="11"/>
  <c r="DP41" i="11" s="1"/>
  <c r="DP28" i="11"/>
  <c r="DP45" i="11" s="1"/>
  <c r="DP32" i="11"/>
  <c r="DP49" i="11" s="1"/>
  <c r="DP36" i="11"/>
  <c r="DP53" i="11" s="1"/>
  <c r="DP11" i="17" s="1"/>
  <c r="DP25" i="11"/>
  <c r="DP42" i="11" s="1"/>
  <c r="DP29" i="11"/>
  <c r="DP46" i="11" s="1"/>
  <c r="DP33" i="11"/>
  <c r="DP50" i="11" s="1"/>
  <c r="DP8" i="17" s="1"/>
  <c r="DP37" i="11"/>
  <c r="DP54" i="11" s="1"/>
  <c r="DP12" i="17" s="1"/>
  <c r="DP26" i="11"/>
  <c r="DP43" i="11" s="1"/>
  <c r="DP30" i="11"/>
  <c r="DP47" i="11" s="1"/>
  <c r="DP34" i="11"/>
  <c r="DP51" i="11" s="1"/>
  <c r="DP9" i="17" s="1"/>
  <c r="DQ20" i="11"/>
  <c r="DO40" i="11"/>
  <c r="DO7" i="17" s="1"/>
  <c r="DO13" i="17" s="1"/>
  <c r="DO55" i="11"/>
  <c r="DO14" i="10" s="1"/>
  <c r="DO15" i="10" s="1"/>
  <c r="DO16" i="10" s="1"/>
  <c r="DO15" i="17" s="1"/>
  <c r="DP18" i="10"/>
  <c r="DQ31" i="10"/>
  <c r="DQ30" i="17" s="1"/>
  <c r="DQ34" i="10"/>
  <c r="DQ33" i="17" s="1"/>
  <c r="DR9" i="10"/>
  <c r="DQ20" i="10"/>
  <c r="DQ28" i="10"/>
  <c r="DQ27" i="17" s="1"/>
  <c r="DQ27" i="10"/>
  <c r="DQ26" i="17" s="1"/>
  <c r="DQ30" i="10"/>
  <c r="DQ29" i="17" s="1"/>
  <c r="DQ21" i="10"/>
  <c r="DQ20" i="17" s="1"/>
  <c r="DQ25" i="10"/>
  <c r="DQ24" i="17" s="1"/>
  <c r="DQ29" i="10"/>
  <c r="DQ28" i="17" s="1"/>
  <c r="DQ22" i="10"/>
  <c r="DQ21" i="17" s="1"/>
  <c r="DQ35" i="10"/>
  <c r="DQ34" i="17" s="1"/>
  <c r="DQ24" i="10"/>
  <c r="DQ23" i="17" s="1"/>
  <c r="DQ36" i="10"/>
  <c r="DQ35" i="17" s="1"/>
  <c r="DQ33" i="10"/>
  <c r="DQ32" i="17" s="1"/>
  <c r="DQ32" i="10"/>
  <c r="DQ31" i="17" s="1"/>
  <c r="DQ23" i="10"/>
  <c r="DQ22" i="17" s="1"/>
  <c r="DP13" i="10"/>
  <c r="DQ7" i="10"/>
  <c r="DN9" i="19"/>
  <c r="DN9" i="20" s="1"/>
  <c r="DK16" i="17"/>
  <c r="DK19" i="19"/>
  <c r="DN15" i="10"/>
  <c r="DM17" i="17"/>
  <c r="B128" i="37"/>
  <c r="A127" i="37"/>
  <c r="DP37" i="17"/>
  <c r="DP21" i="19" s="1"/>
  <c r="DF18" i="23" l="1"/>
  <c r="DF32" i="19" s="1"/>
  <c r="DH14" i="23"/>
  <c r="DG17" i="23"/>
  <c r="DG22" i="23" s="1"/>
  <c r="DG12" i="19"/>
  <c r="DO19" i="19"/>
  <c r="DO9" i="19"/>
  <c r="DO9" i="20" s="1"/>
  <c r="DO16" i="17"/>
  <c r="DO39" i="17" s="1"/>
  <c r="DP55" i="11"/>
  <c r="DP14" i="10" s="1"/>
  <c r="DP15" i="10" s="1"/>
  <c r="DP16" i="10" s="1"/>
  <c r="DP15" i="17" s="1"/>
  <c r="DP40" i="11"/>
  <c r="DP7" i="17" s="1"/>
  <c r="DP13" i="17" s="1"/>
  <c r="DQ13" i="10"/>
  <c r="DR7" i="10"/>
  <c r="DR31" i="10"/>
  <c r="DR34" i="10"/>
  <c r="DR20" i="10"/>
  <c r="DS9" i="10"/>
  <c r="DR22" i="10"/>
  <c r="DR25" i="10"/>
  <c r="DR24" i="10"/>
  <c r="DR27" i="10"/>
  <c r="DR21" i="10"/>
  <c r="DR29" i="10"/>
  <c r="DR35" i="10"/>
  <c r="DR36" i="10"/>
  <c r="DR28" i="10"/>
  <c r="DR30" i="10"/>
  <c r="DR33" i="10"/>
  <c r="DR32" i="10"/>
  <c r="DR23" i="10"/>
  <c r="DK39" i="17"/>
  <c r="DK17" i="17"/>
  <c r="DQ37" i="17"/>
  <c r="DQ21" i="19" s="1"/>
  <c r="DQ25" i="11"/>
  <c r="DQ42" i="11" s="1"/>
  <c r="DQ29" i="11"/>
  <c r="DQ46" i="11" s="1"/>
  <c r="DQ33" i="11"/>
  <c r="DQ50" i="11" s="1"/>
  <c r="DQ8" i="17" s="1"/>
  <c r="DQ37" i="11"/>
  <c r="DQ54" i="11" s="1"/>
  <c r="DQ12" i="17" s="1"/>
  <c r="DQ26" i="11"/>
  <c r="DQ43" i="11" s="1"/>
  <c r="DQ30" i="11"/>
  <c r="DQ47" i="11" s="1"/>
  <c r="DQ34" i="11"/>
  <c r="DQ51" i="11" s="1"/>
  <c r="DQ9" i="17" s="1"/>
  <c r="DQ27" i="11"/>
  <c r="DQ44" i="11" s="1"/>
  <c r="DQ31" i="11"/>
  <c r="DQ48" i="11" s="1"/>
  <c r="DQ35" i="11"/>
  <c r="DQ52" i="11" s="1"/>
  <c r="DQ10" i="17" s="1"/>
  <c r="DQ28" i="11"/>
  <c r="DQ45" i="11" s="1"/>
  <c r="DQ32" i="11"/>
  <c r="DQ49" i="11" s="1"/>
  <c r="DQ36" i="11"/>
  <c r="DQ53" i="11" s="1"/>
  <c r="DQ11" i="17" s="1"/>
  <c r="DQ24" i="11"/>
  <c r="DQ41" i="11" s="1"/>
  <c r="DR20" i="11"/>
  <c r="A128" i="37"/>
  <c r="B129" i="37"/>
  <c r="DN16" i="10"/>
  <c r="DN15" i="17" s="1"/>
  <c r="DQ18" i="10"/>
  <c r="DG18" i="23" l="1"/>
  <c r="DG32" i="19" s="1"/>
  <c r="DI14" i="23"/>
  <c r="DH17" i="23"/>
  <c r="DH22" i="23" s="1"/>
  <c r="DH12" i="19"/>
  <c r="B130" i="37"/>
  <c r="A129" i="37"/>
  <c r="DR22" i="17"/>
  <c r="N23" i="32"/>
  <c r="DR27" i="17"/>
  <c r="N28" i="32"/>
  <c r="DR20" i="17"/>
  <c r="N21" i="32"/>
  <c r="K9" i="43" s="1"/>
  <c r="DR21" i="17"/>
  <c r="N22" i="32"/>
  <c r="DR30" i="17"/>
  <c r="N31" i="32"/>
  <c r="DP16" i="17"/>
  <c r="DP39" i="17" s="1"/>
  <c r="DP19" i="19"/>
  <c r="DR29" i="17"/>
  <c r="N30" i="32"/>
  <c r="DR28" i="17"/>
  <c r="N29" i="32"/>
  <c r="DR24" i="17"/>
  <c r="N25" i="32"/>
  <c r="DR33" i="17"/>
  <c r="N34" i="32"/>
  <c r="DR27" i="11"/>
  <c r="DR44" i="11" s="1"/>
  <c r="DR31" i="11"/>
  <c r="DR48" i="11" s="1"/>
  <c r="DR35" i="11"/>
  <c r="DR52" i="11" s="1"/>
  <c r="DR10" i="17" s="1"/>
  <c r="DR24" i="11"/>
  <c r="DR41" i="11" s="1"/>
  <c r="DR28" i="11"/>
  <c r="DR45" i="11" s="1"/>
  <c r="DR32" i="11"/>
  <c r="DR49" i="11" s="1"/>
  <c r="DR36" i="11"/>
  <c r="DR53" i="11" s="1"/>
  <c r="DR11" i="17" s="1"/>
  <c r="DR25" i="11"/>
  <c r="DR42" i="11" s="1"/>
  <c r="DR29" i="11"/>
  <c r="DR46" i="11" s="1"/>
  <c r="DR33" i="11"/>
  <c r="DR50" i="11" s="1"/>
  <c r="DR8" i="17" s="1"/>
  <c r="DR37" i="11"/>
  <c r="DR54" i="11" s="1"/>
  <c r="DR12" i="17" s="1"/>
  <c r="DR30" i="11"/>
  <c r="DR47" i="11" s="1"/>
  <c r="DR34" i="11"/>
  <c r="DR51" i="11" s="1"/>
  <c r="DR9" i="17" s="1"/>
  <c r="DR26" i="11"/>
  <c r="DR43" i="11" s="1"/>
  <c r="DS20" i="11"/>
  <c r="DR31" i="17"/>
  <c r="N32" i="32"/>
  <c r="DR35" i="17"/>
  <c r="N36" i="32"/>
  <c r="DR26" i="17"/>
  <c r="N27" i="32"/>
  <c r="DS31" i="10"/>
  <c r="DS30" i="17" s="1"/>
  <c r="DS34" i="10"/>
  <c r="DT9" i="10"/>
  <c r="DS29" i="10"/>
  <c r="DS36" i="10"/>
  <c r="DS22" i="10"/>
  <c r="DS30" i="10"/>
  <c r="DS24" i="10"/>
  <c r="DS27" i="10"/>
  <c r="DS21" i="10"/>
  <c r="DS35" i="10"/>
  <c r="DS20" i="10"/>
  <c r="DS25" i="10"/>
  <c r="DS28" i="10"/>
  <c r="DS33" i="10"/>
  <c r="DS32" i="10"/>
  <c r="DS23" i="10"/>
  <c r="DR13" i="10"/>
  <c r="DS7" i="10"/>
  <c r="DO17" i="17"/>
  <c r="DP9" i="19"/>
  <c r="DP9" i="20" s="1"/>
  <c r="DN16" i="17"/>
  <c r="DN19" i="19"/>
  <c r="DQ40" i="11"/>
  <c r="DQ7" i="17" s="1"/>
  <c r="DQ13" i="17" s="1"/>
  <c r="DQ55" i="11"/>
  <c r="DQ14" i="10" s="1"/>
  <c r="DQ15" i="10" s="1"/>
  <c r="DR32" i="17"/>
  <c r="N33" i="32"/>
  <c r="DR34" i="17"/>
  <c r="N35" i="32"/>
  <c r="DR23" i="17"/>
  <c r="N24" i="32"/>
  <c r="DR18" i="10"/>
  <c r="DG38" i="10" s="1"/>
  <c r="N20" i="32"/>
  <c r="DP17" i="17" l="1"/>
  <c r="DH18" i="23"/>
  <c r="DH32" i="19" s="1"/>
  <c r="N38" i="32"/>
  <c r="L18" i="30"/>
  <c r="K13" i="43"/>
  <c r="L20" i="30"/>
  <c r="K15" i="43"/>
  <c r="L22" i="30"/>
  <c r="K17" i="43"/>
  <c r="L29" i="30"/>
  <c r="K24" i="43"/>
  <c r="L16" i="30"/>
  <c r="K11" i="43"/>
  <c r="L23" i="30"/>
  <c r="K18" i="43"/>
  <c r="L27" i="30"/>
  <c r="K22" i="43"/>
  <c r="L24" i="30"/>
  <c r="K19" i="43"/>
  <c r="L17" i="30"/>
  <c r="K12" i="43"/>
  <c r="L15" i="30"/>
  <c r="K10" i="43"/>
  <c r="L28" i="30"/>
  <c r="K23" i="43"/>
  <c r="L26" i="30"/>
  <c r="K21" i="43"/>
  <c r="L25" i="30"/>
  <c r="K20" i="43"/>
  <c r="L21" i="30"/>
  <c r="K16" i="43"/>
  <c r="L13" i="30"/>
  <c r="K8" i="43"/>
  <c r="DJ14" i="23"/>
  <c r="DI17" i="23"/>
  <c r="DI22" i="23" s="1"/>
  <c r="DI12" i="19"/>
  <c r="DS21" i="17"/>
  <c r="A130" i="37"/>
  <c r="B131" i="37"/>
  <c r="DQ9" i="19"/>
  <c r="DQ9" i="20" s="1"/>
  <c r="DS26" i="17"/>
  <c r="L14" i="30"/>
  <c r="N13" i="32"/>
  <c r="K2" i="43" s="1"/>
  <c r="DS20" i="17"/>
  <c r="DS33" i="17"/>
  <c r="M19" i="38"/>
  <c r="DS28" i="11"/>
  <c r="DS33" i="11"/>
  <c r="DS26" i="11"/>
  <c r="DS30" i="11"/>
  <c r="DS34" i="11"/>
  <c r="DS27" i="11"/>
  <c r="DS31" i="11"/>
  <c r="DS37" i="11"/>
  <c r="DS24" i="11"/>
  <c r="DS29" i="11"/>
  <c r="DS35" i="11"/>
  <c r="DS36" i="11"/>
  <c r="DS25" i="11"/>
  <c r="DS32" i="11"/>
  <c r="DT20" i="11"/>
  <c r="DS22" i="17"/>
  <c r="DS24" i="17"/>
  <c r="DS35" i="17"/>
  <c r="DS31" i="17"/>
  <c r="DS18" i="10"/>
  <c r="DS23" i="17"/>
  <c r="DS28" i="17"/>
  <c r="DR37" i="17"/>
  <c r="DR21" i="19" s="1"/>
  <c r="DQ16" i="10"/>
  <c r="DQ15" i="17" s="1"/>
  <c r="DQ19" i="19" s="1"/>
  <c r="DS27" i="17"/>
  <c r="DN39" i="17"/>
  <c r="DN17" i="17"/>
  <c r="DS13" i="10"/>
  <c r="DT7" i="10"/>
  <c r="DS32" i="17"/>
  <c r="DS34" i="17"/>
  <c r="DS29" i="17"/>
  <c r="DT31" i="10"/>
  <c r="DT34" i="10"/>
  <c r="DT33" i="17" s="1"/>
  <c r="DT20" i="10"/>
  <c r="DU9" i="10"/>
  <c r="DT21" i="10"/>
  <c r="DT20" i="17" s="1"/>
  <c r="DT24" i="10"/>
  <c r="DT23" i="17" s="1"/>
  <c r="DT30" i="10"/>
  <c r="DT29" i="17" s="1"/>
  <c r="DT27" i="10"/>
  <c r="DT26" i="17" s="1"/>
  <c r="DT36" i="10"/>
  <c r="DT35" i="17" s="1"/>
  <c r="DT25" i="10"/>
  <c r="DT24" i="17" s="1"/>
  <c r="DT22" i="10"/>
  <c r="DT21" i="17" s="1"/>
  <c r="DT35" i="10"/>
  <c r="DT34" i="17" s="1"/>
  <c r="DT29" i="10"/>
  <c r="DT28" i="17" s="1"/>
  <c r="DT28" i="10"/>
  <c r="DT27" i="17" s="1"/>
  <c r="DT33" i="10"/>
  <c r="DT32" i="17" s="1"/>
  <c r="DT32" i="10"/>
  <c r="DT31" i="17" s="1"/>
  <c r="DT23" i="10"/>
  <c r="DT22" i="17" s="1"/>
  <c r="DR40" i="11"/>
  <c r="DR7" i="17" s="1"/>
  <c r="DR13" i="17" s="1"/>
  <c r="DR55" i="11"/>
  <c r="L31" i="30" l="1"/>
  <c r="K26" i="43"/>
  <c r="DI18" i="23"/>
  <c r="DI32" i="19" s="1"/>
  <c r="DK14" i="23"/>
  <c r="DJ12" i="19"/>
  <c r="DJ17" i="23"/>
  <c r="DJ22" i="23" s="1"/>
  <c r="DR9" i="19"/>
  <c r="DR9" i="20" s="1"/>
  <c r="DT13" i="10"/>
  <c r="DU7" i="10"/>
  <c r="M31" i="38"/>
  <c r="M49" i="38" s="1"/>
  <c r="DS49" i="11"/>
  <c r="DS37" i="17"/>
  <c r="DS21" i="19" s="1"/>
  <c r="M24" i="38"/>
  <c r="M42" i="38" s="1"/>
  <c r="DS42" i="11"/>
  <c r="M23" i="38"/>
  <c r="M41" i="38" s="1"/>
  <c r="DS41" i="11"/>
  <c r="M33" i="38"/>
  <c r="M51" i="38" s="1"/>
  <c r="DS51" i="11"/>
  <c r="DS9" i="17" s="1"/>
  <c r="M27" i="38"/>
  <c r="M45" i="38" s="1"/>
  <c r="DS45" i="11"/>
  <c r="L67" i="30"/>
  <c r="K9" i="34" s="1"/>
  <c r="B132" i="37"/>
  <c r="A131" i="37"/>
  <c r="M28" i="38"/>
  <c r="M46" i="38" s="1"/>
  <c r="DS46" i="11"/>
  <c r="M26" i="38"/>
  <c r="M44" i="38" s="1"/>
  <c r="DS44" i="11"/>
  <c r="M32" i="38"/>
  <c r="M50" i="38" s="1"/>
  <c r="DS50" i="11"/>
  <c r="DS8" i="17" s="1"/>
  <c r="DT30" i="17"/>
  <c r="DT37" i="17" s="1"/>
  <c r="DT21" i="19" s="1"/>
  <c r="DU31" i="10"/>
  <c r="DU30" i="17" s="1"/>
  <c r="DU34" i="10"/>
  <c r="DU33" i="17" s="1"/>
  <c r="DV9" i="10"/>
  <c r="DU20" i="10"/>
  <c r="DU22" i="10"/>
  <c r="DU25" i="10"/>
  <c r="DU24" i="17" s="1"/>
  <c r="DU35" i="10"/>
  <c r="DU24" i="10"/>
  <c r="DU23" i="17" s="1"/>
  <c r="DU27" i="10"/>
  <c r="DU26" i="17" s="1"/>
  <c r="DU36" i="10"/>
  <c r="DU35" i="17" s="1"/>
  <c r="DU21" i="10"/>
  <c r="DU20" i="17" s="1"/>
  <c r="DU29" i="10"/>
  <c r="DU28" i="17" s="1"/>
  <c r="DU28" i="10"/>
  <c r="DU27" i="17" s="1"/>
  <c r="DU30" i="10"/>
  <c r="DU29" i="17" s="1"/>
  <c r="DU33" i="10"/>
  <c r="DU32" i="17" s="1"/>
  <c r="DU32" i="10"/>
  <c r="DU31" i="17" s="1"/>
  <c r="DU23" i="10"/>
  <c r="DU22" i="17" s="1"/>
  <c r="M35" i="38"/>
  <c r="M53" i="38" s="1"/>
  <c r="DS53" i="11"/>
  <c r="DS11" i="17" s="1"/>
  <c r="M36" i="38"/>
  <c r="M54" i="38" s="1"/>
  <c r="DS54" i="11"/>
  <c r="DS12" i="17" s="1"/>
  <c r="M29" i="38"/>
  <c r="M47" i="38" s="1"/>
  <c r="DS47" i="11"/>
  <c r="DR14" i="10"/>
  <c r="DG56" i="11"/>
  <c r="N6" i="32" s="1"/>
  <c r="N7" i="32" s="1"/>
  <c r="DT18" i="10"/>
  <c r="DT25" i="11"/>
  <c r="DT42" i="11" s="1"/>
  <c r="DT29" i="11"/>
  <c r="DT46" i="11" s="1"/>
  <c r="DT33" i="11"/>
  <c r="DT50" i="11" s="1"/>
  <c r="DT8" i="17" s="1"/>
  <c r="DT37" i="11"/>
  <c r="DT54" i="11" s="1"/>
  <c r="DT12" i="17" s="1"/>
  <c r="DT26" i="11"/>
  <c r="DT43" i="11" s="1"/>
  <c r="DT30" i="11"/>
  <c r="DT47" i="11" s="1"/>
  <c r="DT34" i="11"/>
  <c r="DT51" i="11" s="1"/>
  <c r="DT9" i="17" s="1"/>
  <c r="DT27" i="11"/>
  <c r="DT44" i="11" s="1"/>
  <c r="DT31" i="11"/>
  <c r="DT48" i="11" s="1"/>
  <c r="DT35" i="11"/>
  <c r="DT52" i="11" s="1"/>
  <c r="DT10" i="17" s="1"/>
  <c r="DT36" i="11"/>
  <c r="DT53" i="11" s="1"/>
  <c r="DT11" i="17" s="1"/>
  <c r="DT24" i="11"/>
  <c r="DT41" i="11" s="1"/>
  <c r="DT28" i="11"/>
  <c r="DT45" i="11" s="1"/>
  <c r="DT32" i="11"/>
  <c r="DT49" i="11" s="1"/>
  <c r="DU20" i="11"/>
  <c r="M34" i="38"/>
  <c r="M52" i="38" s="1"/>
  <c r="DS52" i="11"/>
  <c r="DS10" i="17" s="1"/>
  <c r="M30" i="38"/>
  <c r="M48" i="38" s="1"/>
  <c r="DS48" i="11"/>
  <c r="M25" i="38"/>
  <c r="M43" i="38" s="1"/>
  <c r="DS43" i="11"/>
  <c r="L7" i="30"/>
  <c r="DQ16" i="17"/>
  <c r="DJ18" i="23" l="1"/>
  <c r="DJ32" i="19" s="1"/>
  <c r="DK17" i="23"/>
  <c r="DK22" i="23" s="1"/>
  <c r="DL14" i="23"/>
  <c r="DK12" i="19"/>
  <c r="DU34" i="17"/>
  <c r="DV31" i="10"/>
  <c r="DV30" i="17" s="1"/>
  <c r="DV34" i="10"/>
  <c r="DW9" i="10"/>
  <c r="DV20" i="10"/>
  <c r="DV21" i="10"/>
  <c r="DV24" i="10"/>
  <c r="DV23" i="17" s="1"/>
  <c r="DV36" i="10"/>
  <c r="DV27" i="10"/>
  <c r="DV26" i="17" s="1"/>
  <c r="DV25" i="10"/>
  <c r="DV28" i="10"/>
  <c r="DV22" i="10"/>
  <c r="DV21" i="17" s="1"/>
  <c r="DV29" i="10"/>
  <c r="DV28" i="17" s="1"/>
  <c r="DV30" i="10"/>
  <c r="DV35" i="10"/>
  <c r="DV34" i="17" s="1"/>
  <c r="DV33" i="10"/>
  <c r="DV32" i="17" s="1"/>
  <c r="DV32" i="10"/>
  <c r="DV31" i="17" s="1"/>
  <c r="DV23" i="10"/>
  <c r="DU27" i="11"/>
  <c r="DU44" i="11" s="1"/>
  <c r="DU31" i="11"/>
  <c r="DU48" i="11" s="1"/>
  <c r="DU35" i="11"/>
  <c r="DU52" i="11" s="1"/>
  <c r="DU10" i="17" s="1"/>
  <c r="DU24" i="11"/>
  <c r="DU41" i="11" s="1"/>
  <c r="DU28" i="11"/>
  <c r="DU45" i="11" s="1"/>
  <c r="DU32" i="11"/>
  <c r="DU49" i="11" s="1"/>
  <c r="DU36" i="11"/>
  <c r="DU53" i="11" s="1"/>
  <c r="DU11" i="17" s="1"/>
  <c r="DU25" i="11"/>
  <c r="DU42" i="11" s="1"/>
  <c r="DU29" i="11"/>
  <c r="DU46" i="11" s="1"/>
  <c r="DU33" i="11"/>
  <c r="DU50" i="11" s="1"/>
  <c r="DU8" i="17" s="1"/>
  <c r="DU37" i="11"/>
  <c r="DU54" i="11" s="1"/>
  <c r="DU12" i="17" s="1"/>
  <c r="DU26" i="11"/>
  <c r="DU43" i="11" s="1"/>
  <c r="DU30" i="11"/>
  <c r="DU47" i="11" s="1"/>
  <c r="DU34" i="11"/>
  <c r="DU51" i="11" s="1"/>
  <c r="DU9" i="17" s="1"/>
  <c r="DV20" i="11"/>
  <c r="DU18" i="10"/>
  <c r="DQ39" i="17"/>
  <c r="DQ17" i="17"/>
  <c r="L5" i="30"/>
  <c r="N9" i="32"/>
  <c r="L6" i="30" s="1"/>
  <c r="A132" i="37"/>
  <c r="B133" i="37"/>
  <c r="DS40" i="11"/>
  <c r="DS7" i="17" s="1"/>
  <c r="DS13" i="17" s="1"/>
  <c r="DS55" i="11"/>
  <c r="DT40" i="11"/>
  <c r="DT7" i="17" s="1"/>
  <c r="DT13" i="17" s="1"/>
  <c r="DT55" i="11"/>
  <c r="DT14" i="10" s="1"/>
  <c r="DT15" i="10" s="1"/>
  <c r="DT16" i="10" s="1"/>
  <c r="DT15" i="17" s="1"/>
  <c r="DT19" i="19" s="1"/>
  <c r="DR15" i="10"/>
  <c r="N15" i="32" s="1"/>
  <c r="N14" i="32"/>
  <c r="K3" i="43" s="1"/>
  <c r="DU21" i="17"/>
  <c r="M55" i="38"/>
  <c r="DU13" i="10"/>
  <c r="DV7" i="10"/>
  <c r="DK18" i="23" l="1"/>
  <c r="DK32" i="19" s="1"/>
  <c r="DU37" i="17"/>
  <c r="DU21" i="19" s="1"/>
  <c r="L9" i="30"/>
  <c r="K4" i="43"/>
  <c r="DM14" i="23"/>
  <c r="DL17" i="23"/>
  <c r="DL22" i="23" s="1"/>
  <c r="DL12" i="19"/>
  <c r="DT9" i="19"/>
  <c r="DT16" i="17"/>
  <c r="DT39" i="17" s="1"/>
  <c r="DS9" i="19"/>
  <c r="DS9" i="20" s="1"/>
  <c r="DV35" i="17"/>
  <c r="DW31" i="10"/>
  <c r="DW34" i="10"/>
  <c r="DW33" i="17" s="1"/>
  <c r="DX9" i="10"/>
  <c r="DW20" i="10"/>
  <c r="DW27" i="10"/>
  <c r="DW30" i="10"/>
  <c r="DW29" i="17" s="1"/>
  <c r="DW35" i="10"/>
  <c r="DW24" i="10"/>
  <c r="DW21" i="10"/>
  <c r="DW20" i="17" s="1"/>
  <c r="DW25" i="10"/>
  <c r="DW24" i="17" s="1"/>
  <c r="DW29" i="10"/>
  <c r="DW22" i="10"/>
  <c r="DW36" i="10"/>
  <c r="DW35" i="17" s="1"/>
  <c r="DW28" i="10"/>
  <c r="DW27" i="17" s="1"/>
  <c r="DW33" i="10"/>
  <c r="DW32" i="10"/>
  <c r="DW23" i="10"/>
  <c r="DW22" i="17" s="1"/>
  <c r="L64" i="30"/>
  <c r="DV25" i="11"/>
  <c r="DV42" i="11" s="1"/>
  <c r="DV29" i="11"/>
  <c r="DV46" i="11" s="1"/>
  <c r="DV32" i="11"/>
  <c r="DV49" i="11" s="1"/>
  <c r="DV36" i="11"/>
  <c r="DV53" i="11" s="1"/>
  <c r="DV11" i="17" s="1"/>
  <c r="DV26" i="11"/>
  <c r="DV43" i="11" s="1"/>
  <c r="DV33" i="11"/>
  <c r="DV50" i="11" s="1"/>
  <c r="DV8" i="17" s="1"/>
  <c r="DV37" i="11"/>
  <c r="DV54" i="11" s="1"/>
  <c r="DV12" i="17" s="1"/>
  <c r="DV27" i="11"/>
  <c r="DV44" i="11" s="1"/>
  <c r="DV30" i="11"/>
  <c r="DV47" i="11" s="1"/>
  <c r="DV34" i="11"/>
  <c r="DV51" i="11" s="1"/>
  <c r="DV9" i="17" s="1"/>
  <c r="DV24" i="11"/>
  <c r="DV41" i="11" s="1"/>
  <c r="DV28" i="11"/>
  <c r="DV45" i="11" s="1"/>
  <c r="DV31" i="11"/>
  <c r="DV48" i="11" s="1"/>
  <c r="DV35" i="11"/>
  <c r="DV52" i="11" s="1"/>
  <c r="DV10" i="17" s="1"/>
  <c r="DW20" i="11"/>
  <c r="DV18" i="10"/>
  <c r="DV13" i="10"/>
  <c r="DW7" i="10"/>
  <c r="DR16" i="10"/>
  <c r="DR15" i="17" s="1"/>
  <c r="B134" i="37"/>
  <c r="A133" i="37"/>
  <c r="L53" i="30"/>
  <c r="L58" i="30"/>
  <c r="L42" i="30"/>
  <c r="L51" i="30"/>
  <c r="L56" i="30"/>
  <c r="L40" i="30"/>
  <c r="L49" i="30"/>
  <c r="L54" i="30"/>
  <c r="L66" i="30"/>
  <c r="K8" i="34" s="1"/>
  <c r="L47" i="30"/>
  <c r="L52" i="30"/>
  <c r="L60" i="30"/>
  <c r="L45" i="30"/>
  <c r="L50" i="30"/>
  <c r="L59" i="30"/>
  <c r="L43" i="30"/>
  <c r="L48" i="30"/>
  <c r="L57" i="30"/>
  <c r="L41" i="30"/>
  <c r="L46" i="30"/>
  <c r="L55" i="30"/>
  <c r="L44" i="30"/>
  <c r="L3" i="30"/>
  <c r="L8" i="30"/>
  <c r="N16" i="32"/>
  <c r="DU40" i="11"/>
  <c r="DU7" i="17" s="1"/>
  <c r="DU13" i="17" s="1"/>
  <c r="DV27" i="17"/>
  <c r="DV33" i="17"/>
  <c r="DS14" i="10"/>
  <c r="DU55" i="11"/>
  <c r="DU14" i="10" s="1"/>
  <c r="DU15" i="10" s="1"/>
  <c r="DU16" i="10" s="1"/>
  <c r="DU15" i="17" s="1"/>
  <c r="DU19" i="19" s="1"/>
  <c r="DV22" i="17"/>
  <c r="DV29" i="17"/>
  <c r="DV24" i="17"/>
  <c r="DV20" i="17"/>
  <c r="L10" i="30" l="1"/>
  <c r="L32" i="30" s="1"/>
  <c r="DL18" i="23"/>
  <c r="DL32" i="19" s="1"/>
  <c r="N17" i="32"/>
  <c r="K5" i="43"/>
  <c r="DM17" i="23"/>
  <c r="DM22" i="23" s="1"/>
  <c r="DN14" i="23"/>
  <c r="DM12" i="19"/>
  <c r="DT9" i="20"/>
  <c r="DU9" i="19"/>
  <c r="DU9" i="20" s="1"/>
  <c r="DU16" i="17"/>
  <c r="DU39" i="17" s="1"/>
  <c r="DW32" i="17"/>
  <c r="DX31" i="10"/>
  <c r="DX30" i="17" s="1"/>
  <c r="DX34" i="10"/>
  <c r="DX20" i="10"/>
  <c r="DY9" i="10"/>
  <c r="DX29" i="10"/>
  <c r="DX28" i="17" s="1"/>
  <c r="DX24" i="10"/>
  <c r="DX23" i="17" s="1"/>
  <c r="DX27" i="10"/>
  <c r="DX26" i="17" s="1"/>
  <c r="DX36" i="10"/>
  <c r="DX21" i="10"/>
  <c r="DX28" i="10"/>
  <c r="DX25" i="10"/>
  <c r="DX22" i="10"/>
  <c r="DX21" i="17" s="1"/>
  <c r="DX35" i="10"/>
  <c r="DX34" i="17" s="1"/>
  <c r="DX30" i="10"/>
  <c r="DX33" i="10"/>
  <c r="DX32" i="17" s="1"/>
  <c r="DX32" i="10"/>
  <c r="DX31" i="17" s="1"/>
  <c r="DX23" i="10"/>
  <c r="DR19" i="19"/>
  <c r="DR16" i="17"/>
  <c r="DW26" i="11"/>
  <c r="DW43" i="11" s="1"/>
  <c r="DW30" i="11"/>
  <c r="DW47" i="11" s="1"/>
  <c r="DW34" i="11"/>
  <c r="DW51" i="11" s="1"/>
  <c r="DW9" i="17" s="1"/>
  <c r="DW27" i="11"/>
  <c r="DW44" i="11" s="1"/>
  <c r="DW31" i="11"/>
  <c r="DW48" i="11" s="1"/>
  <c r="DW35" i="11"/>
  <c r="DW52" i="11" s="1"/>
  <c r="DW10" i="17" s="1"/>
  <c r="DW24" i="11"/>
  <c r="DW41" i="11" s="1"/>
  <c r="DW28" i="11"/>
  <c r="DW45" i="11" s="1"/>
  <c r="DW32" i="11"/>
  <c r="DW49" i="11" s="1"/>
  <c r="DW36" i="11"/>
  <c r="DW53" i="11" s="1"/>
  <c r="DW11" i="17" s="1"/>
  <c r="DW25" i="11"/>
  <c r="DW42" i="11" s="1"/>
  <c r="DW29" i="11"/>
  <c r="DW46" i="11" s="1"/>
  <c r="DW33" i="11"/>
  <c r="DW50" i="11" s="1"/>
  <c r="DW8" i="17" s="1"/>
  <c r="DW37" i="11"/>
  <c r="DW54" i="11" s="1"/>
  <c r="DW12" i="17" s="1"/>
  <c r="DX20" i="11"/>
  <c r="DV40" i="11"/>
  <c r="DV7" i="17" s="1"/>
  <c r="DV13" i="17" s="1"/>
  <c r="DV55" i="11"/>
  <c r="K6" i="34"/>
  <c r="L68" i="30"/>
  <c r="A134" i="37"/>
  <c r="B135" i="37"/>
  <c r="DW28" i="17"/>
  <c r="DW34" i="17"/>
  <c r="DS15" i="10"/>
  <c r="DS16" i="10" s="1"/>
  <c r="DS15" i="17" s="1"/>
  <c r="DV37" i="17"/>
  <c r="DV21" i="19" s="1"/>
  <c r="DW13" i="10"/>
  <c r="DX7" i="10"/>
  <c r="DW26" i="17"/>
  <c r="DW30" i="17"/>
  <c r="DT17" i="17"/>
  <c r="DW31" i="17"/>
  <c r="DW21" i="17"/>
  <c r="DW23" i="17"/>
  <c r="DW18" i="10"/>
  <c r="L39" i="30" l="1"/>
  <c r="DM18" i="23"/>
  <c r="DM32" i="19" s="1"/>
  <c r="DN17" i="23"/>
  <c r="DN22" i="23" s="1"/>
  <c r="DO14" i="23"/>
  <c r="DN12" i="19"/>
  <c r="DW37" i="17"/>
  <c r="DW21" i="19" s="1"/>
  <c r="DU17" i="17"/>
  <c r="DS19" i="19"/>
  <c r="DS16" i="17"/>
  <c r="DV14" i="10"/>
  <c r="DX35" i="17"/>
  <c r="DY31" i="10"/>
  <c r="DY30" i="17" s="1"/>
  <c r="DY34" i="10"/>
  <c r="DY33" i="17" s="1"/>
  <c r="DZ9" i="10"/>
  <c r="DY20" i="10"/>
  <c r="DY27" i="10"/>
  <c r="DY30" i="10"/>
  <c r="DY29" i="17" s="1"/>
  <c r="DY24" i="10"/>
  <c r="DY36" i="10"/>
  <c r="DY35" i="17" s="1"/>
  <c r="DY21" i="10"/>
  <c r="DY20" i="17" s="1"/>
  <c r="DY25" i="10"/>
  <c r="DY24" i="17" s="1"/>
  <c r="DY29" i="10"/>
  <c r="DY28" i="17" s="1"/>
  <c r="DY22" i="10"/>
  <c r="DY35" i="10"/>
  <c r="DY34" i="17" s="1"/>
  <c r="DY33" i="10"/>
  <c r="DY32" i="17" s="1"/>
  <c r="DY28" i="10"/>
  <c r="DY27" i="17" s="1"/>
  <c r="DY32" i="10"/>
  <c r="DY23" i="10"/>
  <c r="DY22" i="17" s="1"/>
  <c r="DX20" i="17"/>
  <c r="B136" i="37"/>
  <c r="A135" i="37"/>
  <c r="DV9" i="19"/>
  <c r="DV9" i="20" s="1"/>
  <c r="DR39" i="17"/>
  <c r="DR17" i="17"/>
  <c r="DX24" i="17"/>
  <c r="DX18" i="10"/>
  <c r="DX22" i="17"/>
  <c r="DX13" i="10"/>
  <c r="DY7" i="10"/>
  <c r="L81" i="30"/>
  <c r="F14" i="35" s="1"/>
  <c r="L75" i="30"/>
  <c r="DX24" i="11"/>
  <c r="DX41" i="11" s="1"/>
  <c r="DX28" i="11"/>
  <c r="DX45" i="11" s="1"/>
  <c r="DX32" i="11"/>
  <c r="DX49" i="11" s="1"/>
  <c r="DX36" i="11"/>
  <c r="DX53" i="11" s="1"/>
  <c r="DX11" i="17" s="1"/>
  <c r="DX25" i="11"/>
  <c r="DX42" i="11" s="1"/>
  <c r="DX29" i="11"/>
  <c r="DX46" i="11" s="1"/>
  <c r="DX33" i="11"/>
  <c r="DX50" i="11" s="1"/>
  <c r="DX8" i="17" s="1"/>
  <c r="DX37" i="11"/>
  <c r="DX54" i="11" s="1"/>
  <c r="DX12" i="17" s="1"/>
  <c r="DX26" i="11"/>
  <c r="DX43" i="11" s="1"/>
  <c r="DX30" i="11"/>
  <c r="DX47" i="11" s="1"/>
  <c r="DX34" i="11"/>
  <c r="DX51" i="11" s="1"/>
  <c r="DX9" i="17" s="1"/>
  <c r="DX27" i="11"/>
  <c r="DX44" i="11" s="1"/>
  <c r="DX31" i="11"/>
  <c r="DX48" i="11" s="1"/>
  <c r="DX35" i="11"/>
  <c r="DX52" i="11" s="1"/>
  <c r="DX10" i="17" s="1"/>
  <c r="DY20" i="11"/>
  <c r="DW40" i="11"/>
  <c r="DW7" i="17" s="1"/>
  <c r="DW13" i="17" s="1"/>
  <c r="DW55" i="11"/>
  <c r="DW14" i="10" s="1"/>
  <c r="DW15" i="10" s="1"/>
  <c r="DW16" i="10" s="1"/>
  <c r="DW15" i="17" s="1"/>
  <c r="DX29" i="17"/>
  <c r="DX27" i="17"/>
  <c r="DX33" i="17"/>
  <c r="DN18" i="23" l="1"/>
  <c r="DN32" i="19" s="1"/>
  <c r="DW19" i="19"/>
  <c r="DO12" i="19"/>
  <c r="DO17" i="23"/>
  <c r="DO22" i="23" s="1"/>
  <c r="DP14" i="23"/>
  <c r="DX40" i="11"/>
  <c r="DX7" i="17" s="1"/>
  <c r="DX13" i="17" s="1"/>
  <c r="DX55" i="11"/>
  <c r="DX14" i="10" s="1"/>
  <c r="DX15" i="10" s="1"/>
  <c r="DX16" i="10" s="1"/>
  <c r="DX15" i="17" s="1"/>
  <c r="A136" i="37"/>
  <c r="B137" i="37"/>
  <c r="DX37" i="17"/>
  <c r="DX21" i="19" s="1"/>
  <c r="DY26" i="17"/>
  <c r="DV15" i="10"/>
  <c r="DY26" i="11"/>
  <c r="DY43" i="11" s="1"/>
  <c r="DY30" i="11"/>
  <c r="DY47" i="11" s="1"/>
  <c r="DY34" i="11"/>
  <c r="DY51" i="11" s="1"/>
  <c r="DY9" i="17" s="1"/>
  <c r="DY27" i="11"/>
  <c r="DY44" i="11" s="1"/>
  <c r="DY31" i="11"/>
  <c r="DY48" i="11" s="1"/>
  <c r="DY35" i="11"/>
  <c r="DY52" i="11" s="1"/>
  <c r="DY10" i="17" s="1"/>
  <c r="DY24" i="11"/>
  <c r="DY41" i="11" s="1"/>
  <c r="DY28" i="11"/>
  <c r="DY45" i="11" s="1"/>
  <c r="DY32" i="11"/>
  <c r="DY49" i="11" s="1"/>
  <c r="DY36" i="11"/>
  <c r="DY53" i="11" s="1"/>
  <c r="DY11" i="17" s="1"/>
  <c r="DY29" i="11"/>
  <c r="DY46" i="11" s="1"/>
  <c r="DY33" i="11"/>
  <c r="DY50" i="11" s="1"/>
  <c r="DY8" i="17" s="1"/>
  <c r="DY37" i="11"/>
  <c r="DY54" i="11" s="1"/>
  <c r="DY12" i="17" s="1"/>
  <c r="DY25" i="11"/>
  <c r="DY42" i="11" s="1"/>
  <c r="DZ20" i="11"/>
  <c r="DY13" i="10"/>
  <c r="DZ7" i="10"/>
  <c r="DY31" i="17"/>
  <c r="DY21" i="17"/>
  <c r="DY18" i="10"/>
  <c r="DW9" i="19"/>
  <c r="DW9" i="20" s="1"/>
  <c r="DW16" i="17"/>
  <c r="DW39" i="17" s="1"/>
  <c r="DY23" i="17"/>
  <c r="DZ31" i="10"/>
  <c r="DZ34" i="10"/>
  <c r="DZ33" i="17" s="1"/>
  <c r="DZ20" i="10"/>
  <c r="EA9" i="10"/>
  <c r="DZ29" i="10"/>
  <c r="DZ28" i="17" s="1"/>
  <c r="DZ24" i="10"/>
  <c r="DZ23" i="17" s="1"/>
  <c r="DZ27" i="10"/>
  <c r="DZ26" i="17" s="1"/>
  <c r="DZ36" i="10"/>
  <c r="DZ35" i="17" s="1"/>
  <c r="DZ21" i="10"/>
  <c r="DZ28" i="10"/>
  <c r="DZ25" i="10"/>
  <c r="DZ30" i="10"/>
  <c r="DZ29" i="17" s="1"/>
  <c r="DZ35" i="10"/>
  <c r="DZ34" i="17" s="1"/>
  <c r="DZ22" i="10"/>
  <c r="DZ21" i="17" s="1"/>
  <c r="DZ33" i="10"/>
  <c r="DZ32" i="17" s="1"/>
  <c r="DZ32" i="10"/>
  <c r="DZ31" i="17" s="1"/>
  <c r="DZ23" i="10"/>
  <c r="DS39" i="17"/>
  <c r="DS17" i="17"/>
  <c r="DO18" i="23" l="1"/>
  <c r="DO32" i="19" s="1"/>
  <c r="DQ14" i="23"/>
  <c r="DP17" i="23"/>
  <c r="DP22" i="23" s="1"/>
  <c r="DP12" i="19"/>
  <c r="DY37" i="17"/>
  <c r="DY21" i="19" s="1"/>
  <c r="DW17" i="17"/>
  <c r="DZ27" i="17"/>
  <c r="DZ22" i="17"/>
  <c r="DZ24" i="11"/>
  <c r="DZ41" i="11" s="1"/>
  <c r="DZ28" i="11"/>
  <c r="DZ45" i="11" s="1"/>
  <c r="DZ32" i="11"/>
  <c r="DZ49" i="11" s="1"/>
  <c r="DZ36" i="11"/>
  <c r="DZ53" i="11" s="1"/>
  <c r="DZ11" i="17" s="1"/>
  <c r="DZ25" i="11"/>
  <c r="DZ42" i="11" s="1"/>
  <c r="DZ29" i="11"/>
  <c r="DZ46" i="11" s="1"/>
  <c r="DZ33" i="11"/>
  <c r="DZ50" i="11" s="1"/>
  <c r="DZ8" i="17" s="1"/>
  <c r="DZ37" i="11"/>
  <c r="DZ54" i="11" s="1"/>
  <c r="DZ12" i="17" s="1"/>
  <c r="DZ26" i="11"/>
  <c r="DZ43" i="11" s="1"/>
  <c r="DZ30" i="11"/>
  <c r="DZ47" i="11" s="1"/>
  <c r="DZ34" i="11"/>
  <c r="DZ51" i="11" s="1"/>
  <c r="DZ9" i="17" s="1"/>
  <c r="DZ31" i="11"/>
  <c r="DZ48" i="11" s="1"/>
  <c r="DZ35" i="11"/>
  <c r="DZ52" i="11" s="1"/>
  <c r="DZ10" i="17" s="1"/>
  <c r="DZ27" i="11"/>
  <c r="DZ44" i="11" s="1"/>
  <c r="EA20" i="11"/>
  <c r="DY40" i="11"/>
  <c r="DY7" i="17" s="1"/>
  <c r="DY13" i="17" s="1"/>
  <c r="DY55" i="11"/>
  <c r="B138" i="37"/>
  <c r="A137" i="37"/>
  <c r="DX9" i="19"/>
  <c r="DX9" i="20" s="1"/>
  <c r="DX16" i="17"/>
  <c r="DX39" i="17" s="1"/>
  <c r="DV16" i="10"/>
  <c r="DV15" i="17" s="1"/>
  <c r="DZ20" i="17"/>
  <c r="DZ30" i="17"/>
  <c r="EB9" i="10"/>
  <c r="EA20" i="10"/>
  <c r="EA21" i="10"/>
  <c r="EA20" i="17" s="1"/>
  <c r="EA24" i="10"/>
  <c r="EA23" i="17" s="1"/>
  <c r="EA30" i="10"/>
  <c r="EA29" i="17" s="1"/>
  <c r="EA36" i="10"/>
  <c r="EA35" i="17" s="1"/>
  <c r="EA27" i="10"/>
  <c r="EA26" i="17" s="1"/>
  <c r="EA34" i="10"/>
  <c r="EA33" i="17" s="1"/>
  <c r="EA25" i="10"/>
  <c r="EA24" i="17" s="1"/>
  <c r="EA31" i="10"/>
  <c r="EA30" i="17" s="1"/>
  <c r="EA35" i="10"/>
  <c r="EA34" i="17" s="1"/>
  <c r="EA29" i="10"/>
  <c r="EA28" i="17" s="1"/>
  <c r="EA22" i="10"/>
  <c r="EA21" i="17" s="1"/>
  <c r="EA33" i="10"/>
  <c r="EA32" i="17" s="1"/>
  <c r="EA28" i="10"/>
  <c r="EA27" i="17" s="1"/>
  <c r="EA32" i="10"/>
  <c r="EA31" i="17" s="1"/>
  <c r="EA23" i="10"/>
  <c r="EA22" i="17" s="1"/>
  <c r="DZ13" i="10"/>
  <c r="EA7" i="10"/>
  <c r="DZ24" i="17"/>
  <c r="DZ18" i="10"/>
  <c r="DX19" i="19"/>
  <c r="DP18" i="23" l="1"/>
  <c r="DP32" i="19" s="1"/>
  <c r="DR14" i="23"/>
  <c r="DQ17" i="23"/>
  <c r="DQ22" i="23" s="1"/>
  <c r="DQ12" i="19"/>
  <c r="EA37" i="17"/>
  <c r="EA21" i="19" s="1"/>
  <c r="DY9" i="19"/>
  <c r="DY9" i="20" s="1"/>
  <c r="EA13" i="10"/>
  <c r="EB7" i="10"/>
  <c r="DY14" i="10"/>
  <c r="DZ40" i="11"/>
  <c r="DZ7" i="17" s="1"/>
  <c r="DZ13" i="17" s="1"/>
  <c r="DZ55" i="11"/>
  <c r="DZ14" i="10" s="1"/>
  <c r="DZ15" i="10" s="1"/>
  <c r="DZ16" i="10" s="1"/>
  <c r="DZ15" i="17" s="1"/>
  <c r="EB20" i="10"/>
  <c r="EC9" i="10"/>
  <c r="EB27" i="10"/>
  <c r="EB26" i="17" s="1"/>
  <c r="EB30" i="10"/>
  <c r="EB29" i="17" s="1"/>
  <c r="EB33" i="10"/>
  <c r="EB32" i="17" s="1"/>
  <c r="EB35" i="10"/>
  <c r="EB34" i="17" s="1"/>
  <c r="EB22" i="10"/>
  <c r="EB21" i="17" s="1"/>
  <c r="EB36" i="10"/>
  <c r="EB35" i="17" s="1"/>
  <c r="EB34" i="10"/>
  <c r="EB33" i="17" s="1"/>
  <c r="EB24" i="10"/>
  <c r="EB23" i="17" s="1"/>
  <c r="EB31" i="10"/>
  <c r="EB30" i="17" s="1"/>
  <c r="EB21" i="10"/>
  <c r="EB20" i="17" s="1"/>
  <c r="EB25" i="10"/>
  <c r="EB24" i="17" s="1"/>
  <c r="EB29" i="10"/>
  <c r="EB28" i="17" s="1"/>
  <c r="EB28" i="10"/>
  <c r="EB27" i="17" s="1"/>
  <c r="EB32" i="10"/>
  <c r="EB31" i="17" s="1"/>
  <c r="EB23" i="10"/>
  <c r="EB22" i="17" s="1"/>
  <c r="DV19" i="19"/>
  <c r="DV16" i="17"/>
  <c r="DZ37" i="17"/>
  <c r="DZ21" i="19" s="1"/>
  <c r="EA18" i="10"/>
  <c r="DX17" i="17"/>
  <c r="A138" i="37"/>
  <c r="B139" i="37"/>
  <c r="EA26" i="11"/>
  <c r="EA43" i="11" s="1"/>
  <c r="EA30" i="11"/>
  <c r="EA47" i="11" s="1"/>
  <c r="EA34" i="11"/>
  <c r="EA51" i="11" s="1"/>
  <c r="EA9" i="17" s="1"/>
  <c r="EA27" i="11"/>
  <c r="EA44" i="11" s="1"/>
  <c r="EA31" i="11"/>
  <c r="EA48" i="11" s="1"/>
  <c r="EA35" i="11"/>
  <c r="EA52" i="11" s="1"/>
  <c r="EA10" i="17" s="1"/>
  <c r="EA24" i="11"/>
  <c r="EA41" i="11" s="1"/>
  <c r="EA28" i="11"/>
  <c r="EA45" i="11" s="1"/>
  <c r="EA32" i="11"/>
  <c r="EA49" i="11" s="1"/>
  <c r="EA36" i="11"/>
  <c r="EA53" i="11" s="1"/>
  <c r="EA11" i="17" s="1"/>
  <c r="EA33" i="11"/>
  <c r="EA50" i="11" s="1"/>
  <c r="EA8" i="17" s="1"/>
  <c r="EA37" i="11"/>
  <c r="EA54" i="11" s="1"/>
  <c r="EA12" i="17" s="1"/>
  <c r="EA25" i="11"/>
  <c r="EA42" i="11" s="1"/>
  <c r="EA29" i="11"/>
  <c r="EA46" i="11" s="1"/>
  <c r="EB20" i="11"/>
  <c r="DQ18" i="23" l="1"/>
  <c r="DQ32" i="19" s="1"/>
  <c r="DS14" i="23"/>
  <c r="DR12" i="19"/>
  <c r="DR17" i="23"/>
  <c r="DR22" i="23" s="1"/>
  <c r="DV39" i="17"/>
  <c r="DV17" i="17"/>
  <c r="EB13" i="10"/>
  <c r="EC7" i="10"/>
  <c r="DZ19" i="19"/>
  <c r="DZ9" i="19"/>
  <c r="DZ9" i="20" s="1"/>
  <c r="DZ16" i="17"/>
  <c r="DZ39" i="17" s="1"/>
  <c r="B140" i="37"/>
  <c r="A139" i="37"/>
  <c r="ED9" i="10"/>
  <c r="EC20" i="10"/>
  <c r="EC22" i="10"/>
  <c r="EC21" i="17" s="1"/>
  <c r="EC25" i="10"/>
  <c r="EC24" i="17" s="1"/>
  <c r="EC24" i="10"/>
  <c r="EC23" i="17" s="1"/>
  <c r="EC27" i="10"/>
  <c r="EC26" i="17" s="1"/>
  <c r="EC31" i="10"/>
  <c r="EC30" i="17" s="1"/>
  <c r="EC21" i="10"/>
  <c r="EC20" i="17" s="1"/>
  <c r="EC29" i="10"/>
  <c r="EC28" i="17" s="1"/>
  <c r="EC35" i="10"/>
  <c r="EC34" i="17" s="1"/>
  <c r="EC33" i="10"/>
  <c r="EC32" i="17" s="1"/>
  <c r="EC36" i="10"/>
  <c r="EC35" i="17" s="1"/>
  <c r="EC34" i="10"/>
  <c r="EC33" i="17" s="1"/>
  <c r="EC30" i="10"/>
  <c r="EC29" i="17" s="1"/>
  <c r="EC28" i="10"/>
  <c r="EC27" i="17" s="1"/>
  <c r="EC32" i="10"/>
  <c r="EC31" i="17" s="1"/>
  <c r="EC23" i="10"/>
  <c r="EC22" i="17" s="1"/>
  <c r="EB24" i="11"/>
  <c r="EB41" i="11" s="1"/>
  <c r="EB28" i="11"/>
  <c r="EB45" i="11" s="1"/>
  <c r="EB32" i="11"/>
  <c r="EB49" i="11" s="1"/>
  <c r="EB36" i="11"/>
  <c r="EB53" i="11" s="1"/>
  <c r="EB11" i="17" s="1"/>
  <c r="EB25" i="11"/>
  <c r="EB42" i="11" s="1"/>
  <c r="EB29" i="11"/>
  <c r="EB46" i="11" s="1"/>
  <c r="EB33" i="11"/>
  <c r="EB50" i="11" s="1"/>
  <c r="EB8" i="17" s="1"/>
  <c r="EB37" i="11"/>
  <c r="EB54" i="11" s="1"/>
  <c r="EB12" i="17" s="1"/>
  <c r="EB26" i="11"/>
  <c r="EB43" i="11" s="1"/>
  <c r="EB30" i="11"/>
  <c r="EB47" i="11" s="1"/>
  <c r="EB34" i="11"/>
  <c r="EB51" i="11" s="1"/>
  <c r="EB9" i="17" s="1"/>
  <c r="EB35" i="11"/>
  <c r="EB52" i="11" s="1"/>
  <c r="EB10" i="17" s="1"/>
  <c r="EB27" i="11"/>
  <c r="EB44" i="11" s="1"/>
  <c r="EB31" i="11"/>
  <c r="EB48" i="11" s="1"/>
  <c r="EC20" i="11"/>
  <c r="EA40" i="11"/>
  <c r="EA7" i="17" s="1"/>
  <c r="EA13" i="17" s="1"/>
  <c r="EA55" i="11"/>
  <c r="EA14" i="10" s="1"/>
  <c r="EA15" i="10" s="1"/>
  <c r="EA16" i="10" s="1"/>
  <c r="EA15" i="17" s="1"/>
  <c r="EA19" i="19" s="1"/>
  <c r="EB37" i="17"/>
  <c r="EB21" i="19" s="1"/>
  <c r="EB18" i="10"/>
  <c r="DY15" i="10"/>
  <c r="DR18" i="23" l="1"/>
  <c r="DR32" i="19" s="1"/>
  <c r="DS12" i="19"/>
  <c r="DT14" i="23"/>
  <c r="DS17" i="23"/>
  <c r="DS22" i="23" s="1"/>
  <c r="EA9" i="19"/>
  <c r="EA9" i="20" s="1"/>
  <c r="EA16" i="17"/>
  <c r="EA39" i="17" s="1"/>
  <c r="DY16" i="10"/>
  <c r="DY15" i="17" s="1"/>
  <c r="EB40" i="11"/>
  <c r="EB7" i="17" s="1"/>
  <c r="EB13" i="17" s="1"/>
  <c r="EB55" i="11"/>
  <c r="EB14" i="10" s="1"/>
  <c r="A140" i="37"/>
  <c r="B141" i="37"/>
  <c r="EC18" i="10"/>
  <c r="DZ17" i="17"/>
  <c r="EC13" i="10"/>
  <c r="ED7" i="10"/>
  <c r="EC26" i="11"/>
  <c r="EC43" i="11" s="1"/>
  <c r="EC30" i="11"/>
  <c r="EC47" i="11" s="1"/>
  <c r="EC34" i="11"/>
  <c r="EC51" i="11" s="1"/>
  <c r="EC9" i="17" s="1"/>
  <c r="EC27" i="11"/>
  <c r="EC44" i="11" s="1"/>
  <c r="EC31" i="11"/>
  <c r="EC48" i="11" s="1"/>
  <c r="EC35" i="11"/>
  <c r="EC52" i="11" s="1"/>
  <c r="EC10" i="17" s="1"/>
  <c r="EC24" i="11"/>
  <c r="EC41" i="11" s="1"/>
  <c r="EC28" i="11"/>
  <c r="EC45" i="11" s="1"/>
  <c r="EC32" i="11"/>
  <c r="EC49" i="11" s="1"/>
  <c r="EC36" i="11"/>
  <c r="EC53" i="11" s="1"/>
  <c r="EC11" i="17" s="1"/>
  <c r="EC37" i="11"/>
  <c r="EC54" i="11" s="1"/>
  <c r="EC12" i="17" s="1"/>
  <c r="EC25" i="11"/>
  <c r="EC42" i="11" s="1"/>
  <c r="EC29" i="11"/>
  <c r="EC46" i="11" s="1"/>
  <c r="EC33" i="11"/>
  <c r="EC50" i="11" s="1"/>
  <c r="EC8" i="17" s="1"/>
  <c r="ED20" i="11"/>
  <c r="EC37" i="17"/>
  <c r="EC21" i="19" s="1"/>
  <c r="EE9" i="10"/>
  <c r="ED29" i="10"/>
  <c r="ED31" i="10"/>
  <c r="ED34" i="10"/>
  <c r="ED36" i="10"/>
  <c r="ED20" i="10"/>
  <c r="ED28" i="10"/>
  <c r="ED25" i="10"/>
  <c r="ED33" i="10"/>
  <c r="ED22" i="10"/>
  <c r="ED30" i="10"/>
  <c r="ED24" i="10"/>
  <c r="ED27" i="10"/>
  <c r="ED21" i="10"/>
  <c r="ED35" i="10"/>
  <c r="ED32" i="10"/>
  <c r="ED23" i="10"/>
  <c r="DS18" i="23" l="1"/>
  <c r="DS32" i="19" s="1"/>
  <c r="DT12" i="19"/>
  <c r="DT17" i="23"/>
  <c r="DT22" i="23" s="1"/>
  <c r="DU14" i="23"/>
  <c r="EA17" i="17"/>
  <c r="ED31" i="17"/>
  <c r="O32" i="32"/>
  <c r="ED33" i="17"/>
  <c r="O34" i="32"/>
  <c r="EB9" i="19"/>
  <c r="EB9" i="20" s="1"/>
  <c r="ED13" i="10"/>
  <c r="O13" i="32" s="1"/>
  <c r="L2" i="43" s="1"/>
  <c r="EE7" i="10"/>
  <c r="DY19" i="19"/>
  <c r="DY16" i="17"/>
  <c r="B142" i="37"/>
  <c r="A141" i="37"/>
  <c r="ED34" i="17"/>
  <c r="O35" i="32"/>
  <c r="ED29" i="17"/>
  <c r="O30" i="32"/>
  <c r="ED27" i="17"/>
  <c r="O28" i="32"/>
  <c r="ED30" i="17"/>
  <c r="O31" i="32"/>
  <c r="ED20" i="17"/>
  <c r="O21" i="32"/>
  <c r="L9" i="43" s="1"/>
  <c r="ED21" i="17"/>
  <c r="O22" i="32"/>
  <c r="ED18" i="10"/>
  <c r="DS38" i="10" s="1"/>
  <c r="O20" i="32"/>
  <c r="ED28" i="17"/>
  <c r="O29" i="32"/>
  <c r="ED24" i="11"/>
  <c r="ED41" i="11" s="1"/>
  <c r="ED28" i="11"/>
  <c r="ED45" i="11" s="1"/>
  <c r="ED31" i="11"/>
  <c r="ED48" i="11" s="1"/>
  <c r="ED35" i="11"/>
  <c r="ED52" i="11" s="1"/>
  <c r="ED10" i="17" s="1"/>
  <c r="ED25" i="11"/>
  <c r="ED42" i="11" s="1"/>
  <c r="ED29" i="11"/>
  <c r="ED46" i="11" s="1"/>
  <c r="ED32" i="11"/>
  <c r="ED49" i="11" s="1"/>
  <c r="ED36" i="11"/>
  <c r="ED53" i="11" s="1"/>
  <c r="ED11" i="17" s="1"/>
  <c r="ED26" i="11"/>
  <c r="ED43" i="11" s="1"/>
  <c r="ED33" i="11"/>
  <c r="ED50" i="11" s="1"/>
  <c r="ED8" i="17" s="1"/>
  <c r="ED37" i="11"/>
  <c r="ED54" i="11" s="1"/>
  <c r="ED12" i="17" s="1"/>
  <c r="ED27" i="11"/>
  <c r="ED44" i="11" s="1"/>
  <c r="ED30" i="11"/>
  <c r="ED47" i="11" s="1"/>
  <c r="ED34" i="11"/>
  <c r="ED51" i="11" s="1"/>
  <c r="ED9" i="17" s="1"/>
  <c r="EE20" i="11"/>
  <c r="EC55" i="11"/>
  <c r="EC14" i="10" s="1"/>
  <c r="EC15" i="10" s="1"/>
  <c r="EC16" i="10" s="1"/>
  <c r="EC15" i="17" s="1"/>
  <c r="EC19" i="19" s="1"/>
  <c r="EC40" i="11"/>
  <c r="EC7" i="17" s="1"/>
  <c r="EC13" i="17" s="1"/>
  <c r="EB15" i="10"/>
  <c r="ED23" i="17"/>
  <c r="O24" i="32"/>
  <c r="ED24" i="17"/>
  <c r="O25" i="32"/>
  <c r="ED22" i="17"/>
  <c r="O23" i="32"/>
  <c r="ED26" i="17"/>
  <c r="O27" i="32"/>
  <c r="ED32" i="17"/>
  <c r="O33" i="32"/>
  <c r="ED35" i="17"/>
  <c r="O36" i="32"/>
  <c r="EF9" i="10"/>
  <c r="EE20" i="10"/>
  <c r="EE21" i="10"/>
  <c r="EE24" i="10"/>
  <c r="EE25" i="10"/>
  <c r="EE31" i="10"/>
  <c r="EE35" i="10"/>
  <c r="EE28" i="10"/>
  <c r="EE22" i="10"/>
  <c r="EE29" i="10"/>
  <c r="EE33" i="10"/>
  <c r="EE30" i="10"/>
  <c r="EE36" i="10"/>
  <c r="EE34" i="10"/>
  <c r="EE27" i="10"/>
  <c r="EE32" i="10"/>
  <c r="EE23" i="10"/>
  <c r="DT18" i="23" l="1"/>
  <c r="DT32" i="19" s="1"/>
  <c r="O38" i="32"/>
  <c r="M24" i="30"/>
  <c r="L19" i="43"/>
  <c r="M25" i="30"/>
  <c r="L20" i="43"/>
  <c r="M29" i="30"/>
  <c r="L24" i="43"/>
  <c r="M17" i="30"/>
  <c r="L12" i="43"/>
  <c r="M16" i="30"/>
  <c r="L11" i="43"/>
  <c r="M22" i="30"/>
  <c r="L17" i="43"/>
  <c r="M18" i="30"/>
  <c r="L13" i="43"/>
  <c r="M13" i="30"/>
  <c r="L8" i="43"/>
  <c r="M21" i="30"/>
  <c r="L16" i="43"/>
  <c r="M26" i="30"/>
  <c r="L21" i="43"/>
  <c r="M15" i="30"/>
  <c r="L10" i="43"/>
  <c r="M23" i="30"/>
  <c r="L18" i="43"/>
  <c r="M20" i="30"/>
  <c r="L15" i="43"/>
  <c r="M28" i="30"/>
  <c r="L23" i="43"/>
  <c r="M27" i="30"/>
  <c r="L22" i="43"/>
  <c r="DU17" i="23"/>
  <c r="DU22" i="23" s="1"/>
  <c r="DU12" i="19"/>
  <c r="DV14" i="23"/>
  <c r="ED37" i="17"/>
  <c r="ED21" i="19" s="1"/>
  <c r="EE35" i="17"/>
  <c r="EE21" i="17"/>
  <c r="EF20" i="10"/>
  <c r="EG9" i="10"/>
  <c r="EF29" i="10"/>
  <c r="EF28" i="17" s="1"/>
  <c r="EF31" i="10"/>
  <c r="EF30" i="17" s="1"/>
  <c r="EF27" i="10"/>
  <c r="EF26" i="17" s="1"/>
  <c r="EF30" i="10"/>
  <c r="EF29" i="17" s="1"/>
  <c r="EF35" i="10"/>
  <c r="EF34" i="17" s="1"/>
  <c r="EF25" i="10"/>
  <c r="EF24" i="17" s="1"/>
  <c r="EF21" i="10"/>
  <c r="EF20" i="17" s="1"/>
  <c r="EF22" i="10"/>
  <c r="EF21" i="17" s="1"/>
  <c r="EF36" i="10"/>
  <c r="EF35" i="17" s="1"/>
  <c r="EF34" i="10"/>
  <c r="EF33" i="17" s="1"/>
  <c r="EF24" i="10"/>
  <c r="EF23" i="17" s="1"/>
  <c r="EF33" i="10"/>
  <c r="EF32" i="17" s="1"/>
  <c r="EF28" i="10"/>
  <c r="EF27" i="17" s="1"/>
  <c r="EF32" i="10"/>
  <c r="EF31" i="17" s="1"/>
  <c r="EF23" i="10"/>
  <c r="EF22" i="17" s="1"/>
  <c r="EE31" i="17"/>
  <c r="EE23" i="17"/>
  <c r="EE25" i="11"/>
  <c r="EE27" i="11"/>
  <c r="EE31" i="11"/>
  <c r="EE35" i="11"/>
  <c r="EE36" i="11"/>
  <c r="EE24" i="11"/>
  <c r="EE29" i="11"/>
  <c r="EE32" i="11"/>
  <c r="EE30" i="11"/>
  <c r="EE37" i="11"/>
  <c r="EE26" i="11"/>
  <c r="EE28" i="11"/>
  <c r="N19" i="38"/>
  <c r="EE33" i="11"/>
  <c r="EE34" i="11"/>
  <c r="EF20" i="11"/>
  <c r="A142" i="37"/>
  <c r="B143" i="37"/>
  <c r="M7" i="30"/>
  <c r="EE22" i="17"/>
  <c r="EE24" i="17"/>
  <c r="EE13" i="10"/>
  <c r="EF7" i="10"/>
  <c r="EE29" i="17"/>
  <c r="EE27" i="17"/>
  <c r="EE26" i="17"/>
  <c r="EE32" i="17"/>
  <c r="EE34" i="17"/>
  <c r="EE20" i="17"/>
  <c r="EB16" i="10"/>
  <c r="EB15" i="17" s="1"/>
  <c r="M14" i="30"/>
  <c r="DY39" i="17"/>
  <c r="DY17" i="17"/>
  <c r="EE33" i="17"/>
  <c r="EE28" i="17"/>
  <c r="EE30" i="17"/>
  <c r="EE18" i="10"/>
  <c r="EC9" i="19"/>
  <c r="EC9" i="20" s="1"/>
  <c r="EC16" i="17"/>
  <c r="EC39" i="17" s="1"/>
  <c r="ED40" i="11"/>
  <c r="ED7" i="17" s="1"/>
  <c r="ED13" i="17" s="1"/>
  <c r="ED55" i="11"/>
  <c r="L26" i="43" l="1"/>
  <c r="M31" i="30"/>
  <c r="M67" i="30" s="1"/>
  <c r="L9" i="34" s="1"/>
  <c r="DU18" i="23"/>
  <c r="DU32" i="19" s="1"/>
  <c r="DV17" i="23"/>
  <c r="DV22" i="23" s="1"/>
  <c r="DW14" i="23"/>
  <c r="DV12" i="19"/>
  <c r="EF37" i="17"/>
  <c r="EF21" i="19" s="1"/>
  <c r="ED9" i="19"/>
  <c r="ED9" i="20" s="1"/>
  <c r="N25" i="38"/>
  <c r="N43" i="38" s="1"/>
  <c r="EE43" i="11"/>
  <c r="N28" i="38"/>
  <c r="N46" i="38" s="1"/>
  <c r="EE46" i="11"/>
  <c r="N30" i="38"/>
  <c r="N48" i="38" s="1"/>
  <c r="EE48" i="11"/>
  <c r="EF13" i="10"/>
  <c r="EG7" i="10"/>
  <c r="EE37" i="17"/>
  <c r="EE21" i="19" s="1"/>
  <c r="B144" i="37"/>
  <c r="A143" i="37"/>
  <c r="N32" i="38"/>
  <c r="N50" i="38" s="1"/>
  <c r="EE50" i="11"/>
  <c r="EE8" i="17" s="1"/>
  <c r="N36" i="38"/>
  <c r="N54" i="38" s="1"/>
  <c r="EE54" i="11"/>
  <c r="EE12" i="17" s="1"/>
  <c r="N23" i="38"/>
  <c r="N41" i="38" s="1"/>
  <c r="EE41" i="11"/>
  <c r="N26" i="38"/>
  <c r="N44" i="38" s="1"/>
  <c r="EE44" i="11"/>
  <c r="N33" i="38"/>
  <c r="N51" i="38" s="1"/>
  <c r="EE51" i="11"/>
  <c r="EE9" i="17" s="1"/>
  <c r="EF18" i="10"/>
  <c r="EC17" i="17"/>
  <c r="N29" i="38"/>
  <c r="N47" i="38" s="1"/>
  <c r="EE47" i="11"/>
  <c r="N35" i="38"/>
  <c r="N53" i="38" s="1"/>
  <c r="EE53" i="11"/>
  <c r="EE11" i="17" s="1"/>
  <c r="N24" i="38"/>
  <c r="N42" i="38" s="1"/>
  <c r="EE42" i="11"/>
  <c r="ED14" i="10"/>
  <c r="DS56" i="11"/>
  <c r="O6" i="32" s="1"/>
  <c r="O7" i="32" s="1"/>
  <c r="EB19" i="19"/>
  <c r="EB16" i="17"/>
  <c r="EF24" i="11"/>
  <c r="EF41" i="11" s="1"/>
  <c r="EF28" i="11"/>
  <c r="EF45" i="11" s="1"/>
  <c r="EF32" i="11"/>
  <c r="EF49" i="11" s="1"/>
  <c r="EF36" i="11"/>
  <c r="EF53" i="11" s="1"/>
  <c r="EF11" i="17" s="1"/>
  <c r="EF25" i="11"/>
  <c r="EF42" i="11" s="1"/>
  <c r="EF29" i="11"/>
  <c r="EF46" i="11" s="1"/>
  <c r="EF33" i="11"/>
  <c r="EF50" i="11" s="1"/>
  <c r="EF8" i="17" s="1"/>
  <c r="EF37" i="11"/>
  <c r="EF54" i="11" s="1"/>
  <c r="EF12" i="17" s="1"/>
  <c r="EF26" i="11"/>
  <c r="EF43" i="11" s="1"/>
  <c r="EF30" i="11"/>
  <c r="EF47" i="11" s="1"/>
  <c r="EF34" i="11"/>
  <c r="EF51" i="11" s="1"/>
  <c r="EF9" i="17" s="1"/>
  <c r="EF27" i="11"/>
  <c r="EF44" i="11" s="1"/>
  <c r="EF31" i="11"/>
  <c r="EF48" i="11" s="1"/>
  <c r="EF35" i="11"/>
  <c r="EF52" i="11" s="1"/>
  <c r="EF10" i="17" s="1"/>
  <c r="EG20" i="11"/>
  <c r="N27" i="38"/>
  <c r="N45" i="38" s="1"/>
  <c r="EE45" i="11"/>
  <c r="N31" i="38"/>
  <c r="N49" i="38" s="1"/>
  <c r="EE49" i="11"/>
  <c r="N34" i="38"/>
  <c r="N52" i="38" s="1"/>
  <c r="EE52" i="11"/>
  <c r="EE10" i="17" s="1"/>
  <c r="EH9" i="10"/>
  <c r="EG20" i="10"/>
  <c r="EG21" i="10"/>
  <c r="EG20" i="17" s="1"/>
  <c r="EG24" i="10"/>
  <c r="EG23" i="17" s="1"/>
  <c r="EG22" i="10"/>
  <c r="EG21" i="17" s="1"/>
  <c r="EG25" i="10"/>
  <c r="EG30" i="10"/>
  <c r="EG35" i="10"/>
  <c r="EG31" i="10"/>
  <c r="EG36" i="10"/>
  <c r="EG27" i="10"/>
  <c r="EG33" i="10"/>
  <c r="EG28" i="10"/>
  <c r="EG29" i="10"/>
  <c r="EG34" i="10"/>
  <c r="EG32" i="10"/>
  <c r="EG31" i="17" s="1"/>
  <c r="EG23" i="10"/>
  <c r="EG22" i="17" s="1"/>
  <c r="DV18" i="23" l="1"/>
  <c r="DV32" i="19" s="1"/>
  <c r="DX14" i="23"/>
  <c r="DW17" i="23"/>
  <c r="DW22" i="23" s="1"/>
  <c r="DW12" i="19"/>
  <c r="A144" i="37"/>
  <c r="B145" i="37"/>
  <c r="EF40" i="11"/>
  <c r="EF7" i="17" s="1"/>
  <c r="EF13" i="17" s="1"/>
  <c r="EF55" i="11"/>
  <c r="EF14" i="10" s="1"/>
  <c r="EF15" i="10" s="1"/>
  <c r="EF16" i="10" s="1"/>
  <c r="EF15" i="17" s="1"/>
  <c r="EB39" i="17"/>
  <c r="EB17" i="17"/>
  <c r="EE40" i="11"/>
  <c r="EE7" i="17" s="1"/>
  <c r="EE13" i="17" s="1"/>
  <c r="EE55" i="11"/>
  <c r="EG27" i="17"/>
  <c r="EH20" i="10"/>
  <c r="EI9" i="10"/>
  <c r="EH28" i="10"/>
  <c r="EH27" i="17" s="1"/>
  <c r="EH27" i="10"/>
  <c r="EH26" i="17" s="1"/>
  <c r="EH30" i="10"/>
  <c r="EH29" i="17" s="1"/>
  <c r="EH33" i="10"/>
  <c r="EH32" i="17" s="1"/>
  <c r="EH35" i="10"/>
  <c r="EH34" i="17" s="1"/>
  <c r="EH29" i="10"/>
  <c r="EH28" i="17" s="1"/>
  <c r="EH31" i="10"/>
  <c r="EH30" i="17" s="1"/>
  <c r="EH34" i="10"/>
  <c r="EH33" i="17" s="1"/>
  <c r="EH36" i="10"/>
  <c r="EH35" i="17" s="1"/>
  <c r="EH25" i="10"/>
  <c r="EH24" i="17" s="1"/>
  <c r="EH21" i="10"/>
  <c r="EH22" i="10"/>
  <c r="EH21" i="17" s="1"/>
  <c r="EH24" i="10"/>
  <c r="EH23" i="17" s="1"/>
  <c r="EH32" i="10"/>
  <c r="EH31" i="17" s="1"/>
  <c r="EH23" i="10"/>
  <c r="EH22" i="17" s="1"/>
  <c r="ED15" i="10"/>
  <c r="O14" i="32"/>
  <c r="L3" i="43" s="1"/>
  <c r="EG32" i="17"/>
  <c r="EG34" i="17"/>
  <c r="EG33" i="17"/>
  <c r="EG26" i="17"/>
  <c r="EG29" i="17"/>
  <c r="N55" i="38"/>
  <c r="EG13" i="10"/>
  <c r="EH7" i="10"/>
  <c r="EG30" i="17"/>
  <c r="EG28" i="17"/>
  <c r="EG35" i="17"/>
  <c r="EG24" i="17"/>
  <c r="EG18" i="10"/>
  <c r="EG26" i="11"/>
  <c r="EG43" i="11" s="1"/>
  <c r="EG30" i="11"/>
  <c r="EG47" i="11" s="1"/>
  <c r="EG34" i="11"/>
  <c r="EG51" i="11" s="1"/>
  <c r="EG9" i="17" s="1"/>
  <c r="EG27" i="11"/>
  <c r="EG44" i="11" s="1"/>
  <c r="EG31" i="11"/>
  <c r="EG48" i="11" s="1"/>
  <c r="EG35" i="11"/>
  <c r="EG52" i="11" s="1"/>
  <c r="EG10" i="17" s="1"/>
  <c r="EG24" i="11"/>
  <c r="EG41" i="11" s="1"/>
  <c r="EG28" i="11"/>
  <c r="EG45" i="11" s="1"/>
  <c r="EG32" i="11"/>
  <c r="EG49" i="11" s="1"/>
  <c r="EG36" i="11"/>
  <c r="EG53" i="11" s="1"/>
  <c r="EG11" i="17" s="1"/>
  <c r="EG25" i="11"/>
  <c r="EG42" i="11" s="1"/>
  <c r="EG29" i="11"/>
  <c r="EG46" i="11" s="1"/>
  <c r="EG33" i="11"/>
  <c r="EG50" i="11" s="1"/>
  <c r="EG8" i="17" s="1"/>
  <c r="EG37" i="11"/>
  <c r="EG54" i="11" s="1"/>
  <c r="EG12" i="17" s="1"/>
  <c r="EH20" i="11"/>
  <c r="O9" i="32"/>
  <c r="M6" i="30" s="1"/>
  <c r="M5" i="30"/>
  <c r="DW18" i="23" l="1"/>
  <c r="DW32" i="19" s="1"/>
  <c r="EG37" i="17"/>
  <c r="EG21" i="19" s="1"/>
  <c r="DX12" i="19"/>
  <c r="DY14" i="23"/>
  <c r="DX17" i="23"/>
  <c r="DX22" i="23" s="1"/>
  <c r="M8" i="30"/>
  <c r="EG40" i="11"/>
  <c r="EG7" i="17" s="1"/>
  <c r="EG13" i="17" s="1"/>
  <c r="EG55" i="11"/>
  <c r="EG14" i="10" s="1"/>
  <c r="EG15" i="10" s="1"/>
  <c r="EH13" i="10"/>
  <c r="EI7" i="10"/>
  <c r="ED16" i="10"/>
  <c r="ED15" i="17" s="1"/>
  <c r="O15" i="32"/>
  <c r="EJ9" i="10"/>
  <c r="EI22" i="10"/>
  <c r="EI25" i="10"/>
  <c r="EI20" i="10"/>
  <c r="EI21" i="10"/>
  <c r="EI20" i="17" s="1"/>
  <c r="EI24" i="10"/>
  <c r="EI30" i="10"/>
  <c r="EI35" i="10"/>
  <c r="EI31" i="10"/>
  <c r="EI36" i="10"/>
  <c r="EI35" i="17" s="1"/>
  <c r="EI27" i="10"/>
  <c r="EI33" i="10"/>
  <c r="EI34" i="10"/>
  <c r="EI28" i="10"/>
  <c r="EI27" i="17" s="1"/>
  <c r="EI29" i="10"/>
  <c r="EI32" i="10"/>
  <c r="EI23" i="10"/>
  <c r="EI22" i="17" s="1"/>
  <c r="EE14" i="10"/>
  <c r="B146" i="37"/>
  <c r="A145" i="37"/>
  <c r="EH24" i="11"/>
  <c r="EH41" i="11" s="1"/>
  <c r="EH28" i="11"/>
  <c r="EH45" i="11" s="1"/>
  <c r="EH31" i="11"/>
  <c r="EH48" i="11" s="1"/>
  <c r="EH35" i="11"/>
  <c r="EH52" i="11" s="1"/>
  <c r="EH10" i="17" s="1"/>
  <c r="EH25" i="11"/>
  <c r="EH42" i="11" s="1"/>
  <c r="EH29" i="11"/>
  <c r="EH46" i="11" s="1"/>
  <c r="EH32" i="11"/>
  <c r="EH49" i="11" s="1"/>
  <c r="EH36" i="11"/>
  <c r="EH53" i="11" s="1"/>
  <c r="EH11" i="17" s="1"/>
  <c r="EH26" i="11"/>
  <c r="EH43" i="11" s="1"/>
  <c r="EH33" i="11"/>
  <c r="EH50" i="11" s="1"/>
  <c r="EH8" i="17" s="1"/>
  <c r="EH37" i="11"/>
  <c r="EH54" i="11" s="1"/>
  <c r="EH12" i="17" s="1"/>
  <c r="EH27" i="11"/>
  <c r="EH44" i="11" s="1"/>
  <c r="EH30" i="11"/>
  <c r="EH47" i="11" s="1"/>
  <c r="EH34" i="11"/>
  <c r="EH51" i="11" s="1"/>
  <c r="EH9" i="17" s="1"/>
  <c r="EI20" i="11"/>
  <c r="M3" i="30"/>
  <c r="M66" i="30"/>
  <c r="L8" i="34" s="1"/>
  <c r="M50" i="30"/>
  <c r="M42" i="30"/>
  <c r="M55" i="30"/>
  <c r="M41" i="30"/>
  <c r="M64" i="30"/>
  <c r="M40" i="30"/>
  <c r="M58" i="30"/>
  <c r="M54" i="30"/>
  <c r="M47" i="30"/>
  <c r="M59" i="30"/>
  <c r="M53" i="30"/>
  <c r="M44" i="30"/>
  <c r="M52" i="30"/>
  <c r="M51" i="30"/>
  <c r="M45" i="30"/>
  <c r="M48" i="30"/>
  <c r="M57" i="30"/>
  <c r="M46" i="30"/>
  <c r="M56" i="30"/>
  <c r="M60" i="30"/>
  <c r="M49" i="30"/>
  <c r="M43" i="30"/>
  <c r="EH20" i="17"/>
  <c r="EH37" i="17" s="1"/>
  <c r="EH21" i="19" s="1"/>
  <c r="EH18" i="10"/>
  <c r="EE9" i="19"/>
  <c r="EE9" i="20" s="1"/>
  <c r="EF9" i="19"/>
  <c r="EF16" i="17"/>
  <c r="EF39" i="17" s="1"/>
  <c r="EF19" i="19"/>
  <c r="DX18" i="23" l="1"/>
  <c r="DX32" i="19" s="1"/>
  <c r="EG16" i="10"/>
  <c r="EG15" i="17" s="1"/>
  <c r="EG19" i="19" s="1"/>
  <c r="M9" i="30"/>
  <c r="M10" i="30" s="1"/>
  <c r="M32" i="30" s="1"/>
  <c r="L4" i="43"/>
  <c r="DY17" i="23"/>
  <c r="DY22" i="23" s="1"/>
  <c r="DZ14" i="23"/>
  <c r="DY12" i="19"/>
  <c r="EI32" i="17"/>
  <c r="EI18" i="10"/>
  <c r="EG9" i="19"/>
  <c r="EG9" i="20" s="1"/>
  <c r="EH40" i="11"/>
  <c r="EH7" i="17" s="1"/>
  <c r="EH13" i="17" s="1"/>
  <c r="EH55" i="11"/>
  <c r="EE15" i="10"/>
  <c r="EE16" i="10" s="1"/>
  <c r="EE15" i="17" s="1"/>
  <c r="EI28" i="17"/>
  <c r="EI26" i="17"/>
  <c r="EI29" i="17"/>
  <c r="EI24" i="17"/>
  <c r="ED19" i="19"/>
  <c r="ED16" i="17"/>
  <c r="M68" i="30"/>
  <c r="L6" i="34"/>
  <c r="EI31" i="17"/>
  <c r="EI34" i="17"/>
  <c r="EF17" i="17"/>
  <c r="EF9" i="20"/>
  <c r="EI23" i="17"/>
  <c r="EI21" i="17"/>
  <c r="EI13" i="10"/>
  <c r="EJ7" i="10"/>
  <c r="A146" i="37"/>
  <c r="B147" i="37"/>
  <c r="EI25" i="11"/>
  <c r="EI42" i="11" s="1"/>
  <c r="EI29" i="11"/>
  <c r="EI46" i="11" s="1"/>
  <c r="EI33" i="11"/>
  <c r="EI50" i="11" s="1"/>
  <c r="EI8" i="17" s="1"/>
  <c r="EI37" i="11"/>
  <c r="EI54" i="11" s="1"/>
  <c r="EI12" i="17" s="1"/>
  <c r="EI26" i="11"/>
  <c r="EI43" i="11" s="1"/>
  <c r="EI30" i="11"/>
  <c r="EI47" i="11" s="1"/>
  <c r="EI34" i="11"/>
  <c r="EI51" i="11" s="1"/>
  <c r="EI9" i="17" s="1"/>
  <c r="EI27" i="11"/>
  <c r="EI44" i="11" s="1"/>
  <c r="EI31" i="11"/>
  <c r="EI48" i="11" s="1"/>
  <c r="EI35" i="11"/>
  <c r="EI52" i="11" s="1"/>
  <c r="EI10" i="17" s="1"/>
  <c r="EI28" i="11"/>
  <c r="EI45" i="11" s="1"/>
  <c r="EI32" i="11"/>
  <c r="EI49" i="11" s="1"/>
  <c r="EI36" i="11"/>
  <c r="EI53" i="11" s="1"/>
  <c r="EI11" i="17" s="1"/>
  <c r="EI24" i="11"/>
  <c r="EI41" i="11" s="1"/>
  <c r="EJ20" i="11"/>
  <c r="EI33" i="17"/>
  <c r="EI30" i="17"/>
  <c r="EJ20" i="10"/>
  <c r="EK9" i="10"/>
  <c r="EJ29" i="10"/>
  <c r="EJ28" i="17" s="1"/>
  <c r="EJ31" i="10"/>
  <c r="EJ30" i="17" s="1"/>
  <c r="EJ34" i="10"/>
  <c r="EJ33" i="17" s="1"/>
  <c r="EJ36" i="10"/>
  <c r="EJ27" i="10"/>
  <c r="EJ26" i="17" s="1"/>
  <c r="EJ30" i="10"/>
  <c r="EJ29" i="17" s="1"/>
  <c r="EJ35" i="10"/>
  <c r="EJ34" i="17" s="1"/>
  <c r="EJ25" i="10"/>
  <c r="EJ24" i="17" s="1"/>
  <c r="EJ21" i="10"/>
  <c r="EJ22" i="10"/>
  <c r="EJ21" i="17" s="1"/>
  <c r="EJ24" i="10"/>
  <c r="EJ23" i="17" s="1"/>
  <c r="EJ33" i="10"/>
  <c r="EJ32" i="17" s="1"/>
  <c r="EJ28" i="10"/>
  <c r="EJ32" i="10"/>
  <c r="EJ31" i="17" s="1"/>
  <c r="EJ23" i="10"/>
  <c r="O16" i="32"/>
  <c r="EG16" i="17" l="1"/>
  <c r="EG39" i="17" s="1"/>
  <c r="O17" i="32"/>
  <c r="L5" i="43"/>
  <c r="EA14" i="23"/>
  <c r="DZ17" i="23"/>
  <c r="DZ22" i="23" s="1"/>
  <c r="DZ12" i="19"/>
  <c r="DY18" i="23"/>
  <c r="DY32" i="19" s="1"/>
  <c r="EI37" i="17"/>
  <c r="EI21" i="19" s="1"/>
  <c r="M39" i="30"/>
  <c r="EG17" i="17"/>
  <c r="EJ18" i="10"/>
  <c r="EL9" i="10"/>
  <c r="EK20" i="10"/>
  <c r="EK21" i="10"/>
  <c r="EK20" i="17" s="1"/>
  <c r="EK24" i="10"/>
  <c r="EK22" i="10"/>
  <c r="EK21" i="17" s="1"/>
  <c r="EK25" i="10"/>
  <c r="EK24" i="17" s="1"/>
  <c r="EK30" i="10"/>
  <c r="EK29" i="17" s="1"/>
  <c r="EK35" i="10"/>
  <c r="EK34" i="17" s="1"/>
  <c r="EK31" i="10"/>
  <c r="EK30" i="17" s="1"/>
  <c r="EK36" i="10"/>
  <c r="EK35" i="17" s="1"/>
  <c r="EK27" i="10"/>
  <c r="EK33" i="10"/>
  <c r="EK32" i="17" s="1"/>
  <c r="EK28" i="10"/>
  <c r="EK27" i="17" s="1"/>
  <c r="EK29" i="10"/>
  <c r="EK28" i="17" s="1"/>
  <c r="EK34" i="10"/>
  <c r="EK32" i="10"/>
  <c r="EK31" i="17" s="1"/>
  <c r="EK23" i="10"/>
  <c r="EK22" i="17" s="1"/>
  <c r="EI40" i="11"/>
  <c r="EI7" i="17" s="1"/>
  <c r="EI13" i="17" s="1"/>
  <c r="EI55" i="11"/>
  <c r="EI14" i="10" s="1"/>
  <c r="EE19" i="19"/>
  <c r="EE16" i="17"/>
  <c r="EJ22" i="17"/>
  <c r="B148" i="37"/>
  <c r="A147" i="37"/>
  <c r="M81" i="30"/>
  <c r="F15" i="35" s="1"/>
  <c r="M75" i="30"/>
  <c r="ED39" i="17"/>
  <c r="ED17" i="17"/>
  <c r="EJ35" i="17"/>
  <c r="EJ13" i="10"/>
  <c r="EK7" i="10"/>
  <c r="EH9" i="19"/>
  <c r="EH9" i="20" s="1"/>
  <c r="EJ27" i="17"/>
  <c r="EJ20" i="17"/>
  <c r="EJ27" i="11"/>
  <c r="EJ44" i="11" s="1"/>
  <c r="EJ31" i="11"/>
  <c r="EJ48" i="11" s="1"/>
  <c r="EJ35" i="11"/>
  <c r="EJ52" i="11" s="1"/>
  <c r="EJ10" i="17" s="1"/>
  <c r="EJ24" i="11"/>
  <c r="EJ41" i="11" s="1"/>
  <c r="EJ28" i="11"/>
  <c r="EJ45" i="11" s="1"/>
  <c r="EJ32" i="11"/>
  <c r="EJ49" i="11" s="1"/>
  <c r="EJ36" i="11"/>
  <c r="EJ53" i="11" s="1"/>
  <c r="EJ11" i="17" s="1"/>
  <c r="EJ25" i="11"/>
  <c r="EJ42" i="11" s="1"/>
  <c r="EJ29" i="11"/>
  <c r="EJ46" i="11" s="1"/>
  <c r="EJ33" i="11"/>
  <c r="EJ50" i="11" s="1"/>
  <c r="EJ8" i="17" s="1"/>
  <c r="EJ37" i="11"/>
  <c r="EJ54" i="11" s="1"/>
  <c r="EJ12" i="17" s="1"/>
  <c r="EJ30" i="11"/>
  <c r="EJ47" i="11" s="1"/>
  <c r="EJ34" i="11"/>
  <c r="EJ51" i="11" s="1"/>
  <c r="EJ9" i="17" s="1"/>
  <c r="EJ26" i="11"/>
  <c r="EJ43" i="11" s="1"/>
  <c r="EK20" i="11"/>
  <c r="EH14" i="10"/>
  <c r="DZ18" i="23" l="1"/>
  <c r="DZ32" i="19" s="1"/>
  <c r="EB14" i="23"/>
  <c r="EA17" i="23"/>
  <c r="EA22" i="23" s="1"/>
  <c r="EA12" i="19"/>
  <c r="EM9" i="10"/>
  <c r="EL27" i="10"/>
  <c r="EL26" i="17" s="1"/>
  <c r="EL30" i="10"/>
  <c r="EL33" i="10"/>
  <c r="EL35" i="10"/>
  <c r="EL34" i="17" s="1"/>
  <c r="EL20" i="10"/>
  <c r="EL29" i="10"/>
  <c r="EL31" i="10"/>
  <c r="EL30" i="17" s="1"/>
  <c r="EL34" i="10"/>
  <c r="EL33" i="17" s="1"/>
  <c r="EL36" i="10"/>
  <c r="EL25" i="10"/>
  <c r="EL21" i="10"/>
  <c r="EL22" i="10"/>
  <c r="EL21" i="17" s="1"/>
  <c r="EL24" i="10"/>
  <c r="EL23" i="17" s="1"/>
  <c r="EL28" i="10"/>
  <c r="EL27" i="17" s="1"/>
  <c r="EL32" i="10"/>
  <c r="EL31" i="17" s="1"/>
  <c r="EL23" i="10"/>
  <c r="EL22" i="17" s="1"/>
  <c r="EK13" i="10"/>
  <c r="EL7" i="10"/>
  <c r="EK23" i="17"/>
  <c r="A148" i="37"/>
  <c r="B149" i="37"/>
  <c r="EE39" i="17"/>
  <c r="EE17" i="17"/>
  <c r="EH15" i="10"/>
  <c r="EH16" i="10" s="1"/>
  <c r="EH15" i="17" s="1"/>
  <c r="EI15" i="10"/>
  <c r="EI16" i="10" s="1"/>
  <c r="EI15" i="17" s="1"/>
  <c r="EK33" i="17"/>
  <c r="EK26" i="17"/>
  <c r="EK25" i="11"/>
  <c r="EK42" i="11" s="1"/>
  <c r="EK29" i="11"/>
  <c r="EK46" i="11" s="1"/>
  <c r="EK33" i="11"/>
  <c r="EK50" i="11" s="1"/>
  <c r="EK8" i="17" s="1"/>
  <c r="EK37" i="11"/>
  <c r="EK54" i="11" s="1"/>
  <c r="EK12" i="17" s="1"/>
  <c r="EK26" i="11"/>
  <c r="EK43" i="11" s="1"/>
  <c r="EK30" i="11"/>
  <c r="EK47" i="11" s="1"/>
  <c r="EK34" i="11"/>
  <c r="EK51" i="11" s="1"/>
  <c r="EK9" i="17" s="1"/>
  <c r="EK27" i="11"/>
  <c r="EK44" i="11" s="1"/>
  <c r="EK31" i="11"/>
  <c r="EK48" i="11" s="1"/>
  <c r="EK35" i="11"/>
  <c r="EK52" i="11" s="1"/>
  <c r="EK10" i="17" s="1"/>
  <c r="EK32" i="11"/>
  <c r="EK49" i="11" s="1"/>
  <c r="EK36" i="11"/>
  <c r="EK53" i="11" s="1"/>
  <c r="EK11" i="17" s="1"/>
  <c r="EK24" i="11"/>
  <c r="EK41" i="11" s="1"/>
  <c r="EK28" i="11"/>
  <c r="EK45" i="11" s="1"/>
  <c r="EL20" i="11"/>
  <c r="EI9" i="19"/>
  <c r="EI9" i="20" s="1"/>
  <c r="EJ40" i="11"/>
  <c r="EJ7" i="17" s="1"/>
  <c r="EJ13" i="17" s="1"/>
  <c r="EJ55" i="11"/>
  <c r="EJ37" i="17"/>
  <c r="EJ21" i="19" s="1"/>
  <c r="EK18" i="10"/>
  <c r="EA18" i="23" l="1"/>
  <c r="EA32" i="19" s="1"/>
  <c r="EB17" i="23"/>
  <c r="EB22" i="23" s="1"/>
  <c r="EB12" i="19"/>
  <c r="EC14" i="23"/>
  <c r="EK37" i="17"/>
  <c r="EK21" i="19" s="1"/>
  <c r="EL24" i="17"/>
  <c r="EL35" i="17"/>
  <c r="EL18" i="10"/>
  <c r="EL27" i="11"/>
  <c r="EL44" i="11" s="1"/>
  <c r="EL31" i="11"/>
  <c r="EL48" i="11" s="1"/>
  <c r="EL35" i="11"/>
  <c r="EL52" i="11" s="1"/>
  <c r="EL10" i="17" s="1"/>
  <c r="EL24" i="11"/>
  <c r="EL41" i="11" s="1"/>
  <c r="EL28" i="11"/>
  <c r="EL45" i="11" s="1"/>
  <c r="EL32" i="11"/>
  <c r="EL49" i="11" s="1"/>
  <c r="EL36" i="11"/>
  <c r="EL53" i="11" s="1"/>
  <c r="EL11" i="17" s="1"/>
  <c r="EL25" i="11"/>
  <c r="EL42" i="11" s="1"/>
  <c r="EL29" i="11"/>
  <c r="EL46" i="11" s="1"/>
  <c r="EL33" i="11"/>
  <c r="EL50" i="11" s="1"/>
  <c r="EL8" i="17" s="1"/>
  <c r="EL37" i="11"/>
  <c r="EL54" i="11" s="1"/>
  <c r="EL12" i="17" s="1"/>
  <c r="EL34" i="11"/>
  <c r="EL51" i="11" s="1"/>
  <c r="EL9" i="17" s="1"/>
  <c r="EL26" i="11"/>
  <c r="EL43" i="11" s="1"/>
  <c r="EL30" i="11"/>
  <c r="EL47" i="11" s="1"/>
  <c r="EM20" i="11"/>
  <c r="EI16" i="17"/>
  <c r="EI19" i="19"/>
  <c r="EL28" i="17"/>
  <c r="EL29" i="17"/>
  <c r="EJ9" i="19"/>
  <c r="EJ9" i="20" s="1"/>
  <c r="EK40" i="11"/>
  <c r="EK7" i="17" s="1"/>
  <c r="EK13" i="17" s="1"/>
  <c r="EK55" i="11"/>
  <c r="EK14" i="10" s="1"/>
  <c r="EK15" i="10" s="1"/>
  <c r="EK16" i="10" s="1"/>
  <c r="EK15" i="17" s="1"/>
  <c r="B150" i="37"/>
  <c r="A149" i="37"/>
  <c r="EN9" i="10"/>
  <c r="EM20" i="10"/>
  <c r="EM22" i="10"/>
  <c r="EM21" i="17" s="1"/>
  <c r="EM25" i="10"/>
  <c r="EM24" i="17" s="1"/>
  <c r="EM21" i="10"/>
  <c r="EM20" i="17" s="1"/>
  <c r="EM24" i="10"/>
  <c r="EM23" i="17" s="1"/>
  <c r="EM30" i="10"/>
  <c r="EM29" i="17" s="1"/>
  <c r="EM35" i="10"/>
  <c r="EM34" i="17" s="1"/>
  <c r="EM31" i="10"/>
  <c r="EM30" i="17" s="1"/>
  <c r="EM36" i="10"/>
  <c r="EM35" i="17" s="1"/>
  <c r="EM27" i="10"/>
  <c r="EM33" i="10"/>
  <c r="EM32" i="17" s="1"/>
  <c r="EM34" i="10"/>
  <c r="EM28" i="10"/>
  <c r="EM27" i="17" s="1"/>
  <c r="EM29" i="10"/>
  <c r="EM28" i="17" s="1"/>
  <c r="EM32" i="10"/>
  <c r="EM31" i="17" s="1"/>
  <c r="EM23" i="10"/>
  <c r="EM22" i="17" s="1"/>
  <c r="EJ14" i="10"/>
  <c r="EH16" i="17"/>
  <c r="EH19" i="19"/>
  <c r="EL13" i="10"/>
  <c r="EM7" i="10"/>
  <c r="EL20" i="17"/>
  <c r="EL32" i="17"/>
  <c r="EK19" i="19" l="1"/>
  <c r="EB18" i="23"/>
  <c r="EB32" i="19" s="1"/>
  <c r="EC12" i="19"/>
  <c r="EC17" i="23"/>
  <c r="EC22" i="23" s="1"/>
  <c r="ED14" i="23"/>
  <c r="EL37" i="17"/>
  <c r="EL21" i="19" s="1"/>
  <c r="EM18" i="10"/>
  <c r="A150" i="37"/>
  <c r="B151" i="37"/>
  <c r="EI39" i="17"/>
  <c r="EI17" i="17"/>
  <c r="EL55" i="11"/>
  <c r="EL40" i="11"/>
  <c r="EL7" i="17" s="1"/>
  <c r="EL13" i="17" s="1"/>
  <c r="EM13" i="10"/>
  <c r="EN7" i="10"/>
  <c r="EM26" i="17"/>
  <c r="EK9" i="19"/>
  <c r="EK9" i="20" s="1"/>
  <c r="EK16" i="17"/>
  <c r="EK39" i="17" s="1"/>
  <c r="EJ15" i="10"/>
  <c r="EM33" i="17"/>
  <c r="EN20" i="10"/>
  <c r="EN29" i="10"/>
  <c r="EN28" i="17" s="1"/>
  <c r="EN31" i="10"/>
  <c r="EN30" i="17" s="1"/>
  <c r="EN34" i="10"/>
  <c r="EN33" i="17" s="1"/>
  <c r="EN36" i="10"/>
  <c r="EN35" i="17" s="1"/>
  <c r="EN27" i="10"/>
  <c r="EN26" i="17" s="1"/>
  <c r="EN30" i="10"/>
  <c r="EN29" i="17" s="1"/>
  <c r="EN35" i="10"/>
  <c r="EN34" i="17" s="1"/>
  <c r="EN25" i="10"/>
  <c r="EN24" i="17" s="1"/>
  <c r="EO9" i="10"/>
  <c r="EN21" i="10"/>
  <c r="EN20" i="17" s="1"/>
  <c r="EN22" i="10"/>
  <c r="EN21" i="17" s="1"/>
  <c r="EN24" i="10"/>
  <c r="EN23" i="17" s="1"/>
  <c r="EN33" i="10"/>
  <c r="EN32" i="17" s="1"/>
  <c r="EN28" i="10"/>
  <c r="EN27" i="17" s="1"/>
  <c r="EN32" i="10"/>
  <c r="EN31" i="17" s="1"/>
  <c r="EN23" i="10"/>
  <c r="EN22" i="17" s="1"/>
  <c r="EM25" i="11"/>
  <c r="EM42" i="11" s="1"/>
  <c r="EM29" i="11"/>
  <c r="EM46" i="11" s="1"/>
  <c r="EM33" i="11"/>
  <c r="EM50" i="11" s="1"/>
  <c r="EM8" i="17" s="1"/>
  <c r="EM37" i="11"/>
  <c r="EM54" i="11" s="1"/>
  <c r="EM12" i="17" s="1"/>
  <c r="EM26" i="11"/>
  <c r="EM43" i="11" s="1"/>
  <c r="EM30" i="11"/>
  <c r="EM47" i="11" s="1"/>
  <c r="EM34" i="11"/>
  <c r="EM51" i="11" s="1"/>
  <c r="EM9" i="17" s="1"/>
  <c r="EM27" i="11"/>
  <c r="EM44" i="11" s="1"/>
  <c r="EM31" i="11"/>
  <c r="EM48" i="11" s="1"/>
  <c r="EM35" i="11"/>
  <c r="EM52" i="11" s="1"/>
  <c r="EM10" i="17" s="1"/>
  <c r="EM36" i="11"/>
  <c r="EM53" i="11" s="1"/>
  <c r="EM11" i="17" s="1"/>
  <c r="EM24" i="11"/>
  <c r="EM41" i="11" s="1"/>
  <c r="EM28" i="11"/>
  <c r="EM45" i="11" s="1"/>
  <c r="EM32" i="11"/>
  <c r="EM49" i="11" s="1"/>
  <c r="EN20" i="11"/>
  <c r="EH39" i="17"/>
  <c r="EH17" i="17"/>
  <c r="EM37" i="17" l="1"/>
  <c r="EM21" i="19" s="1"/>
  <c r="EC18" i="23"/>
  <c r="EC32" i="19" s="1"/>
  <c r="EE14" i="23"/>
  <c r="ED12" i="19"/>
  <c r="ED17" i="23"/>
  <c r="ED22" i="23" s="1"/>
  <c r="EL9" i="19"/>
  <c r="EL9" i="20" s="1"/>
  <c r="EJ16" i="10"/>
  <c r="EJ15" i="17" s="1"/>
  <c r="EP9" i="10"/>
  <c r="EO20" i="10"/>
  <c r="EO21" i="10"/>
  <c r="EO20" i="17" s="1"/>
  <c r="EO24" i="10"/>
  <c r="EO23" i="17" s="1"/>
  <c r="EO22" i="10"/>
  <c r="EO21" i="17" s="1"/>
  <c r="EO25" i="10"/>
  <c r="EO24" i="17" s="1"/>
  <c r="EO30" i="10"/>
  <c r="EO29" i="17" s="1"/>
  <c r="EO35" i="10"/>
  <c r="EO34" i="17" s="1"/>
  <c r="EO31" i="10"/>
  <c r="EO30" i="17" s="1"/>
  <c r="EO36" i="10"/>
  <c r="EO35" i="17" s="1"/>
  <c r="EO27" i="10"/>
  <c r="EO26" i="17" s="1"/>
  <c r="EO33" i="10"/>
  <c r="EO32" i="17" s="1"/>
  <c r="EO28" i="10"/>
  <c r="EO27" i="17" s="1"/>
  <c r="EO29" i="10"/>
  <c r="EO28" i="17" s="1"/>
  <c r="EO34" i="10"/>
  <c r="EO33" i="17" s="1"/>
  <c r="EO32" i="10"/>
  <c r="EO31" i="17" s="1"/>
  <c r="EO23" i="10"/>
  <c r="EO22" i="17" s="1"/>
  <c r="EK17" i="17"/>
  <c r="EL14" i="10"/>
  <c r="B152" i="37"/>
  <c r="A151" i="37"/>
  <c r="EN27" i="11"/>
  <c r="EN44" i="11" s="1"/>
  <c r="EN31" i="11"/>
  <c r="EN48" i="11" s="1"/>
  <c r="EN35" i="11"/>
  <c r="EN52" i="11" s="1"/>
  <c r="EN10" i="17" s="1"/>
  <c r="EN24" i="11"/>
  <c r="EN41" i="11" s="1"/>
  <c r="EN28" i="11"/>
  <c r="EN45" i="11" s="1"/>
  <c r="EN32" i="11"/>
  <c r="EN49" i="11" s="1"/>
  <c r="EN36" i="11"/>
  <c r="EN53" i="11" s="1"/>
  <c r="EN11" i="17" s="1"/>
  <c r="EN25" i="11"/>
  <c r="EN42" i="11" s="1"/>
  <c r="EN29" i="11"/>
  <c r="EN46" i="11" s="1"/>
  <c r="EN33" i="11"/>
  <c r="EN50" i="11" s="1"/>
  <c r="EN8" i="17" s="1"/>
  <c r="EN37" i="11"/>
  <c r="EN54" i="11" s="1"/>
  <c r="EN12" i="17" s="1"/>
  <c r="EN26" i="11"/>
  <c r="EN43" i="11" s="1"/>
  <c r="EN30" i="11"/>
  <c r="EN47" i="11" s="1"/>
  <c r="EN34" i="11"/>
  <c r="EN51" i="11" s="1"/>
  <c r="EN9" i="17" s="1"/>
  <c r="EO20" i="11"/>
  <c r="EM40" i="11"/>
  <c r="EM7" i="17" s="1"/>
  <c r="EM13" i="17" s="1"/>
  <c r="EM55" i="11"/>
  <c r="EM14" i="10" s="1"/>
  <c r="EM15" i="10" s="1"/>
  <c r="EM16" i="10" s="1"/>
  <c r="EM15" i="17" s="1"/>
  <c r="EN37" i="17"/>
  <c r="EN21" i="19" s="1"/>
  <c r="EN18" i="10"/>
  <c r="EN13" i="10"/>
  <c r="EO7" i="10"/>
  <c r="EM19" i="19" l="1"/>
  <c r="EE12" i="19"/>
  <c r="EF14" i="23"/>
  <c r="EE17" i="23"/>
  <c r="EE22" i="23" s="1"/>
  <c r="ED18" i="23"/>
  <c r="ED32" i="19" s="1"/>
  <c r="EN55" i="11"/>
  <c r="EN14" i="10" s="1"/>
  <c r="EN15" i="10" s="1"/>
  <c r="EN16" i="10" s="1"/>
  <c r="EN15" i="17" s="1"/>
  <c r="EN19" i="19" s="1"/>
  <c r="EN40" i="11"/>
  <c r="EN7" i="17" s="1"/>
  <c r="EN13" i="17" s="1"/>
  <c r="EO13" i="10"/>
  <c r="EP7" i="10"/>
  <c r="EO25" i="11"/>
  <c r="EO42" i="11" s="1"/>
  <c r="EO29" i="11"/>
  <c r="EO46" i="11" s="1"/>
  <c r="EO33" i="11"/>
  <c r="EO50" i="11" s="1"/>
  <c r="EO8" i="17" s="1"/>
  <c r="EO37" i="11"/>
  <c r="EO54" i="11" s="1"/>
  <c r="EO12" i="17" s="1"/>
  <c r="EO26" i="11"/>
  <c r="EO43" i="11" s="1"/>
  <c r="EO30" i="11"/>
  <c r="EO47" i="11" s="1"/>
  <c r="EO34" i="11"/>
  <c r="EO51" i="11" s="1"/>
  <c r="EO9" i="17" s="1"/>
  <c r="EO27" i="11"/>
  <c r="EO44" i="11" s="1"/>
  <c r="EO31" i="11"/>
  <c r="EO48" i="11" s="1"/>
  <c r="EO35" i="11"/>
  <c r="EO52" i="11" s="1"/>
  <c r="EO10" i="17" s="1"/>
  <c r="EO24" i="11"/>
  <c r="EO41" i="11" s="1"/>
  <c r="EO28" i="11"/>
  <c r="EO45" i="11" s="1"/>
  <c r="EO32" i="11"/>
  <c r="EO49" i="11" s="1"/>
  <c r="EO36" i="11"/>
  <c r="EO53" i="11" s="1"/>
  <c r="EO11" i="17" s="1"/>
  <c r="EP20" i="11"/>
  <c r="A152" i="37"/>
  <c r="B153" i="37"/>
  <c r="EO37" i="17"/>
  <c r="EO21" i="19" s="1"/>
  <c r="EP20" i="10"/>
  <c r="EQ9" i="10"/>
  <c r="EP27" i="10"/>
  <c r="EP30" i="10"/>
  <c r="EP33" i="10"/>
  <c r="EP35" i="10"/>
  <c r="EP29" i="10"/>
  <c r="EP31" i="10"/>
  <c r="EP34" i="10"/>
  <c r="EP36" i="10"/>
  <c r="EP25" i="10"/>
  <c r="EP21" i="10"/>
  <c r="EP22" i="10"/>
  <c r="EP24" i="10"/>
  <c r="EP28" i="10"/>
  <c r="EP32" i="10"/>
  <c r="EP23" i="10"/>
  <c r="EO18" i="10"/>
  <c r="EM9" i="19"/>
  <c r="EM9" i="20" s="1"/>
  <c r="EM16" i="17"/>
  <c r="EM39" i="17" s="1"/>
  <c r="EL15" i="10"/>
  <c r="EL16" i="10" s="1"/>
  <c r="EL15" i="17" s="1"/>
  <c r="EJ19" i="19"/>
  <c r="EJ16" i="17"/>
  <c r="EE18" i="23" l="1"/>
  <c r="EE32" i="19" s="1"/>
  <c r="EG14" i="23"/>
  <c r="EF12" i="19"/>
  <c r="EF17" i="23"/>
  <c r="EF22" i="23" s="1"/>
  <c r="EL16" i="17"/>
  <c r="EL19" i="19"/>
  <c r="EP24" i="17"/>
  <c r="P25" i="32"/>
  <c r="EP26" i="17"/>
  <c r="P27" i="32"/>
  <c r="EP34" i="17"/>
  <c r="P35" i="32"/>
  <c r="ER9" i="10"/>
  <c r="EQ20" i="10"/>
  <c r="EQ22" i="10"/>
  <c r="EQ25" i="10"/>
  <c r="EQ21" i="10"/>
  <c r="EQ24" i="10"/>
  <c r="EQ30" i="10"/>
  <c r="EQ35" i="10"/>
  <c r="EQ31" i="10"/>
  <c r="EQ36" i="10"/>
  <c r="EQ27" i="10"/>
  <c r="EQ33" i="10"/>
  <c r="EQ34" i="10"/>
  <c r="EQ28" i="10"/>
  <c r="EQ29" i="10"/>
  <c r="EQ32" i="10"/>
  <c r="EQ23" i="10"/>
  <c r="EP13" i="10"/>
  <c r="EQ7" i="10"/>
  <c r="EP27" i="17"/>
  <c r="P28" i="32"/>
  <c r="EP28" i="17"/>
  <c r="P29" i="32"/>
  <c r="B154" i="37"/>
  <c r="A153" i="37"/>
  <c r="EN9" i="19"/>
  <c r="EN9" i="20" s="1"/>
  <c r="EN16" i="17"/>
  <c r="EN39" i="17" s="1"/>
  <c r="EP23" i="17"/>
  <c r="P24" i="32"/>
  <c r="EP35" i="17"/>
  <c r="P36" i="32"/>
  <c r="EM17" i="17"/>
  <c r="EP22" i="17"/>
  <c r="P23" i="32"/>
  <c r="EP21" i="17"/>
  <c r="P22" i="32"/>
  <c r="EP33" i="17"/>
  <c r="P34" i="32"/>
  <c r="EP32" i="17"/>
  <c r="P33" i="32"/>
  <c r="EP18" i="10"/>
  <c r="EE38" i="10" s="1"/>
  <c r="P20" i="32"/>
  <c r="EP27" i="11"/>
  <c r="EP44" i="11" s="1"/>
  <c r="EP30" i="11"/>
  <c r="EP47" i="11" s="1"/>
  <c r="EP34" i="11"/>
  <c r="EP51" i="11" s="1"/>
  <c r="EP9" i="17" s="1"/>
  <c r="EP24" i="11"/>
  <c r="EP41" i="11" s="1"/>
  <c r="EP28" i="11"/>
  <c r="EP45" i="11" s="1"/>
  <c r="EP31" i="11"/>
  <c r="EP48" i="11" s="1"/>
  <c r="EP35" i="11"/>
  <c r="EP52" i="11" s="1"/>
  <c r="EP10" i="17" s="1"/>
  <c r="EP25" i="11"/>
  <c r="EP42" i="11" s="1"/>
  <c r="EP29" i="11"/>
  <c r="EP46" i="11" s="1"/>
  <c r="EP32" i="11"/>
  <c r="EP49" i="11" s="1"/>
  <c r="EP36" i="11"/>
  <c r="EP53" i="11" s="1"/>
  <c r="EP11" i="17" s="1"/>
  <c r="EP26" i="11"/>
  <c r="EP43" i="11" s="1"/>
  <c r="EP33" i="11"/>
  <c r="EP50" i="11" s="1"/>
  <c r="EP8" i="17" s="1"/>
  <c r="EP37" i="11"/>
  <c r="EP54" i="11" s="1"/>
  <c r="EP12" i="17" s="1"/>
  <c r="EQ20" i="11"/>
  <c r="EO55" i="11"/>
  <c r="EO14" i="10" s="1"/>
  <c r="EO15" i="10" s="1"/>
  <c r="EO16" i="10" s="1"/>
  <c r="EO15" i="17" s="1"/>
  <c r="EO40" i="11"/>
  <c r="EO7" i="17" s="1"/>
  <c r="EO13" i="17" s="1"/>
  <c r="EJ39" i="17"/>
  <c r="EJ17" i="17"/>
  <c r="EP31" i="17"/>
  <c r="P32" i="32"/>
  <c r="EP20" i="17"/>
  <c r="P21" i="32"/>
  <c r="M9" i="43" s="1"/>
  <c r="EP30" i="17"/>
  <c r="P31" i="32"/>
  <c r="EP29" i="17"/>
  <c r="P30" i="32"/>
  <c r="EF18" i="23" l="1"/>
  <c r="EF32" i="19" s="1"/>
  <c r="P38" i="32"/>
  <c r="N24" i="30"/>
  <c r="M19" i="43"/>
  <c r="N25" i="30"/>
  <c r="M20" i="43"/>
  <c r="N15" i="30"/>
  <c r="M10" i="43"/>
  <c r="N16" i="30"/>
  <c r="M11" i="43"/>
  <c r="N28" i="30"/>
  <c r="M23" i="43"/>
  <c r="N27" i="30"/>
  <c r="M22" i="43"/>
  <c r="N18" i="30"/>
  <c r="M13" i="43"/>
  <c r="N13" i="30"/>
  <c r="M8" i="43"/>
  <c r="N26" i="30"/>
  <c r="M21" i="43"/>
  <c r="N29" i="30"/>
  <c r="M24" i="43"/>
  <c r="N22" i="30"/>
  <c r="M17" i="43"/>
  <c r="N23" i="30"/>
  <c r="M18" i="43"/>
  <c r="N20" i="30"/>
  <c r="M15" i="43"/>
  <c r="N17" i="30"/>
  <c r="M12" i="43"/>
  <c r="N21" i="30"/>
  <c r="M16" i="43"/>
  <c r="EG17" i="23"/>
  <c r="EG22" i="23" s="1"/>
  <c r="EH14" i="23"/>
  <c r="EG12" i="19"/>
  <c r="EN17" i="17"/>
  <c r="EO9" i="19"/>
  <c r="EO9" i="20" s="1"/>
  <c r="EQ30" i="17"/>
  <c r="EO16" i="17"/>
  <c r="EO39" i="17" s="1"/>
  <c r="EO19" i="19"/>
  <c r="EP40" i="11"/>
  <c r="EP7" i="17" s="1"/>
  <c r="EP13" i="17" s="1"/>
  <c r="EP55" i="11"/>
  <c r="A154" i="37"/>
  <c r="B155" i="37"/>
  <c r="EQ31" i="17"/>
  <c r="EQ32" i="17"/>
  <c r="EQ34" i="17"/>
  <c r="EQ24" i="17"/>
  <c r="EQ22" i="17"/>
  <c r="EQ33" i="17"/>
  <c r="EQ20" i="17"/>
  <c r="ER20" i="10"/>
  <c r="ES9" i="10"/>
  <c r="ER29" i="10"/>
  <c r="ER28" i="17" s="1"/>
  <c r="ER31" i="10"/>
  <c r="ER30" i="17" s="1"/>
  <c r="ER34" i="10"/>
  <c r="ER33" i="17" s="1"/>
  <c r="ER36" i="10"/>
  <c r="ER35" i="17" s="1"/>
  <c r="ER27" i="10"/>
  <c r="ER26" i="17" s="1"/>
  <c r="ER30" i="10"/>
  <c r="ER29" i="17" s="1"/>
  <c r="ER35" i="10"/>
  <c r="ER34" i="17" s="1"/>
  <c r="ER25" i="10"/>
  <c r="ER24" i="17" s="1"/>
  <c r="ER21" i="10"/>
  <c r="ER20" i="17" s="1"/>
  <c r="ER22" i="10"/>
  <c r="ER21" i="17" s="1"/>
  <c r="ER24" i="10"/>
  <c r="ER23" i="17" s="1"/>
  <c r="ER33" i="10"/>
  <c r="ER32" i="17" s="1"/>
  <c r="ER28" i="10"/>
  <c r="ER27" i="17" s="1"/>
  <c r="ER32" i="10"/>
  <c r="ER31" i="17" s="1"/>
  <c r="ER23" i="10"/>
  <c r="ER22" i="17" s="1"/>
  <c r="EL39" i="17"/>
  <c r="EL17" i="17"/>
  <c r="N14" i="30"/>
  <c r="EQ26" i="11"/>
  <c r="EQ30" i="11"/>
  <c r="EQ34" i="11"/>
  <c r="O19" i="38"/>
  <c r="EQ25" i="11"/>
  <c r="EQ28" i="11"/>
  <c r="EQ33" i="11"/>
  <c r="EQ32" i="11"/>
  <c r="EQ27" i="11"/>
  <c r="EQ31" i="11"/>
  <c r="EQ37" i="11"/>
  <c r="EQ29" i="11"/>
  <c r="EQ24" i="11"/>
  <c r="EQ36" i="11"/>
  <c r="EQ35" i="11"/>
  <c r="ER20" i="11"/>
  <c r="EP37" i="17"/>
  <c r="EP21" i="19" s="1"/>
  <c r="EQ13" i="10"/>
  <c r="ER7" i="10"/>
  <c r="EQ28" i="17"/>
  <c r="EQ26" i="17"/>
  <c r="EQ29" i="17"/>
  <c r="EQ21" i="17"/>
  <c r="P13" i="32"/>
  <c r="M2" i="43" s="1"/>
  <c r="EQ27" i="17"/>
  <c r="EQ35" i="17"/>
  <c r="EQ23" i="17"/>
  <c r="EQ18" i="10"/>
  <c r="M26" i="43" l="1"/>
  <c r="N31" i="30"/>
  <c r="N67" i="30" s="1"/>
  <c r="M9" i="34" s="1"/>
  <c r="EG18" i="23"/>
  <c r="EG32" i="19" s="1"/>
  <c r="EI14" i="23"/>
  <c r="EH17" i="23"/>
  <c r="EH22" i="23" s="1"/>
  <c r="EH12" i="19"/>
  <c r="O31" i="38"/>
  <c r="O49" i="38" s="1"/>
  <c r="EQ49" i="11"/>
  <c r="EQ37" i="17"/>
  <c r="EQ21" i="19" s="1"/>
  <c r="O36" i="38"/>
  <c r="O54" i="38" s="1"/>
  <c r="EQ54" i="11"/>
  <c r="EQ12" i="17" s="1"/>
  <c r="O32" i="38"/>
  <c r="O50" i="38" s="1"/>
  <c r="EQ50" i="11"/>
  <c r="EQ8" i="17" s="1"/>
  <c r="O33" i="38"/>
  <c r="O51" i="38" s="1"/>
  <c r="EQ51" i="11"/>
  <c r="EQ9" i="17" s="1"/>
  <c r="EP14" i="10"/>
  <c r="EE56" i="11"/>
  <c r="P6" i="32" s="1"/>
  <c r="P7" i="32" s="1"/>
  <c r="N7" i="30"/>
  <c r="ER25" i="11"/>
  <c r="ER42" i="11" s="1"/>
  <c r="ER29" i="11"/>
  <c r="ER46" i="11" s="1"/>
  <c r="ER33" i="11"/>
  <c r="ER50" i="11" s="1"/>
  <c r="ER8" i="17" s="1"/>
  <c r="ER37" i="11"/>
  <c r="ER54" i="11" s="1"/>
  <c r="ER12" i="17" s="1"/>
  <c r="ER26" i="11"/>
  <c r="ER43" i="11" s="1"/>
  <c r="ER30" i="11"/>
  <c r="ER47" i="11" s="1"/>
  <c r="ER34" i="11"/>
  <c r="ER51" i="11" s="1"/>
  <c r="ER9" i="17" s="1"/>
  <c r="ER27" i="11"/>
  <c r="ER44" i="11" s="1"/>
  <c r="ER31" i="11"/>
  <c r="ER48" i="11" s="1"/>
  <c r="ER35" i="11"/>
  <c r="ER52" i="11" s="1"/>
  <c r="ER10" i="17" s="1"/>
  <c r="ER28" i="11"/>
  <c r="ER45" i="11" s="1"/>
  <c r="ER32" i="11"/>
  <c r="ER49" i="11" s="1"/>
  <c r="ER36" i="11"/>
  <c r="ER53" i="11" s="1"/>
  <c r="ER11" i="17" s="1"/>
  <c r="ER24" i="11"/>
  <c r="ER41" i="11" s="1"/>
  <c r="ES20" i="11"/>
  <c r="O28" i="38"/>
  <c r="O46" i="38" s="1"/>
  <c r="EQ46" i="11"/>
  <c r="ER13" i="10"/>
  <c r="ES7" i="10"/>
  <c r="O34" i="38"/>
  <c r="O52" i="38" s="1"/>
  <c r="EQ52" i="11"/>
  <c r="EQ10" i="17" s="1"/>
  <c r="O35" i="38"/>
  <c r="O53" i="38" s="1"/>
  <c r="EQ53" i="11"/>
  <c r="EQ11" i="17" s="1"/>
  <c r="O30" i="38"/>
  <c r="O48" i="38" s="1"/>
  <c r="EQ48" i="11"/>
  <c r="O27" i="38"/>
  <c r="O45" i="38" s="1"/>
  <c r="EQ45" i="11"/>
  <c r="O29" i="38"/>
  <c r="O47" i="38" s="1"/>
  <c r="EQ47" i="11"/>
  <c r="ET9" i="10"/>
  <c r="ES20" i="10"/>
  <c r="ES21" i="10"/>
  <c r="ES20" i="17" s="1"/>
  <c r="ES24" i="10"/>
  <c r="ES22" i="10"/>
  <c r="ES21" i="17" s="1"/>
  <c r="ES25" i="10"/>
  <c r="ES30" i="10"/>
  <c r="ES35" i="10"/>
  <c r="ES34" i="17" s="1"/>
  <c r="ES31" i="10"/>
  <c r="ES30" i="17" s="1"/>
  <c r="ES36" i="10"/>
  <c r="ES27" i="10"/>
  <c r="ES33" i="10"/>
  <c r="ES32" i="17" s="1"/>
  <c r="ES28" i="10"/>
  <c r="ES29" i="10"/>
  <c r="ES34" i="10"/>
  <c r="ES33" i="17" s="1"/>
  <c r="ES32" i="10"/>
  <c r="ES31" i="17" s="1"/>
  <c r="ES23" i="10"/>
  <c r="ES22" i="17" s="1"/>
  <c r="B156" i="37"/>
  <c r="A155" i="37"/>
  <c r="EP9" i="19"/>
  <c r="EP9" i="20" s="1"/>
  <c r="O23" i="38"/>
  <c r="O41" i="38" s="1"/>
  <c r="EQ41" i="11"/>
  <c r="O26" i="38"/>
  <c r="O44" i="38" s="1"/>
  <c r="EQ44" i="11"/>
  <c r="O24" i="38"/>
  <c r="O42" i="38" s="1"/>
  <c r="EQ42" i="11"/>
  <c r="O25" i="38"/>
  <c r="O43" i="38" s="1"/>
  <c r="EQ43" i="11"/>
  <c r="ER37" i="17"/>
  <c r="ER21" i="19" s="1"/>
  <c r="ER18" i="10"/>
  <c r="EO17" i="17"/>
  <c r="EH18" i="23" l="1"/>
  <c r="EH32" i="19" s="1"/>
  <c r="EJ14" i="23"/>
  <c r="EI12" i="19"/>
  <c r="EI17" i="23"/>
  <c r="EI22" i="23" s="1"/>
  <c r="ES26" i="17"/>
  <c r="EP15" i="10"/>
  <c r="P15" i="32" s="1"/>
  <c r="P14" i="32"/>
  <c r="M3" i="43" s="1"/>
  <c r="A156" i="37"/>
  <c r="B157" i="37"/>
  <c r="ES28" i="17"/>
  <c r="ES35" i="17"/>
  <c r="ES24" i="17"/>
  <c r="ES18" i="10"/>
  <c r="ES13" i="10"/>
  <c r="ET7" i="10"/>
  <c r="ES27" i="11"/>
  <c r="ES44" i="11" s="1"/>
  <c r="ES31" i="11"/>
  <c r="ES48" i="11" s="1"/>
  <c r="ES35" i="11"/>
  <c r="ES52" i="11" s="1"/>
  <c r="ES10" i="17" s="1"/>
  <c r="ES24" i="11"/>
  <c r="ES41" i="11" s="1"/>
  <c r="ES28" i="11"/>
  <c r="ES45" i="11" s="1"/>
  <c r="ES32" i="11"/>
  <c r="ES49" i="11" s="1"/>
  <c r="ES36" i="11"/>
  <c r="ES53" i="11" s="1"/>
  <c r="ES11" i="17" s="1"/>
  <c r="ES25" i="11"/>
  <c r="ES42" i="11" s="1"/>
  <c r="ES29" i="11"/>
  <c r="ES46" i="11" s="1"/>
  <c r="ES33" i="11"/>
  <c r="ES50" i="11" s="1"/>
  <c r="ES8" i="17" s="1"/>
  <c r="ES37" i="11"/>
  <c r="ES54" i="11" s="1"/>
  <c r="ES12" i="17" s="1"/>
  <c r="ES30" i="11"/>
  <c r="ES47" i="11" s="1"/>
  <c r="ES34" i="11"/>
  <c r="ES51" i="11" s="1"/>
  <c r="ES9" i="17" s="1"/>
  <c r="ES26" i="11"/>
  <c r="ES43" i="11" s="1"/>
  <c r="ET20" i="11"/>
  <c r="ES29" i="17"/>
  <c r="EQ40" i="11"/>
  <c r="EQ7" i="17" s="1"/>
  <c r="EQ13" i="17" s="1"/>
  <c r="EQ55" i="11"/>
  <c r="ES27" i="17"/>
  <c r="EU9" i="10"/>
  <c r="ET27" i="10"/>
  <c r="ET26" i="17" s="1"/>
  <c r="ET30" i="10"/>
  <c r="ET29" i="17" s="1"/>
  <c r="ET33" i="10"/>
  <c r="ET35" i="10"/>
  <c r="ET34" i="17" s="1"/>
  <c r="ET20" i="10"/>
  <c r="ET29" i="10"/>
  <c r="ET28" i="17" s="1"/>
  <c r="ET31" i="10"/>
  <c r="ET34" i="10"/>
  <c r="ET33" i="17" s="1"/>
  <c r="ET36" i="10"/>
  <c r="ET35" i="17" s="1"/>
  <c r="ET25" i="10"/>
  <c r="ET24" i="17" s="1"/>
  <c r="ET21" i="10"/>
  <c r="ET20" i="17" s="1"/>
  <c r="ET22" i="10"/>
  <c r="ET21" i="17" s="1"/>
  <c r="ET24" i="10"/>
  <c r="ET23" i="17" s="1"/>
  <c r="ET28" i="10"/>
  <c r="ET27" i="17" s="1"/>
  <c r="ET32" i="10"/>
  <c r="ET31" i="17" s="1"/>
  <c r="ET23" i="10"/>
  <c r="ET22" i="17" s="1"/>
  <c r="ER40" i="11"/>
  <c r="ER7" i="17" s="1"/>
  <c r="ER13" i="17" s="1"/>
  <c r="ER55" i="11"/>
  <c r="ER14" i="10" s="1"/>
  <c r="ER15" i="10" s="1"/>
  <c r="ER16" i="10" s="1"/>
  <c r="ER15" i="17" s="1"/>
  <c r="ER19" i="19" s="1"/>
  <c r="O55" i="38"/>
  <c r="ES23" i="17"/>
  <c r="P9" i="32"/>
  <c r="N6" i="30" s="1"/>
  <c r="N5" i="30"/>
  <c r="EI18" i="23" l="1"/>
  <c r="EI32" i="19" s="1"/>
  <c r="N9" i="30"/>
  <c r="M4" i="43"/>
  <c r="EJ12" i="19"/>
  <c r="EJ17" i="23"/>
  <c r="EJ22" i="23" s="1"/>
  <c r="EK14" i="23"/>
  <c r="ES37" i="17"/>
  <c r="ES21" i="19" s="1"/>
  <c r="EP16" i="10"/>
  <c r="EP15" i="17" s="1"/>
  <c r="EP16" i="17" s="1"/>
  <c r="EQ9" i="19"/>
  <c r="EQ9" i="20" s="1"/>
  <c r="ES40" i="11"/>
  <c r="ES7" i="17" s="1"/>
  <c r="ES13" i="17" s="1"/>
  <c r="ES55" i="11"/>
  <c r="ES14" i="10" s="1"/>
  <c r="ES15" i="10" s="1"/>
  <c r="ET25" i="11"/>
  <c r="ET42" i="11" s="1"/>
  <c r="ET29" i="11"/>
  <c r="ET46" i="11" s="1"/>
  <c r="ET32" i="11"/>
  <c r="ET49" i="11" s="1"/>
  <c r="ET36" i="11"/>
  <c r="ET53" i="11" s="1"/>
  <c r="ET11" i="17" s="1"/>
  <c r="ET26" i="11"/>
  <c r="ET43" i="11" s="1"/>
  <c r="ET33" i="11"/>
  <c r="ET50" i="11" s="1"/>
  <c r="ET8" i="17" s="1"/>
  <c r="ET37" i="11"/>
  <c r="ET54" i="11" s="1"/>
  <c r="ET12" i="17" s="1"/>
  <c r="ET27" i="11"/>
  <c r="ET44" i="11" s="1"/>
  <c r="ET30" i="11"/>
  <c r="ET47" i="11" s="1"/>
  <c r="ET34" i="11"/>
  <c r="ET51" i="11" s="1"/>
  <c r="ET9" i="17" s="1"/>
  <c r="ET31" i="11"/>
  <c r="ET48" i="11" s="1"/>
  <c r="ET35" i="11"/>
  <c r="ET52" i="11" s="1"/>
  <c r="ET10" i="17" s="1"/>
  <c r="ET24" i="11"/>
  <c r="ET41" i="11" s="1"/>
  <c r="ET28" i="11"/>
  <c r="ET45" i="11" s="1"/>
  <c r="EU20" i="11"/>
  <c r="N8" i="30"/>
  <c r="P16" i="32"/>
  <c r="EV9" i="10"/>
  <c r="EU20" i="10"/>
  <c r="EU22" i="10"/>
  <c r="EU21" i="17" s="1"/>
  <c r="EU25" i="10"/>
  <c r="EU21" i="10"/>
  <c r="EU20" i="17" s="1"/>
  <c r="EU24" i="10"/>
  <c r="EU23" i="17" s="1"/>
  <c r="EU30" i="10"/>
  <c r="EU35" i="10"/>
  <c r="EU34" i="17" s="1"/>
  <c r="EU31" i="10"/>
  <c r="EU30" i="17" s="1"/>
  <c r="EU36" i="10"/>
  <c r="EU35" i="17" s="1"/>
  <c r="EU27" i="10"/>
  <c r="EU26" i="17" s="1"/>
  <c r="EU33" i="10"/>
  <c r="EU32" i="17" s="1"/>
  <c r="EU34" i="10"/>
  <c r="EU33" i="17" s="1"/>
  <c r="EU28" i="10"/>
  <c r="EU29" i="10"/>
  <c r="EU32" i="10"/>
  <c r="EU31" i="17" s="1"/>
  <c r="EU23" i="10"/>
  <c r="EQ14" i="10"/>
  <c r="ER9" i="19"/>
  <c r="ER16" i="17"/>
  <c r="ER39" i="17" s="1"/>
  <c r="ET13" i="10"/>
  <c r="EU7" i="10"/>
  <c r="ET30" i="17"/>
  <c r="ET32" i="17"/>
  <c r="B158" i="37"/>
  <c r="A157" i="37"/>
  <c r="N41" i="30"/>
  <c r="N47" i="30"/>
  <c r="N45" i="30"/>
  <c r="N53" i="30"/>
  <c r="N59" i="30"/>
  <c r="N49" i="30"/>
  <c r="N54" i="30"/>
  <c r="N51" i="30"/>
  <c r="N57" i="30"/>
  <c r="N55" i="30"/>
  <c r="N64" i="30"/>
  <c r="N52" i="30"/>
  <c r="N42" i="30"/>
  <c r="N40" i="30"/>
  <c r="N56" i="30"/>
  <c r="N46" i="30"/>
  <c r="N44" i="30"/>
  <c r="N43" i="30"/>
  <c r="N48" i="30"/>
  <c r="N50" i="30"/>
  <c r="N66" i="30"/>
  <c r="M8" i="34" s="1"/>
  <c r="N60" i="30"/>
  <c r="N58" i="30"/>
  <c r="N3" i="30"/>
  <c r="ET18" i="10"/>
  <c r="N10" i="30" l="1"/>
  <c r="N32" i="30" s="1"/>
  <c r="P17" i="32"/>
  <c r="M5" i="43"/>
  <c r="EJ18" i="23"/>
  <c r="EJ32" i="19" s="1"/>
  <c r="EL14" i="23"/>
  <c r="EK12" i="19"/>
  <c r="EK17" i="23"/>
  <c r="EK22" i="23" s="1"/>
  <c r="ET37" i="17"/>
  <c r="ET21" i="19" s="1"/>
  <c r="EP19" i="19"/>
  <c r="ER9" i="20"/>
  <c r="ES16" i="10"/>
  <c r="ES15" i="17" s="1"/>
  <c r="ES19" i="19" s="1"/>
  <c r="ET40" i="11"/>
  <c r="ET7" i="17" s="1"/>
  <c r="ET13" i="17" s="1"/>
  <c r="ET55" i="11"/>
  <c r="EU13" i="10"/>
  <c r="EV7" i="10"/>
  <c r="EU24" i="17"/>
  <c r="EV20" i="10"/>
  <c r="EV29" i="10"/>
  <c r="EV28" i="17" s="1"/>
  <c r="EV31" i="10"/>
  <c r="EV30" i="17" s="1"/>
  <c r="EV34" i="10"/>
  <c r="EV33" i="17" s="1"/>
  <c r="EV36" i="10"/>
  <c r="EW9" i="10"/>
  <c r="EV27" i="10"/>
  <c r="EV30" i="10"/>
  <c r="EV29" i="17" s="1"/>
  <c r="EV35" i="10"/>
  <c r="EV25" i="10"/>
  <c r="EV24" i="17" s="1"/>
  <c r="EV21" i="10"/>
  <c r="EV20" i="17" s="1"/>
  <c r="EV22" i="10"/>
  <c r="EV24" i="10"/>
  <c r="EV23" i="17" s="1"/>
  <c r="EV33" i="10"/>
  <c r="EV28" i="10"/>
  <c r="EV27" i="17" s="1"/>
  <c r="EV32" i="10"/>
  <c r="EV23" i="10"/>
  <c r="EV22" i="17" s="1"/>
  <c r="M6" i="34"/>
  <c r="N68" i="30"/>
  <c r="A158" i="37"/>
  <c r="B159" i="37"/>
  <c r="EU28" i="17"/>
  <c r="EU29" i="17"/>
  <c r="EU26" i="11"/>
  <c r="EU43" i="11" s="1"/>
  <c r="EU30" i="11"/>
  <c r="EU47" i="11" s="1"/>
  <c r="EU34" i="11"/>
  <c r="EU51" i="11" s="1"/>
  <c r="EU9" i="17" s="1"/>
  <c r="EU27" i="11"/>
  <c r="EU44" i="11" s="1"/>
  <c r="EU31" i="11"/>
  <c r="EU48" i="11" s="1"/>
  <c r="EU35" i="11"/>
  <c r="EU52" i="11" s="1"/>
  <c r="EU10" i="17" s="1"/>
  <c r="EU24" i="11"/>
  <c r="EU41" i="11" s="1"/>
  <c r="EU28" i="11"/>
  <c r="EU45" i="11" s="1"/>
  <c r="EU32" i="11"/>
  <c r="EU49" i="11" s="1"/>
  <c r="EU36" i="11"/>
  <c r="EU53" i="11" s="1"/>
  <c r="EU11" i="17" s="1"/>
  <c r="EU33" i="11"/>
  <c r="EU50" i="11" s="1"/>
  <c r="EU8" i="17" s="1"/>
  <c r="EU37" i="11"/>
  <c r="EU54" i="11" s="1"/>
  <c r="EU12" i="17" s="1"/>
  <c r="EU25" i="11"/>
  <c r="EU42" i="11" s="1"/>
  <c r="EU29" i="11"/>
  <c r="EU46" i="11" s="1"/>
  <c r="EV20" i="11"/>
  <c r="EU22" i="17"/>
  <c r="EP39" i="17"/>
  <c r="EP17" i="17"/>
  <c r="ER17" i="17"/>
  <c r="EQ15" i="10"/>
  <c r="EU27" i="17"/>
  <c r="EU18" i="10"/>
  <c r="ES9" i="19"/>
  <c r="ES9" i="20" s="1"/>
  <c r="N39" i="30" l="1"/>
  <c r="EM14" i="23"/>
  <c r="EL12" i="19"/>
  <c r="EL17" i="23"/>
  <c r="EL22" i="23" s="1"/>
  <c r="EK18" i="23"/>
  <c r="EK32" i="19" s="1"/>
  <c r="ES16" i="17"/>
  <c r="ES39" i="17" s="1"/>
  <c r="B160" i="37"/>
  <c r="A159" i="37"/>
  <c r="EV34" i="17"/>
  <c r="EV35" i="17"/>
  <c r="EV18" i="10"/>
  <c r="EV13" i="10"/>
  <c r="EW7" i="10"/>
  <c r="ET14" i="10"/>
  <c r="EV24" i="11"/>
  <c r="EV41" i="11" s="1"/>
  <c r="EV28" i="11"/>
  <c r="EV45" i="11" s="1"/>
  <c r="EV32" i="11"/>
  <c r="EV49" i="11" s="1"/>
  <c r="EV36" i="11"/>
  <c r="EV53" i="11" s="1"/>
  <c r="EV11" i="17" s="1"/>
  <c r="EV25" i="11"/>
  <c r="EV42" i="11" s="1"/>
  <c r="EV29" i="11"/>
  <c r="EV46" i="11" s="1"/>
  <c r="EV33" i="11"/>
  <c r="EV50" i="11" s="1"/>
  <c r="EV8" i="17" s="1"/>
  <c r="EV37" i="11"/>
  <c r="EV54" i="11" s="1"/>
  <c r="EV12" i="17" s="1"/>
  <c r="EV26" i="11"/>
  <c r="EV43" i="11" s="1"/>
  <c r="EV30" i="11"/>
  <c r="EV47" i="11" s="1"/>
  <c r="EV34" i="11"/>
  <c r="EV51" i="11" s="1"/>
  <c r="EV9" i="17" s="1"/>
  <c r="EV35" i="11"/>
  <c r="EV52" i="11" s="1"/>
  <c r="EV10" i="17" s="1"/>
  <c r="EV27" i="11"/>
  <c r="EV44" i="11" s="1"/>
  <c r="EV31" i="11"/>
  <c r="EV48" i="11" s="1"/>
  <c r="EW20" i="11"/>
  <c r="EX9" i="10"/>
  <c r="EW20" i="10"/>
  <c r="EW21" i="10"/>
  <c r="EW20" i="17" s="1"/>
  <c r="EW24" i="10"/>
  <c r="EW23" i="17" s="1"/>
  <c r="EW22" i="10"/>
  <c r="EW21" i="17" s="1"/>
  <c r="EW25" i="10"/>
  <c r="EW24" i="17" s="1"/>
  <c r="EW30" i="10"/>
  <c r="EW35" i="10"/>
  <c r="EW34" i="17" s="1"/>
  <c r="EW31" i="10"/>
  <c r="EW30" i="17" s="1"/>
  <c r="EW36" i="10"/>
  <c r="EW35" i="17" s="1"/>
  <c r="EW27" i="10"/>
  <c r="EW26" i="17" s="1"/>
  <c r="EW33" i="10"/>
  <c r="EW32" i="17" s="1"/>
  <c r="EW28" i="10"/>
  <c r="EW29" i="10"/>
  <c r="EW28" i="17" s="1"/>
  <c r="EW34" i="10"/>
  <c r="EW33" i="17" s="1"/>
  <c r="EW32" i="10"/>
  <c r="EW31" i="17" s="1"/>
  <c r="EW23" i="10"/>
  <c r="ET9" i="19"/>
  <c r="ET9" i="20" s="1"/>
  <c r="EQ16" i="10"/>
  <c r="EQ15" i="17" s="1"/>
  <c r="EV31" i="17"/>
  <c r="EV21" i="17"/>
  <c r="EU55" i="11"/>
  <c r="EU14" i="10" s="1"/>
  <c r="EU15" i="10" s="1"/>
  <c r="EU16" i="10" s="1"/>
  <c r="EU15" i="17" s="1"/>
  <c r="EU40" i="11"/>
  <c r="EU7" i="17" s="1"/>
  <c r="EU13" i="17" s="1"/>
  <c r="EV32" i="17"/>
  <c r="EU37" i="17"/>
  <c r="EU21" i="19" s="1"/>
  <c r="N81" i="30"/>
  <c r="F16" i="35" s="1"/>
  <c r="N75" i="30"/>
  <c r="EV26" i="17"/>
  <c r="EL18" i="23" l="1"/>
  <c r="EL32" i="19" s="1"/>
  <c r="EM12" i="19"/>
  <c r="EN14" i="23"/>
  <c r="EM17" i="23"/>
  <c r="EM22" i="23" s="1"/>
  <c r="EV37" i="17"/>
  <c r="EV21" i="19" s="1"/>
  <c r="EU19" i="19"/>
  <c r="ES17" i="17"/>
  <c r="EU9" i="19"/>
  <c r="EU9" i="20" s="1"/>
  <c r="EU16" i="17"/>
  <c r="EU39" i="17" s="1"/>
  <c r="EW22" i="17"/>
  <c r="EW27" i="17"/>
  <c r="EX20" i="10"/>
  <c r="EY9" i="10"/>
  <c r="EX27" i="10"/>
  <c r="EX30" i="10"/>
  <c r="EX29" i="17" s="1"/>
  <c r="EX33" i="10"/>
  <c r="EX35" i="10"/>
  <c r="EX34" i="17" s="1"/>
  <c r="EX29" i="10"/>
  <c r="EX28" i="17" s="1"/>
  <c r="EX31" i="10"/>
  <c r="EX30" i="17" s="1"/>
  <c r="EX34" i="10"/>
  <c r="EX33" i="17" s="1"/>
  <c r="EX36" i="10"/>
  <c r="EX35" i="17" s="1"/>
  <c r="EX25" i="10"/>
  <c r="EX24" i="17" s="1"/>
  <c r="EX21" i="10"/>
  <c r="EX20" i="17" s="1"/>
  <c r="EX22" i="10"/>
  <c r="EX21" i="17" s="1"/>
  <c r="EX24" i="10"/>
  <c r="EX23" i="17" s="1"/>
  <c r="EX28" i="10"/>
  <c r="EX27" i="17" s="1"/>
  <c r="EX32" i="10"/>
  <c r="EX31" i="17" s="1"/>
  <c r="EX23" i="10"/>
  <c r="EX22" i="17" s="1"/>
  <c r="EV40" i="11"/>
  <c r="EV7" i="17" s="1"/>
  <c r="EV13" i="17" s="1"/>
  <c r="EV55" i="11"/>
  <c r="EV14" i="10" s="1"/>
  <c r="EV15" i="10" s="1"/>
  <c r="EV16" i="10" s="1"/>
  <c r="EV15" i="17" s="1"/>
  <c r="EW18" i="10"/>
  <c r="EW13" i="10"/>
  <c r="EX7" i="10"/>
  <c r="EQ19" i="19"/>
  <c r="EQ16" i="17"/>
  <c r="A160" i="37"/>
  <c r="B161" i="37"/>
  <c r="EW29" i="17"/>
  <c r="EW26" i="11"/>
  <c r="EW43" i="11" s="1"/>
  <c r="EW30" i="11"/>
  <c r="EW47" i="11" s="1"/>
  <c r="EW34" i="11"/>
  <c r="EW51" i="11" s="1"/>
  <c r="EW9" i="17" s="1"/>
  <c r="EW27" i="11"/>
  <c r="EW44" i="11" s="1"/>
  <c r="EW31" i="11"/>
  <c r="EW48" i="11" s="1"/>
  <c r="EW35" i="11"/>
  <c r="EW52" i="11" s="1"/>
  <c r="EW10" i="17" s="1"/>
  <c r="EW24" i="11"/>
  <c r="EW41" i="11" s="1"/>
  <c r="EW28" i="11"/>
  <c r="EW45" i="11" s="1"/>
  <c r="EW32" i="11"/>
  <c r="EW49" i="11" s="1"/>
  <c r="EW36" i="11"/>
  <c r="EW53" i="11" s="1"/>
  <c r="EW11" i="17" s="1"/>
  <c r="EW37" i="11"/>
  <c r="EW54" i="11" s="1"/>
  <c r="EW12" i="17" s="1"/>
  <c r="EW25" i="11"/>
  <c r="EW42" i="11" s="1"/>
  <c r="EW29" i="11"/>
  <c r="EW46" i="11" s="1"/>
  <c r="EW33" i="11"/>
  <c r="EW50" i="11" s="1"/>
  <c r="EW8" i="17" s="1"/>
  <c r="EX20" i="11"/>
  <c r="ET15" i="10"/>
  <c r="ET16" i="10" s="1"/>
  <c r="ET15" i="17" s="1"/>
  <c r="EM18" i="23" l="1"/>
  <c r="EM32" i="19" s="1"/>
  <c r="EN12" i="19"/>
  <c r="EN17" i="23"/>
  <c r="EN22" i="23" s="1"/>
  <c r="EO14" i="23"/>
  <c r="EV19" i="19"/>
  <c r="ET16" i="17"/>
  <c r="ET19" i="19"/>
  <c r="EV9" i="19"/>
  <c r="EV9" i="20" s="1"/>
  <c r="EV16" i="17"/>
  <c r="EV39" i="17" s="1"/>
  <c r="EX24" i="11"/>
  <c r="EX41" i="11" s="1"/>
  <c r="EX28" i="11"/>
  <c r="EX45" i="11" s="1"/>
  <c r="EX31" i="11"/>
  <c r="EX48" i="11" s="1"/>
  <c r="EX35" i="11"/>
  <c r="EX52" i="11" s="1"/>
  <c r="EX10" i="17" s="1"/>
  <c r="EX25" i="11"/>
  <c r="EX42" i="11" s="1"/>
  <c r="EX29" i="11"/>
  <c r="EX46" i="11" s="1"/>
  <c r="EX32" i="11"/>
  <c r="EX49" i="11" s="1"/>
  <c r="EX36" i="11"/>
  <c r="EX53" i="11" s="1"/>
  <c r="EX11" i="17" s="1"/>
  <c r="EX26" i="11"/>
  <c r="EX43" i="11" s="1"/>
  <c r="EX33" i="11"/>
  <c r="EX50" i="11" s="1"/>
  <c r="EX8" i="17" s="1"/>
  <c r="EX37" i="11"/>
  <c r="EX54" i="11" s="1"/>
  <c r="EX12" i="17" s="1"/>
  <c r="EX27" i="11"/>
  <c r="EX44" i="11" s="1"/>
  <c r="EX30" i="11"/>
  <c r="EX47" i="11" s="1"/>
  <c r="EX34" i="11"/>
  <c r="EX51" i="11" s="1"/>
  <c r="EX9" i="17" s="1"/>
  <c r="EY20" i="11"/>
  <c r="EW40" i="11"/>
  <c r="EW7" i="17" s="1"/>
  <c r="EW13" i="17" s="1"/>
  <c r="EW55" i="11"/>
  <c r="EW14" i="10" s="1"/>
  <c r="EW15" i="10" s="1"/>
  <c r="EW16" i="10" s="1"/>
  <c r="EW15" i="17" s="1"/>
  <c r="EX13" i="10"/>
  <c r="EY7" i="10"/>
  <c r="EZ9" i="10"/>
  <c r="EY22" i="10"/>
  <c r="EY21" i="17" s="1"/>
  <c r="EY25" i="10"/>
  <c r="EY24" i="17" s="1"/>
  <c r="EY21" i="10"/>
  <c r="EY20" i="17" s="1"/>
  <c r="EY24" i="10"/>
  <c r="EY23" i="17" s="1"/>
  <c r="EY30" i="10"/>
  <c r="EY35" i="10"/>
  <c r="EY34" i="17" s="1"/>
  <c r="EY31" i="10"/>
  <c r="EY30" i="17" s="1"/>
  <c r="EY36" i="10"/>
  <c r="EY35" i="17" s="1"/>
  <c r="EY20" i="10"/>
  <c r="EY27" i="10"/>
  <c r="EY26" i="17" s="1"/>
  <c r="EY33" i="10"/>
  <c r="EY32" i="17" s="1"/>
  <c r="EY34" i="10"/>
  <c r="EY33" i="17" s="1"/>
  <c r="EY28" i="10"/>
  <c r="EY27" i="17" s="1"/>
  <c r="EY29" i="10"/>
  <c r="EY28" i="17" s="1"/>
  <c r="EY32" i="10"/>
  <c r="EY31" i="17" s="1"/>
  <c r="EY23" i="10"/>
  <c r="EY22" i="17" s="1"/>
  <c r="EX26" i="17"/>
  <c r="EQ39" i="17"/>
  <c r="EQ17" i="17"/>
  <c r="EX32" i="17"/>
  <c r="EX18" i="10"/>
  <c r="EW37" i="17"/>
  <c r="EW21" i="19" s="1"/>
  <c r="B162" i="37"/>
  <c r="A161" i="37"/>
  <c r="EU17" i="17"/>
  <c r="EN18" i="23" l="1"/>
  <c r="EN32" i="19" s="1"/>
  <c r="EO17" i="23"/>
  <c r="EO22" i="23" s="1"/>
  <c r="EO12" i="19"/>
  <c r="EP14" i="23"/>
  <c r="EX37" i="17"/>
  <c r="EX21" i="19" s="1"/>
  <c r="EV17" i="17"/>
  <c r="EW9" i="19"/>
  <c r="EW9" i="20" s="1"/>
  <c r="EW16" i="17"/>
  <c r="EW39" i="17" s="1"/>
  <c r="EY18" i="10"/>
  <c r="EY29" i="17"/>
  <c r="EY25" i="11"/>
  <c r="EY42" i="11" s="1"/>
  <c r="EY29" i="11"/>
  <c r="EY46" i="11" s="1"/>
  <c r="EY33" i="11"/>
  <c r="EY50" i="11" s="1"/>
  <c r="EY8" i="17" s="1"/>
  <c r="EY37" i="11"/>
  <c r="EY54" i="11" s="1"/>
  <c r="EY12" i="17" s="1"/>
  <c r="EY26" i="11"/>
  <c r="EY43" i="11" s="1"/>
  <c r="EY30" i="11"/>
  <c r="EY47" i="11" s="1"/>
  <c r="EY34" i="11"/>
  <c r="EY51" i="11" s="1"/>
  <c r="EY9" i="17" s="1"/>
  <c r="EY27" i="11"/>
  <c r="EY44" i="11" s="1"/>
  <c r="EY31" i="11"/>
  <c r="EY48" i="11" s="1"/>
  <c r="EY35" i="11"/>
  <c r="EY52" i="11" s="1"/>
  <c r="EY10" i="17" s="1"/>
  <c r="EY24" i="11"/>
  <c r="EY41" i="11" s="1"/>
  <c r="EY28" i="11"/>
  <c r="EY45" i="11" s="1"/>
  <c r="EY32" i="11"/>
  <c r="EY49" i="11" s="1"/>
  <c r="EY36" i="11"/>
  <c r="EY53" i="11" s="1"/>
  <c r="EY11" i="17" s="1"/>
  <c r="EZ20" i="11"/>
  <c r="ET39" i="17"/>
  <c r="ET17" i="17"/>
  <c r="EY37" i="17"/>
  <c r="EY21" i="19" s="1"/>
  <c r="EZ20" i="10"/>
  <c r="FA9" i="10"/>
  <c r="EZ29" i="10"/>
  <c r="EZ28" i="17" s="1"/>
  <c r="EZ31" i="10"/>
  <c r="EZ30" i="17" s="1"/>
  <c r="EZ34" i="10"/>
  <c r="EZ33" i="17" s="1"/>
  <c r="EZ36" i="10"/>
  <c r="EZ35" i="17" s="1"/>
  <c r="EZ27" i="10"/>
  <c r="EZ26" i="17" s="1"/>
  <c r="EZ30" i="10"/>
  <c r="EZ29" i="17" s="1"/>
  <c r="EZ35" i="10"/>
  <c r="EZ34" i="17" s="1"/>
  <c r="EZ25" i="10"/>
  <c r="EZ24" i="17" s="1"/>
  <c r="EZ21" i="10"/>
  <c r="EZ20" i="17" s="1"/>
  <c r="EZ22" i="10"/>
  <c r="EZ21" i="17" s="1"/>
  <c r="EZ24" i="10"/>
  <c r="EZ23" i="17" s="1"/>
  <c r="EZ33" i="10"/>
  <c r="EZ32" i="17" s="1"/>
  <c r="EZ28" i="10"/>
  <c r="EZ27" i="17" s="1"/>
  <c r="EZ32" i="10"/>
  <c r="EZ31" i="17" s="1"/>
  <c r="EZ23" i="10"/>
  <c r="EZ22" i="17" s="1"/>
  <c r="A162" i="37"/>
  <c r="B163" i="37"/>
  <c r="EY13" i="10"/>
  <c r="EZ7" i="10"/>
  <c r="EW19" i="19"/>
  <c r="EX40" i="11"/>
  <c r="EX7" i="17" s="1"/>
  <c r="EX13" i="17" s="1"/>
  <c r="EX55" i="11"/>
  <c r="EP12" i="19" l="1"/>
  <c r="EQ14" i="23"/>
  <c r="EP17" i="23"/>
  <c r="EP22" i="23" s="1"/>
  <c r="EO18" i="23"/>
  <c r="EO32" i="19" s="1"/>
  <c r="EZ37" i="17"/>
  <c r="EZ21" i="19" s="1"/>
  <c r="EW17" i="17"/>
  <c r="EX14" i="10"/>
  <c r="EZ13" i="10"/>
  <c r="FA7" i="10"/>
  <c r="EZ18" i="10"/>
  <c r="B164" i="37"/>
  <c r="A163" i="37"/>
  <c r="EX9" i="19"/>
  <c r="EX9" i="20" s="1"/>
  <c r="FB9" i="10"/>
  <c r="FA20" i="10"/>
  <c r="FA21" i="10"/>
  <c r="FA20" i="17" s="1"/>
  <c r="FA24" i="10"/>
  <c r="FA23" i="17" s="1"/>
  <c r="FA22" i="10"/>
  <c r="FA21" i="17" s="1"/>
  <c r="FA25" i="10"/>
  <c r="FA24" i="17" s="1"/>
  <c r="FA30" i="10"/>
  <c r="FA29" i="17" s="1"/>
  <c r="FA35" i="10"/>
  <c r="FA34" i="17" s="1"/>
  <c r="FA31" i="10"/>
  <c r="FA30" i="17" s="1"/>
  <c r="FA36" i="10"/>
  <c r="FA35" i="17" s="1"/>
  <c r="FA27" i="10"/>
  <c r="FA26" i="17" s="1"/>
  <c r="FA33" i="10"/>
  <c r="FA32" i="17" s="1"/>
  <c r="FA28" i="10"/>
  <c r="FA27" i="17" s="1"/>
  <c r="FA29" i="10"/>
  <c r="FA28" i="17" s="1"/>
  <c r="FA34" i="10"/>
  <c r="FA33" i="17" s="1"/>
  <c r="FA32" i="10"/>
  <c r="FA31" i="17" s="1"/>
  <c r="FA23" i="10"/>
  <c r="FA22" i="17" s="1"/>
  <c r="EZ27" i="11"/>
  <c r="EZ44" i="11" s="1"/>
  <c r="EZ31" i="11"/>
  <c r="EZ48" i="11" s="1"/>
  <c r="EZ35" i="11"/>
  <c r="EZ52" i="11" s="1"/>
  <c r="EZ10" i="17" s="1"/>
  <c r="EZ24" i="11"/>
  <c r="EZ41" i="11" s="1"/>
  <c r="EZ28" i="11"/>
  <c r="EZ45" i="11" s="1"/>
  <c r="EZ32" i="11"/>
  <c r="EZ49" i="11" s="1"/>
  <c r="EZ36" i="11"/>
  <c r="EZ53" i="11" s="1"/>
  <c r="EZ11" i="17" s="1"/>
  <c r="EZ25" i="11"/>
  <c r="EZ42" i="11" s="1"/>
  <c r="EZ29" i="11"/>
  <c r="EZ46" i="11" s="1"/>
  <c r="EZ33" i="11"/>
  <c r="EZ50" i="11" s="1"/>
  <c r="EZ8" i="17" s="1"/>
  <c r="EZ37" i="11"/>
  <c r="EZ54" i="11" s="1"/>
  <c r="EZ12" i="17" s="1"/>
  <c r="EZ26" i="11"/>
  <c r="EZ43" i="11" s="1"/>
  <c r="EZ30" i="11"/>
  <c r="EZ47" i="11" s="1"/>
  <c r="EZ34" i="11"/>
  <c r="EZ51" i="11" s="1"/>
  <c r="EZ9" i="17" s="1"/>
  <c r="FA20" i="11"/>
  <c r="EY40" i="11"/>
  <c r="EY7" i="17" s="1"/>
  <c r="EY13" i="17" s="1"/>
  <c r="EY55" i="11"/>
  <c r="EY14" i="10" s="1"/>
  <c r="EY15" i="10" s="1"/>
  <c r="EY16" i="10" s="1"/>
  <c r="EY15" i="17" s="1"/>
  <c r="EY19" i="19" s="1"/>
  <c r="EP18" i="23" l="1"/>
  <c r="EP32" i="19" s="1"/>
  <c r="ER14" i="23"/>
  <c r="EQ12" i="19"/>
  <c r="EQ17" i="23"/>
  <c r="EQ22" i="23" s="1"/>
  <c r="EY9" i="19"/>
  <c r="EY9" i="20" s="1"/>
  <c r="EY16" i="17"/>
  <c r="EY39" i="17" s="1"/>
  <c r="EX15" i="10"/>
  <c r="EX16" i="10" s="1"/>
  <c r="EX15" i="17" s="1"/>
  <c r="FA13" i="10"/>
  <c r="FB7" i="10"/>
  <c r="EZ40" i="11"/>
  <c r="EZ7" i="17" s="1"/>
  <c r="EZ13" i="17" s="1"/>
  <c r="EZ55" i="11"/>
  <c r="EZ14" i="10" s="1"/>
  <c r="EZ15" i="10" s="1"/>
  <c r="EZ16" i="10" s="1"/>
  <c r="EZ15" i="17" s="1"/>
  <c r="EZ19" i="19" s="1"/>
  <c r="FA25" i="11"/>
  <c r="FA42" i="11" s="1"/>
  <c r="FA29" i="11"/>
  <c r="FA46" i="11" s="1"/>
  <c r="FA33" i="11"/>
  <c r="FA50" i="11" s="1"/>
  <c r="FA8" i="17" s="1"/>
  <c r="FA37" i="11"/>
  <c r="FA54" i="11" s="1"/>
  <c r="FA12" i="17" s="1"/>
  <c r="FA26" i="11"/>
  <c r="FA43" i="11" s="1"/>
  <c r="FA30" i="11"/>
  <c r="FA47" i="11" s="1"/>
  <c r="FA34" i="11"/>
  <c r="FA51" i="11" s="1"/>
  <c r="FA9" i="17" s="1"/>
  <c r="FA27" i="11"/>
  <c r="FA44" i="11" s="1"/>
  <c r="FA31" i="11"/>
  <c r="FA48" i="11" s="1"/>
  <c r="FA35" i="11"/>
  <c r="FA52" i="11" s="1"/>
  <c r="FA10" i="17" s="1"/>
  <c r="FA28" i="11"/>
  <c r="FA45" i="11" s="1"/>
  <c r="FA32" i="11"/>
  <c r="FA49" i="11" s="1"/>
  <c r="FA36" i="11"/>
  <c r="FA53" i="11" s="1"/>
  <c r="FA11" i="17" s="1"/>
  <c r="FA24" i="11"/>
  <c r="FA41" i="11" s="1"/>
  <c r="FB20" i="11"/>
  <c r="FA18" i="10"/>
  <c r="FA37" i="17"/>
  <c r="FA21" i="19" s="1"/>
  <c r="FC9" i="10"/>
  <c r="FB20" i="10"/>
  <c r="FB27" i="10"/>
  <c r="FB30" i="10"/>
  <c r="FB33" i="10"/>
  <c r="FB35" i="10"/>
  <c r="FB29" i="10"/>
  <c r="FB31" i="10"/>
  <c r="FB34" i="10"/>
  <c r="FB36" i="10"/>
  <c r="FB25" i="10"/>
  <c r="FB21" i="10"/>
  <c r="FB22" i="10"/>
  <c r="FB24" i="10"/>
  <c r="FB28" i="10"/>
  <c r="FB32" i="10"/>
  <c r="FB23" i="10"/>
  <c r="A164" i="37"/>
  <c r="B165" i="37"/>
  <c r="EQ18" i="23" l="1"/>
  <c r="EQ32" i="19" s="1"/>
  <c r="ER12" i="19"/>
  <c r="ER17" i="23"/>
  <c r="ER22" i="23" s="1"/>
  <c r="ES14" i="23"/>
  <c r="FB35" i="17"/>
  <c r="Q36" i="32"/>
  <c r="FB21" i="17"/>
  <c r="Q22" i="32"/>
  <c r="FA40" i="11"/>
  <c r="FA7" i="17" s="1"/>
  <c r="FA13" i="17" s="1"/>
  <c r="FA55" i="11"/>
  <c r="FA14" i="10" s="1"/>
  <c r="FB13" i="10"/>
  <c r="Q13" i="32" s="1"/>
  <c r="N2" i="43" s="1"/>
  <c r="FC7" i="10"/>
  <c r="FB23" i="17"/>
  <c r="Q24" i="32"/>
  <c r="FB34" i="17"/>
  <c r="Q35" i="32"/>
  <c r="FB18" i="10"/>
  <c r="EQ38" i="10" s="1"/>
  <c r="Q20" i="32"/>
  <c r="FB27" i="11"/>
  <c r="FB44" i="11" s="1"/>
  <c r="FB30" i="11"/>
  <c r="FB47" i="11" s="1"/>
  <c r="FB34" i="11"/>
  <c r="FB51" i="11" s="1"/>
  <c r="FB9" i="17" s="1"/>
  <c r="FB24" i="11"/>
  <c r="FB41" i="11" s="1"/>
  <c r="FB28" i="11"/>
  <c r="FB45" i="11" s="1"/>
  <c r="FB31" i="11"/>
  <c r="FB48" i="11" s="1"/>
  <c r="FB35" i="11"/>
  <c r="FB52" i="11" s="1"/>
  <c r="FB10" i="17" s="1"/>
  <c r="FB25" i="11"/>
  <c r="FB42" i="11" s="1"/>
  <c r="FB29" i="11"/>
  <c r="FB46" i="11" s="1"/>
  <c r="FB32" i="11"/>
  <c r="FB49" i="11" s="1"/>
  <c r="FB36" i="11"/>
  <c r="FB53" i="11" s="1"/>
  <c r="FB11" i="17" s="1"/>
  <c r="FB33" i="11"/>
  <c r="FB50" i="11" s="1"/>
  <c r="FB8" i="17" s="1"/>
  <c r="FB37" i="11"/>
  <c r="FB54" i="11" s="1"/>
  <c r="FB12" i="17" s="1"/>
  <c r="FB26" i="11"/>
  <c r="FB43" i="11" s="1"/>
  <c r="FC20" i="11"/>
  <c r="EZ9" i="19"/>
  <c r="EZ9" i="20" s="1"/>
  <c r="EZ16" i="17"/>
  <c r="EZ39" i="17" s="1"/>
  <c r="FB22" i="17"/>
  <c r="Q23" i="32"/>
  <c r="FB33" i="17"/>
  <c r="Q34" i="32"/>
  <c r="FB32" i="17"/>
  <c r="Q33" i="32"/>
  <c r="FD9" i="10"/>
  <c r="FC20" i="10"/>
  <c r="FC22" i="10"/>
  <c r="FC25" i="10"/>
  <c r="FC21" i="10"/>
  <c r="FC24" i="10"/>
  <c r="FC30" i="10"/>
  <c r="FC35" i="10"/>
  <c r="FC31" i="10"/>
  <c r="FC36" i="10"/>
  <c r="FC27" i="10"/>
  <c r="FC33" i="10"/>
  <c r="FC34" i="10"/>
  <c r="FC29" i="10"/>
  <c r="FC28" i="10"/>
  <c r="FC32" i="10"/>
  <c r="FC23" i="10"/>
  <c r="FB31" i="17"/>
  <c r="Q32" i="32"/>
  <c r="FB20" i="17"/>
  <c r="Q21" i="32"/>
  <c r="N9" i="43" s="1"/>
  <c r="FB30" i="17"/>
  <c r="Q31" i="32"/>
  <c r="FB29" i="17"/>
  <c r="Q30" i="32"/>
  <c r="EY17" i="17"/>
  <c r="B166" i="37"/>
  <c r="A165" i="37"/>
  <c r="FB27" i="17"/>
  <c r="Q28" i="32"/>
  <c r="FB24" i="17"/>
  <c r="Q25" i="32"/>
  <c r="FB28" i="17"/>
  <c r="Q29" i="32"/>
  <c r="FB26" i="17"/>
  <c r="Q27" i="32"/>
  <c r="EX16" i="17"/>
  <c r="EX19" i="19"/>
  <c r="Q38" i="32" l="1"/>
  <c r="O15" i="30"/>
  <c r="N10" i="43"/>
  <c r="O18" i="30"/>
  <c r="N13" i="43"/>
  <c r="O26" i="30"/>
  <c r="N21" i="43"/>
  <c r="O24" i="30"/>
  <c r="N19" i="43"/>
  <c r="O21" i="30"/>
  <c r="N16" i="43"/>
  <c r="O27" i="30"/>
  <c r="N22" i="43"/>
  <c r="O17" i="30"/>
  <c r="N12" i="43"/>
  <c r="O28" i="30"/>
  <c r="N23" i="43"/>
  <c r="O29" i="30"/>
  <c r="N24" i="43"/>
  <c r="O20" i="30"/>
  <c r="N15" i="43"/>
  <c r="O16" i="30"/>
  <c r="N11" i="43"/>
  <c r="O25" i="30"/>
  <c r="N20" i="43"/>
  <c r="O22" i="30"/>
  <c r="N17" i="43"/>
  <c r="O23" i="30"/>
  <c r="N18" i="43"/>
  <c r="O13" i="30"/>
  <c r="N8" i="43"/>
  <c r="ER18" i="23"/>
  <c r="ER32" i="19" s="1"/>
  <c r="ES17" i="23"/>
  <c r="ES22" i="23" s="1"/>
  <c r="ET14" i="23"/>
  <c r="ES12" i="19"/>
  <c r="FA9" i="19"/>
  <c r="FA9" i="20" s="1"/>
  <c r="EX39" i="17"/>
  <c r="EX17" i="17"/>
  <c r="O14" i="30"/>
  <c r="FC22" i="17"/>
  <c r="FC33" i="17"/>
  <c r="FC30" i="17"/>
  <c r="FC20" i="17"/>
  <c r="FD20" i="10"/>
  <c r="FD29" i="10"/>
  <c r="FD28" i="17" s="1"/>
  <c r="FD31" i="10"/>
  <c r="FD30" i="17" s="1"/>
  <c r="FD34" i="10"/>
  <c r="FD33" i="17" s="1"/>
  <c r="FD36" i="10"/>
  <c r="FD35" i="17" s="1"/>
  <c r="FE9" i="10"/>
  <c r="FD27" i="10"/>
  <c r="FD26" i="17" s="1"/>
  <c r="FD30" i="10"/>
  <c r="FD29" i="17" s="1"/>
  <c r="FD35" i="10"/>
  <c r="FD34" i="17" s="1"/>
  <c r="FD25" i="10"/>
  <c r="FD24" i="17" s="1"/>
  <c r="FD21" i="10"/>
  <c r="FD20" i="17" s="1"/>
  <c r="FD22" i="10"/>
  <c r="FD21" i="17" s="1"/>
  <c r="FD24" i="10"/>
  <c r="FD23" i="17" s="1"/>
  <c r="FD33" i="10"/>
  <c r="FD32" i="17" s="1"/>
  <c r="FD28" i="10"/>
  <c r="FD27" i="17" s="1"/>
  <c r="FD32" i="10"/>
  <c r="FD31" i="17" s="1"/>
  <c r="FD23" i="10"/>
  <c r="FD22" i="17" s="1"/>
  <c r="FC31" i="17"/>
  <c r="FC32" i="17"/>
  <c r="FC34" i="17"/>
  <c r="FC24" i="17"/>
  <c r="FC13" i="10"/>
  <c r="FD7" i="10"/>
  <c r="A166" i="37"/>
  <c r="B167" i="37"/>
  <c r="FC27" i="17"/>
  <c r="FC26" i="17"/>
  <c r="FC29" i="17"/>
  <c r="FC21" i="17"/>
  <c r="FB37" i="17"/>
  <c r="FB21" i="19" s="1"/>
  <c r="FB40" i="11"/>
  <c r="FB7" i="17" s="1"/>
  <c r="FB13" i="17" s="1"/>
  <c r="FB55" i="11"/>
  <c r="O7" i="30"/>
  <c r="FC28" i="17"/>
  <c r="FC35" i="17"/>
  <c r="FC23" i="17"/>
  <c r="FC18" i="10"/>
  <c r="EZ17" i="17"/>
  <c r="FC24" i="11"/>
  <c r="FC29" i="11"/>
  <c r="FC32" i="11"/>
  <c r="FC27" i="11"/>
  <c r="FC31" i="11"/>
  <c r="FC35" i="11"/>
  <c r="FC36" i="11"/>
  <c r="P19" i="38"/>
  <c r="FC26" i="11"/>
  <c r="FC28" i="11"/>
  <c r="FC33" i="11"/>
  <c r="FC34" i="11"/>
  <c r="FC25" i="11"/>
  <c r="FC30" i="11"/>
  <c r="FC37" i="11"/>
  <c r="FD20" i="11"/>
  <c r="FA15" i="10"/>
  <c r="FA16" i="10" s="1"/>
  <c r="FA15" i="17" s="1"/>
  <c r="FA19" i="19" s="1"/>
  <c r="N26" i="43" l="1"/>
  <c r="O31" i="30"/>
  <c r="O67" i="30" s="1"/>
  <c r="N9" i="34" s="1"/>
  <c r="EU14" i="23"/>
  <c r="ET17" i="23"/>
  <c r="ET22" i="23" s="1"/>
  <c r="ET12" i="19"/>
  <c r="ES18" i="23"/>
  <c r="ES32" i="19" s="1"/>
  <c r="FC37" i="17"/>
  <c r="FC21" i="19" s="1"/>
  <c r="P29" i="38"/>
  <c r="P47" i="38" s="1"/>
  <c r="FC47" i="11"/>
  <c r="P34" i="38"/>
  <c r="P52" i="38" s="1"/>
  <c r="FC52" i="11"/>
  <c r="FC10" i="17" s="1"/>
  <c r="P28" i="38"/>
  <c r="P46" i="38" s="1"/>
  <c r="FC46" i="11"/>
  <c r="B168" i="37"/>
  <c r="A167" i="37"/>
  <c r="FD37" i="17"/>
  <c r="FD21" i="19" s="1"/>
  <c r="FD18" i="10"/>
  <c r="P36" i="38"/>
  <c r="P54" i="38" s="1"/>
  <c r="FC54" i="11"/>
  <c r="FC12" i="17" s="1"/>
  <c r="P35" i="38"/>
  <c r="P53" i="38" s="1"/>
  <c r="FC53" i="11"/>
  <c r="FC11" i="17" s="1"/>
  <c r="FF9" i="10"/>
  <c r="FE20" i="10"/>
  <c r="FE21" i="10"/>
  <c r="FE20" i="17" s="1"/>
  <c r="FE24" i="10"/>
  <c r="FE22" i="10"/>
  <c r="FE25" i="10"/>
  <c r="FE24" i="17" s="1"/>
  <c r="FE30" i="10"/>
  <c r="FE35" i="10"/>
  <c r="FE31" i="10"/>
  <c r="FE36" i="10"/>
  <c r="FE27" i="10"/>
  <c r="FE33" i="10"/>
  <c r="FE32" i="17" s="1"/>
  <c r="FE28" i="10"/>
  <c r="FE29" i="10"/>
  <c r="FE28" i="17" s="1"/>
  <c r="FE34" i="10"/>
  <c r="FE33" i="17" s="1"/>
  <c r="FE32" i="10"/>
  <c r="FE23" i="10"/>
  <c r="FE22" i="17" s="1"/>
  <c r="P27" i="38"/>
  <c r="P45" i="38" s="1"/>
  <c r="FC45" i="11"/>
  <c r="P24" i="38"/>
  <c r="P42" i="38" s="1"/>
  <c r="FC42" i="11"/>
  <c r="P25" i="38"/>
  <c r="P43" i="38" s="1"/>
  <c r="FC43" i="11"/>
  <c r="P30" i="38"/>
  <c r="P48" i="38" s="1"/>
  <c r="FC48" i="11"/>
  <c r="P23" i="38"/>
  <c r="P41" i="38" s="1"/>
  <c r="FC41" i="11"/>
  <c r="FB14" i="10"/>
  <c r="EQ56" i="11"/>
  <c r="Q6" i="32" s="1"/>
  <c r="Q7" i="32" s="1"/>
  <c r="FD13" i="10"/>
  <c r="FE7" i="10"/>
  <c r="P32" i="38"/>
  <c r="P50" i="38" s="1"/>
  <c r="FC50" i="11"/>
  <c r="FC8" i="17" s="1"/>
  <c r="P31" i="38"/>
  <c r="P49" i="38" s="1"/>
  <c r="FC49" i="11"/>
  <c r="FD25" i="11"/>
  <c r="FD42" i="11" s="1"/>
  <c r="FD29" i="11"/>
  <c r="FD46" i="11" s="1"/>
  <c r="FD32" i="11"/>
  <c r="FD49" i="11" s="1"/>
  <c r="FD36" i="11"/>
  <c r="FD53" i="11" s="1"/>
  <c r="FD11" i="17" s="1"/>
  <c r="FD26" i="11"/>
  <c r="FD43" i="11" s="1"/>
  <c r="FD33" i="11"/>
  <c r="FD50" i="11" s="1"/>
  <c r="FD8" i="17" s="1"/>
  <c r="FD37" i="11"/>
  <c r="FD54" i="11" s="1"/>
  <c r="FD12" i="17" s="1"/>
  <c r="FD27" i="11"/>
  <c r="FD44" i="11" s="1"/>
  <c r="FD30" i="11"/>
  <c r="FD47" i="11" s="1"/>
  <c r="FD34" i="11"/>
  <c r="FD51" i="11" s="1"/>
  <c r="FD9" i="17" s="1"/>
  <c r="FD35" i="11"/>
  <c r="FD52" i="11" s="1"/>
  <c r="FD10" i="17" s="1"/>
  <c r="FD24" i="11"/>
  <c r="FD41" i="11" s="1"/>
  <c r="FD28" i="11"/>
  <c r="FD45" i="11" s="1"/>
  <c r="FD31" i="11"/>
  <c r="FD48" i="11" s="1"/>
  <c r="FE20" i="11"/>
  <c r="P33" i="38"/>
  <c r="P51" i="38" s="1"/>
  <c r="FC51" i="11"/>
  <c r="FC9" i="17" s="1"/>
  <c r="P26" i="38"/>
  <c r="P44" i="38" s="1"/>
  <c r="FC44" i="11"/>
  <c r="FB9" i="19"/>
  <c r="FB9" i="20" s="1"/>
  <c r="FA16" i="17"/>
  <c r="ET18" i="23" l="1"/>
  <c r="ET32" i="19" s="1"/>
  <c r="EV14" i="23"/>
  <c r="EU17" i="23"/>
  <c r="EU22" i="23" s="1"/>
  <c r="EU12" i="19"/>
  <c r="FD40" i="11"/>
  <c r="FD7" i="17" s="1"/>
  <c r="FD13" i="17" s="1"/>
  <c r="FD55" i="11"/>
  <c r="FD14" i="10" s="1"/>
  <c r="FD15" i="10" s="1"/>
  <c r="FD16" i="10" s="1"/>
  <c r="FD15" i="17" s="1"/>
  <c r="O5" i="30"/>
  <c r="Q9" i="32"/>
  <c r="O6" i="30" s="1"/>
  <c r="FE27" i="17"/>
  <c r="FB15" i="10"/>
  <c r="Q14" i="32"/>
  <c r="N3" i="43" s="1"/>
  <c r="FE31" i="17"/>
  <c r="FE34" i="17"/>
  <c r="FE23" i="17"/>
  <c r="A168" i="37"/>
  <c r="B169" i="37"/>
  <c r="FE30" i="17"/>
  <c r="FE21" i="17"/>
  <c r="FF20" i="10"/>
  <c r="FG9" i="10"/>
  <c r="FF27" i="10"/>
  <c r="FF26" i="17" s="1"/>
  <c r="FF30" i="10"/>
  <c r="FF29" i="17" s="1"/>
  <c r="FF35" i="10"/>
  <c r="FF34" i="17" s="1"/>
  <c r="FF29" i="10"/>
  <c r="FF31" i="10"/>
  <c r="FF30" i="17" s="1"/>
  <c r="FF34" i="10"/>
  <c r="FF36" i="10"/>
  <c r="FF35" i="17" s="1"/>
  <c r="FF25" i="10"/>
  <c r="FF21" i="10"/>
  <c r="FF22" i="10"/>
  <c r="FF21" i="17" s="1"/>
  <c r="FF24" i="10"/>
  <c r="FF23" i="17" s="1"/>
  <c r="FF28" i="10"/>
  <c r="FF27" i="17" s="1"/>
  <c r="FF33" i="10"/>
  <c r="FF32" i="10"/>
  <c r="FF31" i="17" s="1"/>
  <c r="FF23" i="10"/>
  <c r="FF22" i="17" s="1"/>
  <c r="FE26" i="11"/>
  <c r="FE43" i="11" s="1"/>
  <c r="FE30" i="11"/>
  <c r="FE47" i="11" s="1"/>
  <c r="FE34" i="11"/>
  <c r="FE51" i="11" s="1"/>
  <c r="FE9" i="17" s="1"/>
  <c r="FE27" i="11"/>
  <c r="FE44" i="11" s="1"/>
  <c r="FE31" i="11"/>
  <c r="FE48" i="11" s="1"/>
  <c r="FE35" i="11"/>
  <c r="FE52" i="11" s="1"/>
  <c r="FE10" i="17" s="1"/>
  <c r="FE24" i="11"/>
  <c r="FE41" i="11" s="1"/>
  <c r="FE28" i="11"/>
  <c r="FE45" i="11" s="1"/>
  <c r="FE32" i="11"/>
  <c r="FE49" i="11" s="1"/>
  <c r="FE36" i="11"/>
  <c r="FE53" i="11" s="1"/>
  <c r="FE11" i="17" s="1"/>
  <c r="FE37" i="11"/>
  <c r="FE54" i="11" s="1"/>
  <c r="FE12" i="17" s="1"/>
  <c r="FE25" i="11"/>
  <c r="FE42" i="11" s="1"/>
  <c r="FE29" i="11"/>
  <c r="FE46" i="11" s="1"/>
  <c r="FE33" i="11"/>
  <c r="FE50" i="11" s="1"/>
  <c r="FE8" i="17" s="1"/>
  <c r="FF20" i="11"/>
  <c r="FE13" i="10"/>
  <c r="FF7" i="10"/>
  <c r="FC40" i="11"/>
  <c r="FC7" i="17" s="1"/>
  <c r="FC13" i="17" s="1"/>
  <c r="FC55" i="11"/>
  <c r="FE26" i="17"/>
  <c r="FE29" i="17"/>
  <c r="FA39" i="17"/>
  <c r="FA17" i="17"/>
  <c r="P55" i="38"/>
  <c r="FE35" i="17"/>
  <c r="FE18" i="10"/>
  <c r="EU18" i="23" l="1"/>
  <c r="EU32" i="19" s="1"/>
  <c r="EV12" i="19"/>
  <c r="EV17" i="23"/>
  <c r="EV22" i="23" s="1"/>
  <c r="EW14" i="23"/>
  <c r="FE37" i="17"/>
  <c r="FE21" i="19" s="1"/>
  <c r="FD9" i="19"/>
  <c r="FF32" i="17"/>
  <c r="FF24" i="17"/>
  <c r="FF28" i="17"/>
  <c r="FH9" i="10"/>
  <c r="FG22" i="10"/>
  <c r="FG21" i="17" s="1"/>
  <c r="FG25" i="10"/>
  <c r="FG24" i="17" s="1"/>
  <c r="FG20" i="10"/>
  <c r="FG21" i="10"/>
  <c r="FG20" i="17" s="1"/>
  <c r="FG24" i="10"/>
  <c r="FG30" i="10"/>
  <c r="FG35" i="10"/>
  <c r="FG31" i="10"/>
  <c r="FG30" i="17" s="1"/>
  <c r="FG36" i="10"/>
  <c r="FG27" i="10"/>
  <c r="FG33" i="10"/>
  <c r="FG32" i="17" s="1"/>
  <c r="FG34" i="10"/>
  <c r="FG33" i="17" s="1"/>
  <c r="FG28" i="10"/>
  <c r="FG27" i="17" s="1"/>
  <c r="FG29" i="10"/>
  <c r="FG28" i="17" s="1"/>
  <c r="FG32" i="10"/>
  <c r="FG31" i="17" s="1"/>
  <c r="FG23" i="10"/>
  <c r="FG22" i="17" s="1"/>
  <c r="O8" i="30"/>
  <c r="FF13" i="10"/>
  <c r="FG7" i="10"/>
  <c r="FF20" i="17"/>
  <c r="B170" i="37"/>
  <c r="A169" i="37"/>
  <c r="FC14" i="10"/>
  <c r="FF18" i="10"/>
  <c r="FB16" i="10"/>
  <c r="FB15" i="17" s="1"/>
  <c r="Q15" i="32"/>
  <c r="O41" i="30"/>
  <c r="O45" i="30"/>
  <c r="O43" i="30"/>
  <c r="O66" i="30"/>
  <c r="N8" i="34" s="1"/>
  <c r="O60" i="30"/>
  <c r="O56" i="30"/>
  <c r="O59" i="30"/>
  <c r="O48" i="30"/>
  <c r="O58" i="30"/>
  <c r="O44" i="30"/>
  <c r="O52" i="30"/>
  <c r="O49" i="30"/>
  <c r="O46" i="30"/>
  <c r="O40" i="30"/>
  <c r="O51" i="30"/>
  <c r="O57" i="30"/>
  <c r="O42" i="30"/>
  <c r="O64" i="30"/>
  <c r="O54" i="30"/>
  <c r="O53" i="30"/>
  <c r="O50" i="30"/>
  <c r="O47" i="30"/>
  <c r="O55" i="30"/>
  <c r="O3" i="30"/>
  <c r="FC9" i="19"/>
  <c r="FC9" i="20" s="1"/>
  <c r="FF24" i="11"/>
  <c r="FF41" i="11" s="1"/>
  <c r="FF28" i="11"/>
  <c r="FF45" i="11" s="1"/>
  <c r="FF32" i="11"/>
  <c r="FF49" i="11" s="1"/>
  <c r="FF36" i="11"/>
  <c r="FF53" i="11" s="1"/>
  <c r="FF11" i="17" s="1"/>
  <c r="FF25" i="11"/>
  <c r="FF42" i="11" s="1"/>
  <c r="FF29" i="11"/>
  <c r="FF46" i="11" s="1"/>
  <c r="FF33" i="11"/>
  <c r="FF50" i="11" s="1"/>
  <c r="FF8" i="17" s="1"/>
  <c r="FF37" i="11"/>
  <c r="FF54" i="11" s="1"/>
  <c r="FF12" i="17" s="1"/>
  <c r="FF26" i="11"/>
  <c r="FF43" i="11" s="1"/>
  <c r="FF30" i="11"/>
  <c r="FF47" i="11" s="1"/>
  <c r="FF34" i="11"/>
  <c r="FF51" i="11" s="1"/>
  <c r="FF9" i="17" s="1"/>
  <c r="FF27" i="11"/>
  <c r="FF44" i="11" s="1"/>
  <c r="FF31" i="11"/>
  <c r="FF48" i="11" s="1"/>
  <c r="FF35" i="11"/>
  <c r="FF52" i="11" s="1"/>
  <c r="FF10" i="17" s="1"/>
  <c r="FG20" i="11"/>
  <c r="FE40" i="11"/>
  <c r="FE7" i="17" s="1"/>
  <c r="FE13" i="17" s="1"/>
  <c r="FE55" i="11"/>
  <c r="FE14" i="10" s="1"/>
  <c r="FE15" i="10" s="1"/>
  <c r="FE16" i="10" s="1"/>
  <c r="FE15" i="17" s="1"/>
  <c r="FF33" i="17"/>
  <c r="FD16" i="17"/>
  <c r="FD39" i="17" s="1"/>
  <c r="FD19" i="19"/>
  <c r="O9" i="30" l="1"/>
  <c r="O10" i="30" s="1"/>
  <c r="O32" i="30" s="1"/>
  <c r="N4" i="43"/>
  <c r="EV18" i="23"/>
  <c r="EV32" i="19" s="1"/>
  <c r="EW17" i="23"/>
  <c r="EW22" i="23" s="1"/>
  <c r="EW12" i="19"/>
  <c r="EX14" i="23"/>
  <c r="FF37" i="17"/>
  <c r="FF21" i="19" s="1"/>
  <c r="FE19" i="19"/>
  <c r="FD9" i="20"/>
  <c r="FE9" i="19"/>
  <c r="FE9" i="20" s="1"/>
  <c r="FE16" i="17"/>
  <c r="FE39" i="17" s="1"/>
  <c r="N6" i="34"/>
  <c r="O68" i="30"/>
  <c r="FH20" i="10"/>
  <c r="FI9" i="10"/>
  <c r="FH29" i="10"/>
  <c r="FH31" i="10"/>
  <c r="FH30" i="17" s="1"/>
  <c r="FH34" i="10"/>
  <c r="FH36" i="10"/>
  <c r="FH35" i="17" s="1"/>
  <c r="FH27" i="10"/>
  <c r="FH26" i="17" s="1"/>
  <c r="FH30" i="10"/>
  <c r="FH29" i="17" s="1"/>
  <c r="FH35" i="10"/>
  <c r="FH34" i="17" s="1"/>
  <c r="FH25" i="10"/>
  <c r="FH21" i="10"/>
  <c r="FH20" i="17" s="1"/>
  <c r="FH22" i="10"/>
  <c r="FH24" i="10"/>
  <c r="FH23" i="17" s="1"/>
  <c r="FH33" i="10"/>
  <c r="FH32" i="17" s="1"/>
  <c r="FH28" i="10"/>
  <c r="FH32" i="10"/>
  <c r="FH23" i="10"/>
  <c r="FH22" i="17" s="1"/>
  <c r="FC15" i="10"/>
  <c r="FG13" i="10"/>
  <c r="FH7" i="10"/>
  <c r="Q16" i="32"/>
  <c r="FG34" i="17"/>
  <c r="FG18" i="10"/>
  <c r="FB19" i="19"/>
  <c r="FB16" i="17"/>
  <c r="FG26" i="11"/>
  <c r="FG43" i="11" s="1"/>
  <c r="FG30" i="11"/>
  <c r="FG47" i="11" s="1"/>
  <c r="FG34" i="11"/>
  <c r="FG51" i="11" s="1"/>
  <c r="FG9" i="17" s="1"/>
  <c r="FG27" i="11"/>
  <c r="FG44" i="11" s="1"/>
  <c r="FG31" i="11"/>
  <c r="FG48" i="11" s="1"/>
  <c r="FG35" i="11"/>
  <c r="FG52" i="11" s="1"/>
  <c r="FG10" i="17" s="1"/>
  <c r="FG24" i="11"/>
  <c r="FG41" i="11" s="1"/>
  <c r="FG28" i="11"/>
  <c r="FG45" i="11" s="1"/>
  <c r="FG32" i="11"/>
  <c r="FG49" i="11" s="1"/>
  <c r="FG25" i="11"/>
  <c r="FG42" i="11" s="1"/>
  <c r="FG37" i="11"/>
  <c r="FG54" i="11" s="1"/>
  <c r="FG12" i="17" s="1"/>
  <c r="FG29" i="11"/>
  <c r="FG46" i="11" s="1"/>
  <c r="FG33" i="11"/>
  <c r="FG50" i="11" s="1"/>
  <c r="FG8" i="17" s="1"/>
  <c r="FG36" i="11"/>
  <c r="FG53" i="11" s="1"/>
  <c r="FG11" i="17" s="1"/>
  <c r="FH20" i="11"/>
  <c r="A170" i="37"/>
  <c r="B171" i="37"/>
  <c r="FG26" i="17"/>
  <c r="FG29" i="17"/>
  <c r="FF40" i="11"/>
  <c r="FF7" i="17" s="1"/>
  <c r="FF13" i="17" s="1"/>
  <c r="FF55" i="11"/>
  <c r="FG35" i="17"/>
  <c r="FG23" i="17"/>
  <c r="FD17" i="17"/>
  <c r="Q17" i="32" l="1"/>
  <c r="N5" i="43"/>
  <c r="EY14" i="23"/>
  <c r="EX17" i="23"/>
  <c r="EX22" i="23" s="1"/>
  <c r="EX12" i="19"/>
  <c r="EW18" i="23"/>
  <c r="EW32" i="19" s="1"/>
  <c r="FG37" i="17"/>
  <c r="FG21" i="19" s="1"/>
  <c r="O39" i="30"/>
  <c r="FF9" i="19"/>
  <c r="FF9" i="20" s="1"/>
  <c r="FG40" i="11"/>
  <c r="FG7" i="17" s="1"/>
  <c r="FG13" i="17" s="1"/>
  <c r="FG55" i="11"/>
  <c r="FG14" i="10" s="1"/>
  <c r="FG15" i="10" s="1"/>
  <c r="FG16" i="10" s="1"/>
  <c r="FG15" i="17" s="1"/>
  <c r="FB39" i="17"/>
  <c r="FB17" i="17"/>
  <c r="FH13" i="10"/>
  <c r="FI7" i="10"/>
  <c r="FH31" i="17"/>
  <c r="FH21" i="17"/>
  <c r="O81" i="30"/>
  <c r="F17" i="35" s="1"/>
  <c r="O75" i="30"/>
  <c r="FH33" i="17"/>
  <c r="FH18" i="10"/>
  <c r="FH25" i="11"/>
  <c r="FH42" i="11" s="1"/>
  <c r="FH28" i="11"/>
  <c r="FH45" i="11" s="1"/>
  <c r="FH31" i="11"/>
  <c r="FH48" i="11" s="1"/>
  <c r="FH35" i="11"/>
  <c r="FH52" i="11" s="1"/>
  <c r="FH10" i="17" s="1"/>
  <c r="FH24" i="11"/>
  <c r="FH41" i="11" s="1"/>
  <c r="FH29" i="11"/>
  <c r="FH46" i="11" s="1"/>
  <c r="FH32" i="11"/>
  <c r="FH49" i="11" s="1"/>
  <c r="FH36" i="11"/>
  <c r="FH53" i="11" s="1"/>
  <c r="FH11" i="17" s="1"/>
  <c r="FH26" i="11"/>
  <c r="FH43" i="11" s="1"/>
  <c r="FH33" i="11"/>
  <c r="FH50" i="11" s="1"/>
  <c r="FH8" i="17" s="1"/>
  <c r="FH37" i="11"/>
  <c r="FH54" i="11" s="1"/>
  <c r="FH12" i="17" s="1"/>
  <c r="FH30" i="11"/>
  <c r="FH47" i="11" s="1"/>
  <c r="FH34" i="11"/>
  <c r="FH51" i="11" s="1"/>
  <c r="FH9" i="17" s="1"/>
  <c r="FH27" i="11"/>
  <c r="FH44" i="11" s="1"/>
  <c r="FI20" i="11"/>
  <c r="B172" i="37"/>
  <c r="A171" i="37"/>
  <c r="FH27" i="17"/>
  <c r="FH28" i="17"/>
  <c r="FF14" i="10"/>
  <c r="FC16" i="10"/>
  <c r="FC15" i="17" s="1"/>
  <c r="FH24" i="17"/>
  <c r="FJ9" i="10"/>
  <c r="FI20" i="10"/>
  <c r="FI21" i="10"/>
  <c r="FI24" i="10"/>
  <c r="FI23" i="17" s="1"/>
  <c r="FI22" i="10"/>
  <c r="FI21" i="17" s="1"/>
  <c r="FI25" i="10"/>
  <c r="FI24" i="17" s="1"/>
  <c r="FI30" i="10"/>
  <c r="FI35" i="10"/>
  <c r="FI34" i="17" s="1"/>
  <c r="FI31" i="10"/>
  <c r="FI36" i="10"/>
  <c r="FI27" i="10"/>
  <c r="FI33" i="10"/>
  <c r="FI28" i="10"/>
  <c r="FI27" i="17" s="1"/>
  <c r="FI29" i="10"/>
  <c r="FI28" i="17" s="1"/>
  <c r="FI34" i="10"/>
  <c r="FI33" i="17" s="1"/>
  <c r="FI32" i="10"/>
  <c r="FI31" i="17" s="1"/>
  <c r="FI23" i="10"/>
  <c r="FI22" i="17" s="1"/>
  <c r="FE17" i="17"/>
  <c r="FH37" i="17" l="1"/>
  <c r="FH21" i="19" s="1"/>
  <c r="EX18" i="23"/>
  <c r="EX32" i="19" s="1"/>
  <c r="EZ14" i="23"/>
  <c r="EY17" i="23"/>
  <c r="EY22" i="23" s="1"/>
  <c r="EY12" i="19"/>
  <c r="FG19" i="19"/>
  <c r="FG9" i="19"/>
  <c r="FG9" i="20" s="1"/>
  <c r="FG16" i="17"/>
  <c r="FG39" i="17" s="1"/>
  <c r="FI20" i="17"/>
  <c r="FI35" i="17"/>
  <c r="FI18" i="10"/>
  <c r="FC19" i="19"/>
  <c r="FC16" i="17"/>
  <c r="FI13" i="10"/>
  <c r="FJ7" i="10"/>
  <c r="FI26" i="17"/>
  <c r="FI29" i="17"/>
  <c r="FI25" i="11"/>
  <c r="FI42" i="11" s="1"/>
  <c r="FI29" i="11"/>
  <c r="FI46" i="11" s="1"/>
  <c r="FI33" i="11"/>
  <c r="FI50" i="11" s="1"/>
  <c r="FI8" i="17" s="1"/>
  <c r="FI37" i="11"/>
  <c r="FI54" i="11" s="1"/>
  <c r="FI12" i="17" s="1"/>
  <c r="FI26" i="11"/>
  <c r="FI43" i="11" s="1"/>
  <c r="FI30" i="11"/>
  <c r="FI47" i="11" s="1"/>
  <c r="FI34" i="11"/>
  <c r="FI51" i="11" s="1"/>
  <c r="FI9" i="17" s="1"/>
  <c r="FI27" i="11"/>
  <c r="FI44" i="11" s="1"/>
  <c r="FI31" i="11"/>
  <c r="FI48" i="11" s="1"/>
  <c r="FI35" i="11"/>
  <c r="FI52" i="11" s="1"/>
  <c r="FI10" i="17" s="1"/>
  <c r="FI32" i="11"/>
  <c r="FI49" i="11" s="1"/>
  <c r="FI36" i="11"/>
  <c r="FI53" i="11" s="1"/>
  <c r="FI11" i="17" s="1"/>
  <c r="FI24" i="11"/>
  <c r="FI41" i="11" s="1"/>
  <c r="FI28" i="11"/>
  <c r="FI45" i="11" s="1"/>
  <c r="FJ20" i="11"/>
  <c r="FI30" i="17"/>
  <c r="FK9" i="10"/>
  <c r="FJ27" i="10"/>
  <c r="FJ26" i="17" s="1"/>
  <c r="FJ30" i="10"/>
  <c r="FJ29" i="17" s="1"/>
  <c r="FJ35" i="10"/>
  <c r="FJ34" i="17" s="1"/>
  <c r="FJ29" i="10"/>
  <c r="FJ31" i="10"/>
  <c r="FJ30" i="17" s="1"/>
  <c r="FJ34" i="10"/>
  <c r="FJ33" i="17" s="1"/>
  <c r="FJ36" i="10"/>
  <c r="FJ35" i="17" s="1"/>
  <c r="FJ25" i="10"/>
  <c r="FJ24" i="17" s="1"/>
  <c r="FJ21" i="10"/>
  <c r="FJ20" i="17" s="1"/>
  <c r="FJ22" i="10"/>
  <c r="FJ24" i="10"/>
  <c r="FJ23" i="17" s="1"/>
  <c r="FJ20" i="10"/>
  <c r="FJ33" i="10"/>
  <c r="FJ32" i="17" s="1"/>
  <c r="FJ28" i="10"/>
  <c r="FJ27" i="17" s="1"/>
  <c r="FJ32" i="10"/>
  <c r="FJ31" i="17" s="1"/>
  <c r="FJ23" i="10"/>
  <c r="FJ22" i="17" s="1"/>
  <c r="FH40" i="11"/>
  <c r="FH7" i="17" s="1"/>
  <c r="FH13" i="17" s="1"/>
  <c r="FH55" i="11"/>
  <c r="FI32" i="17"/>
  <c r="FF15" i="10"/>
  <c r="FF16" i="10" s="1"/>
  <c r="FF15" i="17" s="1"/>
  <c r="A172" i="37"/>
  <c r="B173" i="37"/>
  <c r="EY18" i="23" l="1"/>
  <c r="EY32" i="19" s="1"/>
  <c r="EZ12" i="19"/>
  <c r="EZ17" i="23"/>
  <c r="EZ22" i="23" s="1"/>
  <c r="FA14" i="23"/>
  <c r="FI37" i="17"/>
  <c r="FI21" i="19" s="1"/>
  <c r="FG17" i="17"/>
  <c r="B174" i="37"/>
  <c r="A173" i="37"/>
  <c r="FH9" i="19"/>
  <c r="FH9" i="20" s="1"/>
  <c r="FJ21" i="17"/>
  <c r="FI40" i="11"/>
  <c r="FI7" i="17" s="1"/>
  <c r="FI13" i="17" s="1"/>
  <c r="FI55" i="11"/>
  <c r="FI14" i="10" s="1"/>
  <c r="FI15" i="10" s="1"/>
  <c r="FI16" i="10" s="1"/>
  <c r="FI15" i="17" s="1"/>
  <c r="FH14" i="10"/>
  <c r="FJ13" i="10"/>
  <c r="FK7" i="10"/>
  <c r="FC39" i="17"/>
  <c r="FC17" i="17"/>
  <c r="FF16" i="17"/>
  <c r="FF19" i="19"/>
  <c r="FJ18" i="10"/>
  <c r="FJ28" i="17"/>
  <c r="FL9" i="10"/>
  <c r="FK20" i="10"/>
  <c r="FK22" i="10"/>
  <c r="FK21" i="17" s="1"/>
  <c r="FK25" i="10"/>
  <c r="FK24" i="17" s="1"/>
  <c r="FK21" i="10"/>
  <c r="FK20" i="17" s="1"/>
  <c r="FK24" i="10"/>
  <c r="FK23" i="17" s="1"/>
  <c r="FK30" i="10"/>
  <c r="FK29" i="17" s="1"/>
  <c r="FK35" i="10"/>
  <c r="FK34" i="17" s="1"/>
  <c r="FK31" i="10"/>
  <c r="FK30" i="17" s="1"/>
  <c r="FK36" i="10"/>
  <c r="FK35" i="17" s="1"/>
  <c r="FK27" i="10"/>
  <c r="FK33" i="10"/>
  <c r="FK32" i="17" s="1"/>
  <c r="FK34" i="10"/>
  <c r="FK33" i="17" s="1"/>
  <c r="FK29" i="10"/>
  <c r="FK28" i="17" s="1"/>
  <c r="FK28" i="10"/>
  <c r="FK27" i="17" s="1"/>
  <c r="FK32" i="10"/>
  <c r="FK31" i="17" s="1"/>
  <c r="FK23" i="10"/>
  <c r="FK22" i="17" s="1"/>
  <c r="FJ27" i="11"/>
  <c r="FJ44" i="11" s="1"/>
  <c r="FJ31" i="11"/>
  <c r="FJ48" i="11" s="1"/>
  <c r="FJ35" i="11"/>
  <c r="FJ52" i="11" s="1"/>
  <c r="FJ10" i="17" s="1"/>
  <c r="FJ24" i="11"/>
  <c r="FJ41" i="11" s="1"/>
  <c r="FJ28" i="11"/>
  <c r="FJ45" i="11" s="1"/>
  <c r="FJ32" i="11"/>
  <c r="FJ49" i="11" s="1"/>
  <c r="FJ36" i="11"/>
  <c r="FJ53" i="11" s="1"/>
  <c r="FJ11" i="17" s="1"/>
  <c r="FJ25" i="11"/>
  <c r="FJ42" i="11" s="1"/>
  <c r="FJ29" i="11"/>
  <c r="FJ46" i="11" s="1"/>
  <c r="FJ33" i="11"/>
  <c r="FJ50" i="11" s="1"/>
  <c r="FJ8" i="17" s="1"/>
  <c r="FJ37" i="11"/>
  <c r="FJ54" i="11" s="1"/>
  <c r="FJ12" i="17" s="1"/>
  <c r="FJ34" i="11"/>
  <c r="FJ51" i="11" s="1"/>
  <c r="FJ9" i="17" s="1"/>
  <c r="FJ26" i="11"/>
  <c r="FJ43" i="11" s="1"/>
  <c r="FJ30" i="11"/>
  <c r="FJ47" i="11" s="1"/>
  <c r="FK20" i="11"/>
  <c r="EZ18" i="23" l="1"/>
  <c r="EZ32" i="19" s="1"/>
  <c r="FA17" i="23"/>
  <c r="FA22" i="23" s="1"/>
  <c r="FA12" i="19"/>
  <c r="FB14" i="23"/>
  <c r="FI19" i="19"/>
  <c r="FJ37" i="17"/>
  <c r="FJ21" i="19" s="1"/>
  <c r="FK13" i="10"/>
  <c r="FL7" i="10"/>
  <c r="FH15" i="10"/>
  <c r="A174" i="37"/>
  <c r="B175" i="37"/>
  <c r="FK18" i="10"/>
  <c r="FK26" i="17"/>
  <c r="FK37" i="17" s="1"/>
  <c r="FK21" i="19" s="1"/>
  <c r="FF39" i="17"/>
  <c r="FF17" i="17"/>
  <c r="FI9" i="19"/>
  <c r="FI9" i="20" s="1"/>
  <c r="FI16" i="17"/>
  <c r="FI39" i="17" s="1"/>
  <c r="FJ40" i="11"/>
  <c r="FJ7" i="17" s="1"/>
  <c r="FJ13" i="17" s="1"/>
  <c r="FJ55" i="11"/>
  <c r="FL21" i="10"/>
  <c r="FL20" i="17" s="1"/>
  <c r="FL20" i="10"/>
  <c r="FM9" i="10"/>
  <c r="FL29" i="10"/>
  <c r="FL28" i="17" s="1"/>
  <c r="FL31" i="10"/>
  <c r="FL30" i="17" s="1"/>
  <c r="FL34" i="10"/>
  <c r="FL33" i="17" s="1"/>
  <c r="FL36" i="10"/>
  <c r="FL35" i="17" s="1"/>
  <c r="FL27" i="10"/>
  <c r="FL26" i="17" s="1"/>
  <c r="FL30" i="10"/>
  <c r="FL29" i="17" s="1"/>
  <c r="FL35" i="10"/>
  <c r="FL34" i="17" s="1"/>
  <c r="FL25" i="10"/>
  <c r="FL24" i="17" s="1"/>
  <c r="FL22" i="10"/>
  <c r="FL21" i="17" s="1"/>
  <c r="FL24" i="10"/>
  <c r="FL23" i="17" s="1"/>
  <c r="FL33" i="10"/>
  <c r="FL32" i="17" s="1"/>
  <c r="FL28" i="10"/>
  <c r="FL27" i="17" s="1"/>
  <c r="FL32" i="10"/>
  <c r="FL31" i="17" s="1"/>
  <c r="FL23" i="10"/>
  <c r="FL22" i="17" s="1"/>
  <c r="FK25" i="11"/>
  <c r="FK42" i="11" s="1"/>
  <c r="FK29" i="11"/>
  <c r="FK46" i="11" s="1"/>
  <c r="FK33" i="11"/>
  <c r="FK50" i="11" s="1"/>
  <c r="FK8" i="17" s="1"/>
  <c r="FK37" i="11"/>
  <c r="FK54" i="11" s="1"/>
  <c r="FK12" i="17" s="1"/>
  <c r="FK26" i="11"/>
  <c r="FK43" i="11" s="1"/>
  <c r="FK30" i="11"/>
  <c r="FK47" i="11" s="1"/>
  <c r="FK34" i="11"/>
  <c r="FK51" i="11" s="1"/>
  <c r="FK9" i="17" s="1"/>
  <c r="FK27" i="11"/>
  <c r="FK44" i="11" s="1"/>
  <c r="FK31" i="11"/>
  <c r="FK48" i="11" s="1"/>
  <c r="FK35" i="11"/>
  <c r="FK52" i="11" s="1"/>
  <c r="FK10" i="17" s="1"/>
  <c r="FK36" i="11"/>
  <c r="FK53" i="11" s="1"/>
  <c r="FK11" i="17" s="1"/>
  <c r="FK24" i="11"/>
  <c r="FK41" i="11" s="1"/>
  <c r="FK28" i="11"/>
  <c r="FK45" i="11" s="1"/>
  <c r="FK32" i="11"/>
  <c r="FK49" i="11" s="1"/>
  <c r="FL20" i="11"/>
  <c r="FC14" i="23" l="1"/>
  <c r="FB12" i="19"/>
  <c r="FB17" i="23"/>
  <c r="FB22" i="23" s="1"/>
  <c r="FA18" i="23"/>
  <c r="FA32" i="19" s="1"/>
  <c r="FJ9" i="19"/>
  <c r="FJ9" i="20" s="1"/>
  <c r="A175" i="37"/>
  <c r="B176" i="37"/>
  <c r="FL13" i="10"/>
  <c r="FM7" i="10"/>
  <c r="FL18" i="10"/>
  <c r="FN9" i="10"/>
  <c r="FM20" i="10"/>
  <c r="FM27" i="10"/>
  <c r="FM26" i="17" s="1"/>
  <c r="FM30" i="10"/>
  <c r="FM29" i="17" s="1"/>
  <c r="FM35" i="10"/>
  <c r="FM34" i="17" s="1"/>
  <c r="FM22" i="10"/>
  <c r="FM21" i="17" s="1"/>
  <c r="FM25" i="10"/>
  <c r="FM24" i="17" s="1"/>
  <c r="FM29" i="10"/>
  <c r="FM28" i="17" s="1"/>
  <c r="FM31" i="10"/>
  <c r="FM30" i="17" s="1"/>
  <c r="FM34" i="10"/>
  <c r="FM33" i="17" s="1"/>
  <c r="FM36" i="10"/>
  <c r="FM35" i="17" s="1"/>
  <c r="FM21" i="10"/>
  <c r="FM20" i="17" s="1"/>
  <c r="FM24" i="10"/>
  <c r="FM23" i="17" s="1"/>
  <c r="FM28" i="10"/>
  <c r="FM27" i="17" s="1"/>
  <c r="FM33" i="10"/>
  <c r="FM32" i="17" s="1"/>
  <c r="FM32" i="10"/>
  <c r="FM31" i="17" s="1"/>
  <c r="FM23" i="10"/>
  <c r="FM22" i="17" s="1"/>
  <c r="FJ14" i="10"/>
  <c r="FK55" i="11"/>
  <c r="FK14" i="10" s="1"/>
  <c r="FK15" i="10" s="1"/>
  <c r="FK16" i="10" s="1"/>
  <c r="FK15" i="17" s="1"/>
  <c r="FK19" i="19" s="1"/>
  <c r="FK40" i="11"/>
  <c r="FK7" i="17" s="1"/>
  <c r="FK13" i="17" s="1"/>
  <c r="FL37" i="17"/>
  <c r="FL21" i="19" s="1"/>
  <c r="FL27" i="11"/>
  <c r="FL44" i="11" s="1"/>
  <c r="FL30" i="11"/>
  <c r="FL47" i="11" s="1"/>
  <c r="FL34" i="11"/>
  <c r="FL51" i="11" s="1"/>
  <c r="FL9" i="17" s="1"/>
  <c r="FL24" i="11"/>
  <c r="FL41" i="11" s="1"/>
  <c r="FL28" i="11"/>
  <c r="FL45" i="11" s="1"/>
  <c r="FL31" i="11"/>
  <c r="FL48" i="11" s="1"/>
  <c r="FL35" i="11"/>
  <c r="FL52" i="11" s="1"/>
  <c r="FL10" i="17" s="1"/>
  <c r="FL25" i="11"/>
  <c r="FL42" i="11" s="1"/>
  <c r="FL29" i="11"/>
  <c r="FL46" i="11" s="1"/>
  <c r="FL32" i="11"/>
  <c r="FL49" i="11" s="1"/>
  <c r="FL36" i="11"/>
  <c r="FL53" i="11" s="1"/>
  <c r="FL11" i="17" s="1"/>
  <c r="FL37" i="11"/>
  <c r="FL54" i="11" s="1"/>
  <c r="FL12" i="17" s="1"/>
  <c r="FL26" i="11"/>
  <c r="FL43" i="11" s="1"/>
  <c r="FL33" i="11"/>
  <c r="FL50" i="11" s="1"/>
  <c r="FL8" i="17" s="1"/>
  <c r="FM20" i="11"/>
  <c r="FI17" i="17"/>
  <c r="FH16" i="10"/>
  <c r="FH15" i="17" s="1"/>
  <c r="FB18" i="23" l="1"/>
  <c r="FB32" i="19" s="1"/>
  <c r="FC12" i="19"/>
  <c r="FD14" i="23"/>
  <c r="FC17" i="23"/>
  <c r="FC22" i="23" s="1"/>
  <c r="FM13" i="10"/>
  <c r="FN7" i="10"/>
  <c r="FK9" i="19"/>
  <c r="FK9" i="20" s="1"/>
  <c r="FK16" i="17"/>
  <c r="FK39" i="17" s="1"/>
  <c r="FL40" i="11"/>
  <c r="FL7" i="17" s="1"/>
  <c r="FL13" i="17" s="1"/>
  <c r="FL55" i="11"/>
  <c r="FJ15" i="10"/>
  <c r="FM18" i="10"/>
  <c r="FM24" i="11"/>
  <c r="FM41" i="11" s="1"/>
  <c r="FM28" i="11"/>
  <c r="FM45" i="11" s="1"/>
  <c r="FM32" i="11"/>
  <c r="FM49" i="11" s="1"/>
  <c r="FM36" i="11"/>
  <c r="FM53" i="11" s="1"/>
  <c r="FM11" i="17" s="1"/>
  <c r="FM25" i="11"/>
  <c r="FM42" i="11" s="1"/>
  <c r="FM29" i="11"/>
  <c r="FM46" i="11" s="1"/>
  <c r="FM33" i="11"/>
  <c r="FM50" i="11" s="1"/>
  <c r="FM8" i="17" s="1"/>
  <c r="FM37" i="11"/>
  <c r="FM54" i="11" s="1"/>
  <c r="FM12" i="17" s="1"/>
  <c r="FM26" i="11"/>
  <c r="FM43" i="11" s="1"/>
  <c r="FM30" i="11"/>
  <c r="FM47" i="11" s="1"/>
  <c r="FM34" i="11"/>
  <c r="FM51" i="11" s="1"/>
  <c r="FM9" i="17" s="1"/>
  <c r="FM27" i="11"/>
  <c r="FM44" i="11" s="1"/>
  <c r="FM31" i="11"/>
  <c r="FM48" i="11" s="1"/>
  <c r="FM35" i="11"/>
  <c r="FM52" i="11" s="1"/>
  <c r="FM10" i="17" s="1"/>
  <c r="FN20" i="11"/>
  <c r="FM37" i="17"/>
  <c r="FM21" i="19" s="1"/>
  <c r="FN22" i="10"/>
  <c r="FN25" i="10"/>
  <c r="FN20" i="10"/>
  <c r="FN29" i="10"/>
  <c r="FN31" i="10"/>
  <c r="FN34" i="10"/>
  <c r="FN36" i="10"/>
  <c r="FO9" i="10"/>
  <c r="FN21" i="10"/>
  <c r="FN24" i="10"/>
  <c r="FN27" i="10"/>
  <c r="FN28" i="10"/>
  <c r="FN30" i="10"/>
  <c r="FN35" i="10"/>
  <c r="FN33" i="10"/>
  <c r="FN32" i="10"/>
  <c r="FN23" i="10"/>
  <c r="A176" i="37"/>
  <c r="B177" i="37"/>
  <c r="FH16" i="17"/>
  <c r="FH19" i="19"/>
  <c r="FC18" i="23" l="1"/>
  <c r="FC32" i="19" s="1"/>
  <c r="FD12" i="19"/>
  <c r="FD17" i="23"/>
  <c r="FD22" i="23" s="1"/>
  <c r="FE14" i="23"/>
  <c r="FK17" i="17"/>
  <c r="FH39" i="17"/>
  <c r="FH17" i="17"/>
  <c r="FP9" i="10"/>
  <c r="FO29" i="10"/>
  <c r="FO31" i="10"/>
  <c r="FO34" i="10"/>
  <c r="FO36" i="10"/>
  <c r="FO21" i="10"/>
  <c r="FO24" i="10"/>
  <c r="FO27" i="10"/>
  <c r="FO30" i="10"/>
  <c r="FO35" i="10"/>
  <c r="FO25" i="10"/>
  <c r="FO20" i="10"/>
  <c r="FO22" i="10"/>
  <c r="FO33" i="10"/>
  <c r="FO28" i="10"/>
  <c r="FO32" i="10"/>
  <c r="FO23" i="10"/>
  <c r="FL9" i="19"/>
  <c r="FL9" i="20" s="1"/>
  <c r="A177" i="37"/>
  <c r="B178" i="37"/>
  <c r="FN32" i="17"/>
  <c r="R33" i="32"/>
  <c r="FN26" i="17"/>
  <c r="R27" i="32"/>
  <c r="FN35" i="17"/>
  <c r="R36" i="32"/>
  <c r="FN18" i="10"/>
  <c r="FC38" i="10" s="1"/>
  <c r="R20" i="32"/>
  <c r="FN26" i="11"/>
  <c r="FN43" i="11" s="1"/>
  <c r="FN30" i="11"/>
  <c r="FN47" i="11" s="1"/>
  <c r="FN34" i="11"/>
  <c r="FN51" i="11" s="1"/>
  <c r="FN9" i="17" s="1"/>
  <c r="FN27" i="11"/>
  <c r="FN44" i="11" s="1"/>
  <c r="FN31" i="11"/>
  <c r="FN48" i="11" s="1"/>
  <c r="FN35" i="11"/>
  <c r="FN52" i="11" s="1"/>
  <c r="FN10" i="17" s="1"/>
  <c r="FN24" i="11"/>
  <c r="FN41" i="11" s="1"/>
  <c r="FN28" i="11"/>
  <c r="FN45" i="11" s="1"/>
  <c r="FN32" i="11"/>
  <c r="FN49" i="11" s="1"/>
  <c r="FN36" i="11"/>
  <c r="FN53" i="11" s="1"/>
  <c r="FN11" i="17" s="1"/>
  <c r="FN25" i="11"/>
  <c r="FN42" i="11" s="1"/>
  <c r="FN29" i="11"/>
  <c r="FN46" i="11" s="1"/>
  <c r="FN33" i="11"/>
  <c r="FN50" i="11" s="1"/>
  <c r="FN8" i="17" s="1"/>
  <c r="FN37" i="11"/>
  <c r="FN54" i="11" s="1"/>
  <c r="FN12" i="17" s="1"/>
  <c r="FO20" i="11"/>
  <c r="FN34" i="17"/>
  <c r="R35" i="32"/>
  <c r="FN23" i="17"/>
  <c r="R24" i="32"/>
  <c r="FN33" i="17"/>
  <c r="R34" i="32"/>
  <c r="FN24" i="17"/>
  <c r="R25" i="32"/>
  <c r="FJ16" i="10"/>
  <c r="FJ15" i="17" s="1"/>
  <c r="FN31" i="17"/>
  <c r="R32" i="32"/>
  <c r="FN27" i="17"/>
  <c r="R28" i="32"/>
  <c r="FN28" i="17"/>
  <c r="R29" i="32"/>
  <c r="FN22" i="17"/>
  <c r="R23" i="32"/>
  <c r="FN29" i="17"/>
  <c r="R30" i="32"/>
  <c r="FN20" i="17"/>
  <c r="R21" i="32"/>
  <c r="O9" i="43" s="1"/>
  <c r="FN30" i="17"/>
  <c r="R31" i="32"/>
  <c r="FN21" i="17"/>
  <c r="R22" i="32"/>
  <c r="FM55" i="11"/>
  <c r="FM14" i="10" s="1"/>
  <c r="FM15" i="10" s="1"/>
  <c r="FM16" i="10" s="1"/>
  <c r="FM15" i="17" s="1"/>
  <c r="FM19" i="19" s="1"/>
  <c r="FM40" i="11"/>
  <c r="FM7" i="17" s="1"/>
  <c r="FM13" i="17" s="1"/>
  <c r="FL14" i="10"/>
  <c r="FN13" i="10"/>
  <c r="R13" i="32" s="1"/>
  <c r="O2" i="43" s="1"/>
  <c r="FO7" i="10"/>
  <c r="FD18" i="23" l="1"/>
  <c r="FD32" i="19" s="1"/>
  <c r="R38" i="32"/>
  <c r="P17" i="30"/>
  <c r="O12" i="43"/>
  <c r="P22" i="30"/>
  <c r="O17" i="43"/>
  <c r="P16" i="30"/>
  <c r="O11" i="43"/>
  <c r="P23" i="30"/>
  <c r="O18" i="43"/>
  <c r="P25" i="30"/>
  <c r="O20" i="43"/>
  <c r="P27" i="30"/>
  <c r="O22" i="43"/>
  <c r="P20" i="30"/>
  <c r="O15" i="43"/>
  <c r="P15" i="30"/>
  <c r="O10" i="43"/>
  <c r="P26" i="30"/>
  <c r="O21" i="43"/>
  <c r="P24" i="30"/>
  <c r="O19" i="43"/>
  <c r="P28" i="30"/>
  <c r="O23" i="43"/>
  <c r="P13" i="30"/>
  <c r="O8" i="43"/>
  <c r="P21" i="30"/>
  <c r="O16" i="43"/>
  <c r="P18" i="30"/>
  <c r="O13" i="43"/>
  <c r="P29" i="30"/>
  <c r="O24" i="43"/>
  <c r="FF14" i="23"/>
  <c r="FE12" i="19"/>
  <c r="FE17" i="23"/>
  <c r="FE22" i="23" s="1"/>
  <c r="FM9" i="19"/>
  <c r="FM9" i="20" s="1"/>
  <c r="FM16" i="17"/>
  <c r="FM39" i="17" s="1"/>
  <c r="FO23" i="17"/>
  <c r="P14" i="30"/>
  <c r="FJ19" i="19"/>
  <c r="FJ16" i="17"/>
  <c r="FO32" i="17"/>
  <c r="FO34" i="17"/>
  <c r="FO20" i="17"/>
  <c r="FO28" i="17"/>
  <c r="P7" i="30"/>
  <c r="FO27" i="17"/>
  <c r="FO24" i="17"/>
  <c r="FO30" i="17"/>
  <c r="FL15" i="10"/>
  <c r="FL16" i="10" s="1"/>
  <c r="FL15" i="17" s="1"/>
  <c r="FN37" i="17"/>
  <c r="FN21" i="19" s="1"/>
  <c r="A178" i="37"/>
  <c r="B179" i="37"/>
  <c r="FO22" i="17"/>
  <c r="FO21" i="17"/>
  <c r="FO29" i="17"/>
  <c r="FO35" i="17"/>
  <c r="FP20" i="10"/>
  <c r="FP21" i="10"/>
  <c r="FP20" i="17" s="1"/>
  <c r="FP24" i="10"/>
  <c r="FP23" i="17" s="1"/>
  <c r="FQ9" i="10"/>
  <c r="FP27" i="10"/>
  <c r="FP26" i="17" s="1"/>
  <c r="FP30" i="10"/>
  <c r="FP29" i="17" s="1"/>
  <c r="FP35" i="10"/>
  <c r="FP34" i="17" s="1"/>
  <c r="FP22" i="10"/>
  <c r="FP21" i="17" s="1"/>
  <c r="FP25" i="10"/>
  <c r="FP24" i="17" s="1"/>
  <c r="FP36" i="10"/>
  <c r="FP35" i="17" s="1"/>
  <c r="FP31" i="10"/>
  <c r="FP30" i="17" s="1"/>
  <c r="FP29" i="10"/>
  <c r="FP28" i="17" s="1"/>
  <c r="FP34" i="10"/>
  <c r="FP33" i="17" s="1"/>
  <c r="FP33" i="10"/>
  <c r="FP32" i="17" s="1"/>
  <c r="FP28" i="10"/>
  <c r="FP27" i="17" s="1"/>
  <c r="FP32" i="10"/>
  <c r="FP31" i="17" s="1"/>
  <c r="FP23" i="10"/>
  <c r="FP22" i="17" s="1"/>
  <c r="FO13" i="10"/>
  <c r="FP7" i="10"/>
  <c r="Q19" i="38"/>
  <c r="FO28" i="11"/>
  <c r="FO33" i="11"/>
  <c r="FO26" i="11"/>
  <c r="FO30" i="11"/>
  <c r="FO34" i="11"/>
  <c r="FO24" i="11"/>
  <c r="FO29" i="11"/>
  <c r="FO35" i="11"/>
  <c r="FO36" i="11"/>
  <c r="FO37" i="11"/>
  <c r="FO32" i="11"/>
  <c r="FO25" i="11"/>
  <c r="FO27" i="11"/>
  <c r="FO31" i="11"/>
  <c r="FP20" i="11"/>
  <c r="FN40" i="11"/>
  <c r="FN7" i="17" s="1"/>
  <c r="FN13" i="17" s="1"/>
  <c r="FN55" i="11"/>
  <c r="FO31" i="17"/>
  <c r="FO18" i="10"/>
  <c r="FO26" i="17"/>
  <c r="FO33" i="17"/>
  <c r="O26" i="43" l="1"/>
  <c r="FE18" i="23"/>
  <c r="FE32" i="19" s="1"/>
  <c r="P31" i="30"/>
  <c r="P67" i="30" s="1"/>
  <c r="O9" i="34" s="1"/>
  <c r="FG14" i="23"/>
  <c r="FF17" i="23"/>
  <c r="FF22" i="23" s="1"/>
  <c r="FF12" i="19"/>
  <c r="FM17" i="17"/>
  <c r="FN9" i="19"/>
  <c r="FN9" i="20" s="1"/>
  <c r="Q25" i="38"/>
  <c r="Q43" i="38" s="1"/>
  <c r="FO43" i="11"/>
  <c r="FO37" i="17"/>
  <c r="FO21" i="19" s="1"/>
  <c r="FP37" i="17"/>
  <c r="FP21" i="19" s="1"/>
  <c r="FP18" i="10"/>
  <c r="FP24" i="11"/>
  <c r="FP41" i="11" s="1"/>
  <c r="FP28" i="11"/>
  <c r="FP45" i="11" s="1"/>
  <c r="FP32" i="11"/>
  <c r="FP49" i="11" s="1"/>
  <c r="FP36" i="11"/>
  <c r="FP53" i="11" s="1"/>
  <c r="FP11" i="17" s="1"/>
  <c r="FP25" i="11"/>
  <c r="FP42" i="11" s="1"/>
  <c r="FP29" i="11"/>
  <c r="FP46" i="11" s="1"/>
  <c r="FP33" i="11"/>
  <c r="FP50" i="11" s="1"/>
  <c r="FP8" i="17" s="1"/>
  <c r="FP37" i="11"/>
  <c r="FP54" i="11" s="1"/>
  <c r="FP12" i="17" s="1"/>
  <c r="FP26" i="11"/>
  <c r="FP43" i="11" s="1"/>
  <c r="FP30" i="11"/>
  <c r="FP47" i="11" s="1"/>
  <c r="FP34" i="11"/>
  <c r="FP51" i="11" s="1"/>
  <c r="FP9" i="17" s="1"/>
  <c r="FP27" i="11"/>
  <c r="FP44" i="11" s="1"/>
  <c r="FP31" i="11"/>
  <c r="FP48" i="11" s="1"/>
  <c r="FP35" i="11"/>
  <c r="FP52" i="11" s="1"/>
  <c r="FP10" i="17" s="1"/>
  <c r="FQ20" i="11"/>
  <c r="Q28" i="38"/>
  <c r="Q46" i="38" s="1"/>
  <c r="FO46" i="11"/>
  <c r="FP13" i="10"/>
  <c r="FQ7" i="10"/>
  <c r="Q30" i="38"/>
  <c r="Q48" i="38" s="1"/>
  <c r="FO48" i="11"/>
  <c r="Q36" i="38"/>
  <c r="Q54" i="38" s="1"/>
  <c r="FO54" i="11"/>
  <c r="FO12" i="17" s="1"/>
  <c r="Q23" i="38"/>
  <c r="Q41" i="38" s="1"/>
  <c r="FO41" i="11"/>
  <c r="Q32" i="38"/>
  <c r="Q50" i="38" s="1"/>
  <c r="FO50" i="11"/>
  <c r="FO8" i="17" s="1"/>
  <c r="FN14" i="10"/>
  <c r="FC56" i="11"/>
  <c r="R6" i="32" s="1"/>
  <c r="R7" i="32" s="1"/>
  <c r="Q26" i="38"/>
  <c r="Q44" i="38" s="1"/>
  <c r="FO44" i="11"/>
  <c r="Q35" i="38"/>
  <c r="Q53" i="38" s="1"/>
  <c r="FO53" i="11"/>
  <c r="FO11" i="17" s="1"/>
  <c r="Q33" i="38"/>
  <c r="Q51" i="38" s="1"/>
  <c r="FO51" i="11"/>
  <c r="FO9" i="17" s="1"/>
  <c r="Q27" i="38"/>
  <c r="Q45" i="38" s="1"/>
  <c r="FO45" i="11"/>
  <c r="FR9" i="10"/>
  <c r="FQ27" i="10"/>
  <c r="FQ30" i="10"/>
  <c r="FQ29" i="17" s="1"/>
  <c r="FQ35" i="10"/>
  <c r="FQ22" i="10"/>
  <c r="FQ25" i="10"/>
  <c r="FQ24" i="17" s="1"/>
  <c r="FQ20" i="10"/>
  <c r="FQ29" i="10"/>
  <c r="FQ28" i="17" s="1"/>
  <c r="FQ31" i="10"/>
  <c r="FQ34" i="10"/>
  <c r="FQ36" i="10"/>
  <c r="FQ35" i="17" s="1"/>
  <c r="FQ24" i="10"/>
  <c r="FQ23" i="17" s="1"/>
  <c r="FQ21" i="10"/>
  <c r="FQ20" i="17" s="1"/>
  <c r="FQ28" i="10"/>
  <c r="FQ33" i="10"/>
  <c r="FQ32" i="17" s="1"/>
  <c r="FQ32" i="10"/>
  <c r="FQ23" i="10"/>
  <c r="FQ22" i="17" s="1"/>
  <c r="A179" i="37"/>
  <c r="B180" i="37"/>
  <c r="FL16" i="17"/>
  <c r="FL19" i="19"/>
  <c r="Q31" i="38"/>
  <c r="Q49" i="38" s="1"/>
  <c r="FO49" i="11"/>
  <c r="Q24" i="38"/>
  <c r="Q42" i="38" s="1"/>
  <c r="FO42" i="11"/>
  <c r="Q34" i="38"/>
  <c r="Q52" i="38" s="1"/>
  <c r="FO52" i="11"/>
  <c r="FO10" i="17" s="1"/>
  <c r="Q29" i="38"/>
  <c r="Q47" i="38" s="1"/>
  <c r="FO47" i="11"/>
  <c r="FJ39" i="17"/>
  <c r="FJ17" i="17"/>
  <c r="FF18" i="23" l="1"/>
  <c r="FF32" i="19" s="1"/>
  <c r="FH14" i="23"/>
  <c r="FG17" i="23"/>
  <c r="FG22" i="23" s="1"/>
  <c r="FG12" i="19"/>
  <c r="FQ21" i="17"/>
  <c r="FS9" i="10"/>
  <c r="FR22" i="10"/>
  <c r="FR21" i="17" s="1"/>
  <c r="FR25" i="10"/>
  <c r="FR29" i="10"/>
  <c r="FR31" i="10"/>
  <c r="FR30" i="17" s="1"/>
  <c r="FR34" i="10"/>
  <c r="FR33" i="17" s="1"/>
  <c r="FR36" i="10"/>
  <c r="FR21" i="10"/>
  <c r="FR24" i="10"/>
  <c r="FR30" i="10"/>
  <c r="FR29" i="17" s="1"/>
  <c r="FR20" i="10"/>
  <c r="FR35" i="10"/>
  <c r="FR34" i="17" s="1"/>
  <c r="FR27" i="10"/>
  <c r="FR26" i="17" s="1"/>
  <c r="FR33" i="10"/>
  <c r="FR32" i="17" s="1"/>
  <c r="FR28" i="10"/>
  <c r="FR27" i="17" s="1"/>
  <c r="FR32" i="10"/>
  <c r="FR31" i="17" s="1"/>
  <c r="FR23" i="10"/>
  <c r="FR22" i="17" s="1"/>
  <c r="FQ13" i="10"/>
  <c r="FR7" i="10"/>
  <c r="FQ26" i="11"/>
  <c r="FQ43" i="11" s="1"/>
  <c r="FQ30" i="11"/>
  <c r="FQ47" i="11" s="1"/>
  <c r="FQ34" i="11"/>
  <c r="FQ51" i="11" s="1"/>
  <c r="FQ9" i="17" s="1"/>
  <c r="FQ27" i="11"/>
  <c r="FQ44" i="11" s="1"/>
  <c r="FQ31" i="11"/>
  <c r="FQ48" i="11" s="1"/>
  <c r="FQ35" i="11"/>
  <c r="FQ52" i="11" s="1"/>
  <c r="FQ10" i="17" s="1"/>
  <c r="FQ24" i="11"/>
  <c r="FQ41" i="11" s="1"/>
  <c r="FQ28" i="11"/>
  <c r="FQ45" i="11" s="1"/>
  <c r="FQ32" i="11"/>
  <c r="FQ49" i="11" s="1"/>
  <c r="FQ36" i="11"/>
  <c r="FQ53" i="11" s="1"/>
  <c r="FQ11" i="17" s="1"/>
  <c r="FQ29" i="11"/>
  <c r="FQ46" i="11" s="1"/>
  <c r="FQ33" i="11"/>
  <c r="FQ50" i="11" s="1"/>
  <c r="FQ8" i="17" s="1"/>
  <c r="FQ37" i="11"/>
  <c r="FQ54" i="11" s="1"/>
  <c r="FQ12" i="17" s="1"/>
  <c r="FQ25" i="11"/>
  <c r="FQ42" i="11" s="1"/>
  <c r="FR20" i="11"/>
  <c r="FQ33" i="17"/>
  <c r="FQ26" i="17"/>
  <c r="FQ30" i="17"/>
  <c r="FL39" i="17"/>
  <c r="FL17" i="17"/>
  <c r="FQ31" i="17"/>
  <c r="FQ34" i="17"/>
  <c r="P5" i="30"/>
  <c r="R9" i="32"/>
  <c r="P6" i="30" s="1"/>
  <c r="FO40" i="11"/>
  <c r="FO7" i="17" s="1"/>
  <c r="FO13" i="17" s="1"/>
  <c r="FO55" i="11"/>
  <c r="FQ27" i="17"/>
  <c r="A180" i="37"/>
  <c r="B181" i="37"/>
  <c r="FQ18" i="10"/>
  <c r="FN15" i="10"/>
  <c r="R14" i="32"/>
  <c r="O3" i="43" s="1"/>
  <c r="Q55" i="38"/>
  <c r="FP40" i="11"/>
  <c r="FP7" i="17" s="1"/>
  <c r="FP13" i="17" s="1"/>
  <c r="FP55" i="11"/>
  <c r="FP14" i="10" s="1"/>
  <c r="FP15" i="10" s="1"/>
  <c r="FP16" i="10" s="1"/>
  <c r="FP15" i="17" s="1"/>
  <c r="FP19" i="19" s="1"/>
  <c r="FG18" i="23" l="1"/>
  <c r="FG32" i="19" s="1"/>
  <c r="FH17" i="23"/>
  <c r="FH22" i="23" s="1"/>
  <c r="FH12" i="19"/>
  <c r="FI14" i="23"/>
  <c r="FQ37" i="17"/>
  <c r="FQ21" i="19" s="1"/>
  <c r="FO9" i="19"/>
  <c r="FO9" i="20" s="1"/>
  <c r="B182" i="37"/>
  <c r="A181" i="37"/>
  <c r="FR13" i="10"/>
  <c r="FS7" i="10"/>
  <c r="FR18" i="10"/>
  <c r="FR35" i="17"/>
  <c r="FR24" i="17"/>
  <c r="P8" i="30"/>
  <c r="FR20" i="17"/>
  <c r="FR28" i="17"/>
  <c r="FN16" i="10"/>
  <c r="FN15" i="17" s="1"/>
  <c r="R15" i="32"/>
  <c r="FP9" i="19"/>
  <c r="FP16" i="17"/>
  <c r="FP39" i="17" s="1"/>
  <c r="FR24" i="11"/>
  <c r="FR41" i="11" s="1"/>
  <c r="FR28" i="11"/>
  <c r="FR45" i="11" s="1"/>
  <c r="FR32" i="11"/>
  <c r="FR49" i="11" s="1"/>
  <c r="FR36" i="11"/>
  <c r="FR53" i="11" s="1"/>
  <c r="FR11" i="17" s="1"/>
  <c r="FR25" i="11"/>
  <c r="FR42" i="11" s="1"/>
  <c r="FR29" i="11"/>
  <c r="FR46" i="11" s="1"/>
  <c r="FR33" i="11"/>
  <c r="FR50" i="11" s="1"/>
  <c r="FR8" i="17" s="1"/>
  <c r="FR37" i="11"/>
  <c r="FR54" i="11" s="1"/>
  <c r="FR12" i="17" s="1"/>
  <c r="FR26" i="11"/>
  <c r="FR43" i="11" s="1"/>
  <c r="FR30" i="11"/>
  <c r="FR47" i="11" s="1"/>
  <c r="FR34" i="11"/>
  <c r="FR51" i="11" s="1"/>
  <c r="FR9" i="17" s="1"/>
  <c r="FR31" i="11"/>
  <c r="FR48" i="11" s="1"/>
  <c r="FR35" i="11"/>
  <c r="FR52" i="11" s="1"/>
  <c r="FR10" i="17" s="1"/>
  <c r="FR27" i="11"/>
  <c r="FR44" i="11" s="1"/>
  <c r="FS20" i="11"/>
  <c r="FQ40" i="11"/>
  <c r="FQ7" i="17" s="1"/>
  <c r="FQ13" i="17" s="1"/>
  <c r="FQ55" i="11"/>
  <c r="FQ14" i="10" s="1"/>
  <c r="FQ15" i="10" s="1"/>
  <c r="FQ16" i="10" s="1"/>
  <c r="FQ15" i="17" s="1"/>
  <c r="FO14" i="10"/>
  <c r="P40" i="30"/>
  <c r="P51" i="30"/>
  <c r="P41" i="30"/>
  <c r="P52" i="30"/>
  <c r="P66" i="30"/>
  <c r="O8" i="34" s="1"/>
  <c r="P58" i="30"/>
  <c r="P48" i="30"/>
  <c r="P59" i="30"/>
  <c r="P49" i="30"/>
  <c r="P60" i="30"/>
  <c r="P45" i="30"/>
  <c r="P56" i="30"/>
  <c r="P46" i="30"/>
  <c r="P57" i="30"/>
  <c r="P47" i="30"/>
  <c r="P53" i="30"/>
  <c r="P42" i="30"/>
  <c r="P43" i="30"/>
  <c r="P54" i="30"/>
  <c r="P44" i="30"/>
  <c r="P55" i="30"/>
  <c r="P50" i="30"/>
  <c r="P64" i="30"/>
  <c r="P3" i="30"/>
  <c r="FR23" i="17"/>
  <c r="FT9" i="10"/>
  <c r="FS29" i="10"/>
  <c r="FS28" i="17" s="1"/>
  <c r="FS31" i="10"/>
  <c r="FS34" i="10"/>
  <c r="FS36" i="10"/>
  <c r="FS35" i="17" s="1"/>
  <c r="FS20" i="10"/>
  <c r="FS21" i="10"/>
  <c r="FS20" i="17" s="1"/>
  <c r="FS24" i="10"/>
  <c r="FS23" i="17" s="1"/>
  <c r="FS27" i="10"/>
  <c r="FS30" i="10"/>
  <c r="FS35" i="10"/>
  <c r="FS22" i="10"/>
  <c r="FS25" i="10"/>
  <c r="FS24" i="17" s="1"/>
  <c r="FS33" i="10"/>
  <c r="FS28" i="10"/>
  <c r="FS32" i="10"/>
  <c r="FS31" i="17" s="1"/>
  <c r="FS23" i="10"/>
  <c r="P9" i="30" l="1"/>
  <c r="O4" i="43"/>
  <c r="FH18" i="23"/>
  <c r="FH32" i="19" s="1"/>
  <c r="FI17" i="23"/>
  <c r="FI22" i="23" s="1"/>
  <c r="FJ14" i="23"/>
  <c r="FI12" i="19"/>
  <c r="FQ19" i="19"/>
  <c r="FR37" i="17"/>
  <c r="FR21" i="19" s="1"/>
  <c r="R16" i="32"/>
  <c r="FS27" i="17"/>
  <c r="FS30" i="17"/>
  <c r="FO15" i="10"/>
  <c r="FS29" i="17"/>
  <c r="FR40" i="11"/>
  <c r="FR7" i="17" s="1"/>
  <c r="FR13" i="17" s="1"/>
  <c r="FR55" i="11"/>
  <c r="FR14" i="10" s="1"/>
  <c r="FR15" i="10" s="1"/>
  <c r="FR16" i="10" s="1"/>
  <c r="FR15" i="17" s="1"/>
  <c r="FP9" i="20"/>
  <c r="P10" i="30"/>
  <c r="A182" i="37"/>
  <c r="B183" i="37"/>
  <c r="FS32" i="17"/>
  <c r="FS18" i="10"/>
  <c r="FS22" i="17"/>
  <c r="FS26" i="17"/>
  <c r="FT21" i="10"/>
  <c r="FT20" i="17" s="1"/>
  <c r="FT24" i="10"/>
  <c r="FT23" i="17" s="1"/>
  <c r="FT27" i="10"/>
  <c r="FT26" i="17" s="1"/>
  <c r="FT30" i="10"/>
  <c r="FT29" i="17" s="1"/>
  <c r="FT35" i="10"/>
  <c r="FT34" i="17" s="1"/>
  <c r="FT20" i="10"/>
  <c r="FT22" i="10"/>
  <c r="FT21" i="17" s="1"/>
  <c r="FT25" i="10"/>
  <c r="FT24" i="17" s="1"/>
  <c r="FT29" i="10"/>
  <c r="FT34" i="10"/>
  <c r="FT33" i="17" s="1"/>
  <c r="FU9" i="10"/>
  <c r="FT31" i="10"/>
  <c r="FT30" i="17" s="1"/>
  <c r="FT36" i="10"/>
  <c r="FT33" i="10"/>
  <c r="FT32" i="17" s="1"/>
  <c r="FT28" i="10"/>
  <c r="FT27" i="17" s="1"/>
  <c r="FT32" i="10"/>
  <c r="FT31" i="17" s="1"/>
  <c r="FT23" i="10"/>
  <c r="FT22" i="17" s="1"/>
  <c r="P68" i="30"/>
  <c r="O6" i="34"/>
  <c r="FQ9" i="19"/>
  <c r="FQ9" i="20" s="1"/>
  <c r="FQ16" i="17"/>
  <c r="FQ39" i="17" s="1"/>
  <c r="FS34" i="17"/>
  <c r="FS21" i="17"/>
  <c r="FS33" i="17"/>
  <c r="FS26" i="11"/>
  <c r="FS43" i="11" s="1"/>
  <c r="FS30" i="11"/>
  <c r="FS47" i="11" s="1"/>
  <c r="FS34" i="11"/>
  <c r="FS51" i="11" s="1"/>
  <c r="FS9" i="17" s="1"/>
  <c r="FS27" i="11"/>
  <c r="FS44" i="11" s="1"/>
  <c r="FS31" i="11"/>
  <c r="FS48" i="11" s="1"/>
  <c r="FS35" i="11"/>
  <c r="FS52" i="11" s="1"/>
  <c r="FS10" i="17" s="1"/>
  <c r="FS24" i="11"/>
  <c r="FS41" i="11" s="1"/>
  <c r="FS28" i="11"/>
  <c r="FS45" i="11" s="1"/>
  <c r="FS32" i="11"/>
  <c r="FS49" i="11" s="1"/>
  <c r="FS36" i="11"/>
  <c r="FS53" i="11" s="1"/>
  <c r="FS11" i="17" s="1"/>
  <c r="FS33" i="11"/>
  <c r="FS50" i="11" s="1"/>
  <c r="FS8" i="17" s="1"/>
  <c r="FS37" i="11"/>
  <c r="FS54" i="11" s="1"/>
  <c r="FS12" i="17" s="1"/>
  <c r="FS25" i="11"/>
  <c r="FS42" i="11" s="1"/>
  <c r="FS29" i="11"/>
  <c r="FS46" i="11" s="1"/>
  <c r="FT20" i="11"/>
  <c r="FP17" i="17"/>
  <c r="FN19" i="19"/>
  <c r="FN16" i="17"/>
  <c r="FS13" i="10"/>
  <c r="FT7" i="10"/>
  <c r="R17" i="32" l="1"/>
  <c r="O5" i="43"/>
  <c r="FI18" i="23"/>
  <c r="FI32" i="19" s="1"/>
  <c r="FK14" i="23"/>
  <c r="FJ12" i="19"/>
  <c r="FJ17" i="23"/>
  <c r="FJ22" i="23" s="1"/>
  <c r="FR19" i="19"/>
  <c r="FT35" i="17"/>
  <c r="FS37" i="17"/>
  <c r="FS21" i="19" s="1"/>
  <c r="P32" i="30"/>
  <c r="P39" i="30"/>
  <c r="FT13" i="10"/>
  <c r="FU7" i="10"/>
  <c r="FT24" i="11"/>
  <c r="FT41" i="11" s="1"/>
  <c r="FT28" i="11"/>
  <c r="FT45" i="11" s="1"/>
  <c r="FT32" i="11"/>
  <c r="FT49" i="11" s="1"/>
  <c r="FT36" i="11"/>
  <c r="FT53" i="11" s="1"/>
  <c r="FT11" i="17" s="1"/>
  <c r="FT25" i="11"/>
  <c r="FT42" i="11" s="1"/>
  <c r="FT29" i="11"/>
  <c r="FT46" i="11" s="1"/>
  <c r="FT33" i="11"/>
  <c r="FT50" i="11" s="1"/>
  <c r="FT8" i="17" s="1"/>
  <c r="FT37" i="11"/>
  <c r="FT54" i="11" s="1"/>
  <c r="FT12" i="17" s="1"/>
  <c r="FT26" i="11"/>
  <c r="FT43" i="11" s="1"/>
  <c r="FT30" i="11"/>
  <c r="FT47" i="11" s="1"/>
  <c r="FT34" i="11"/>
  <c r="FT51" i="11" s="1"/>
  <c r="FT9" i="17" s="1"/>
  <c r="FT35" i="11"/>
  <c r="FT52" i="11" s="1"/>
  <c r="FT10" i="17" s="1"/>
  <c r="FT27" i="11"/>
  <c r="FT44" i="11" s="1"/>
  <c r="FT31" i="11"/>
  <c r="FT48" i="11" s="1"/>
  <c r="FU20" i="11"/>
  <c r="FS40" i="11"/>
  <c r="FS7" i="17" s="1"/>
  <c r="FS13" i="17" s="1"/>
  <c r="FS55" i="11"/>
  <c r="FV9" i="10"/>
  <c r="FU20" i="10"/>
  <c r="FU27" i="10"/>
  <c r="FU26" i="17" s="1"/>
  <c r="FU30" i="10"/>
  <c r="FU35" i="10"/>
  <c r="FU34" i="17" s="1"/>
  <c r="FU22" i="10"/>
  <c r="FU25" i="10"/>
  <c r="FU29" i="10"/>
  <c r="FU28" i="17" s="1"/>
  <c r="FU31" i="10"/>
  <c r="FU30" i="17" s="1"/>
  <c r="FU34" i="10"/>
  <c r="FU36" i="10"/>
  <c r="FU35" i="17" s="1"/>
  <c r="FU21" i="10"/>
  <c r="FU20" i="17" s="1"/>
  <c r="FU24" i="10"/>
  <c r="FU28" i="10"/>
  <c r="FU27" i="17" s="1"/>
  <c r="FU33" i="10"/>
  <c r="FU32" i="17" s="1"/>
  <c r="FU32" i="10"/>
  <c r="FU31" i="17" s="1"/>
  <c r="FU23" i="10"/>
  <c r="FU22" i="17" s="1"/>
  <c r="A183" i="37"/>
  <c r="B184" i="37"/>
  <c r="FO16" i="10"/>
  <c r="FO15" i="17" s="1"/>
  <c r="FT28" i="17"/>
  <c r="FN39" i="17"/>
  <c r="FN17" i="17"/>
  <c r="FQ17" i="17"/>
  <c r="P81" i="30"/>
  <c r="F18" i="35" s="1"/>
  <c r="P75" i="30"/>
  <c r="FT18" i="10"/>
  <c r="FR9" i="19"/>
  <c r="FR9" i="20" s="1"/>
  <c r="FR16" i="17"/>
  <c r="FR39" i="17" s="1"/>
  <c r="FJ18" i="23" l="1"/>
  <c r="FJ32" i="19" s="1"/>
  <c r="FL14" i="23"/>
  <c r="FK12" i="19"/>
  <c r="FK17" i="23"/>
  <c r="FK22" i="23" s="1"/>
  <c r="FT37" i="17"/>
  <c r="FT21" i="19" s="1"/>
  <c r="FR17" i="17"/>
  <c r="FS9" i="19"/>
  <c r="FS9" i="20" s="1"/>
  <c r="FO19" i="19"/>
  <c r="FO16" i="17"/>
  <c r="FU23" i="17"/>
  <c r="FS14" i="10"/>
  <c r="FT55" i="11"/>
  <c r="FT14" i="10" s="1"/>
  <c r="FT15" i="10" s="1"/>
  <c r="FT16" i="10" s="1"/>
  <c r="FT15" i="17" s="1"/>
  <c r="FT40" i="11"/>
  <c r="FT7" i="17" s="1"/>
  <c r="FT13" i="17" s="1"/>
  <c r="FU29" i="17"/>
  <c r="FU13" i="10"/>
  <c r="FV7" i="10"/>
  <c r="A184" i="37"/>
  <c r="B185" i="37"/>
  <c r="FU24" i="17"/>
  <c r="FU26" i="11"/>
  <c r="FU43" i="11" s="1"/>
  <c r="FU30" i="11"/>
  <c r="FU47" i="11" s="1"/>
  <c r="FU34" i="11"/>
  <c r="FU51" i="11" s="1"/>
  <c r="FU9" i="17" s="1"/>
  <c r="FU27" i="11"/>
  <c r="FU44" i="11" s="1"/>
  <c r="FU31" i="11"/>
  <c r="FU48" i="11" s="1"/>
  <c r="FU35" i="11"/>
  <c r="FU52" i="11" s="1"/>
  <c r="FU10" i="17" s="1"/>
  <c r="FU24" i="11"/>
  <c r="FU41" i="11" s="1"/>
  <c r="FU28" i="11"/>
  <c r="FU45" i="11" s="1"/>
  <c r="FU32" i="11"/>
  <c r="FU49" i="11" s="1"/>
  <c r="FU36" i="11"/>
  <c r="FU53" i="11" s="1"/>
  <c r="FU11" i="17" s="1"/>
  <c r="FU37" i="11"/>
  <c r="FU54" i="11" s="1"/>
  <c r="FU12" i="17" s="1"/>
  <c r="FU25" i="11"/>
  <c r="FU42" i="11" s="1"/>
  <c r="FU29" i="11"/>
  <c r="FU46" i="11" s="1"/>
  <c r="FU33" i="11"/>
  <c r="FU50" i="11" s="1"/>
  <c r="FU8" i="17" s="1"/>
  <c r="FV20" i="11"/>
  <c r="FV22" i="10"/>
  <c r="FV21" i="17" s="1"/>
  <c r="FV25" i="10"/>
  <c r="FV24" i="17" s="1"/>
  <c r="FV20" i="10"/>
  <c r="FV29" i="10"/>
  <c r="FV28" i="17" s="1"/>
  <c r="FV31" i="10"/>
  <c r="FV30" i="17" s="1"/>
  <c r="FV34" i="10"/>
  <c r="FV33" i="17" s="1"/>
  <c r="FV36" i="10"/>
  <c r="FV35" i="17" s="1"/>
  <c r="FW9" i="10"/>
  <c r="FV21" i="10"/>
  <c r="FV20" i="17" s="1"/>
  <c r="FV24" i="10"/>
  <c r="FV23" i="17" s="1"/>
  <c r="FV27" i="10"/>
  <c r="FV28" i="10"/>
  <c r="FV30" i="10"/>
  <c r="FV29" i="17" s="1"/>
  <c r="FV35" i="10"/>
  <c r="FV34" i="17" s="1"/>
  <c r="FV33" i="10"/>
  <c r="FV32" i="17" s="1"/>
  <c r="FV32" i="10"/>
  <c r="FV31" i="17" s="1"/>
  <c r="FV23" i="10"/>
  <c r="FV22" i="17" s="1"/>
  <c r="FU33" i="17"/>
  <c r="FU21" i="17"/>
  <c r="FU18" i="10"/>
  <c r="FK18" i="23" l="1"/>
  <c r="FK32" i="19" s="1"/>
  <c r="FM14" i="23"/>
  <c r="FL12" i="19"/>
  <c r="FL17" i="23"/>
  <c r="FL22" i="23" s="1"/>
  <c r="FU37" i="17"/>
  <c r="FU21" i="19" s="1"/>
  <c r="FT19" i="19"/>
  <c r="A185" i="37"/>
  <c r="B186" i="37"/>
  <c r="FO39" i="17"/>
  <c r="FO17" i="17"/>
  <c r="FV27" i="17"/>
  <c r="FX9" i="10"/>
  <c r="FW29" i="10"/>
  <c r="FW28" i="17" s="1"/>
  <c r="FW31" i="10"/>
  <c r="FW30" i="17" s="1"/>
  <c r="FW34" i="10"/>
  <c r="FW33" i="17" s="1"/>
  <c r="FW36" i="10"/>
  <c r="FW35" i="17" s="1"/>
  <c r="FW21" i="10"/>
  <c r="FW20" i="17" s="1"/>
  <c r="FW24" i="10"/>
  <c r="FW23" i="17" s="1"/>
  <c r="FW27" i="10"/>
  <c r="FW26" i="17" s="1"/>
  <c r="FW30" i="10"/>
  <c r="FW29" i="17" s="1"/>
  <c r="FW35" i="10"/>
  <c r="FW34" i="17" s="1"/>
  <c r="FW20" i="10"/>
  <c r="FW25" i="10"/>
  <c r="FW24" i="17" s="1"/>
  <c r="FW22" i="10"/>
  <c r="FW28" i="10"/>
  <c r="FW27" i="17" s="1"/>
  <c r="FW33" i="10"/>
  <c r="FW32" i="17" s="1"/>
  <c r="FW32" i="10"/>
  <c r="FW31" i="17" s="1"/>
  <c r="FW23" i="10"/>
  <c r="FW22" i="17" s="1"/>
  <c r="FV26" i="17"/>
  <c r="FV18" i="10"/>
  <c r="FT9" i="19"/>
  <c r="FT9" i="20" s="1"/>
  <c r="FT16" i="17"/>
  <c r="FT39" i="17" s="1"/>
  <c r="FS15" i="10"/>
  <c r="FV24" i="11"/>
  <c r="FV41" i="11" s="1"/>
  <c r="FV28" i="11"/>
  <c r="FV45" i="11" s="1"/>
  <c r="FV31" i="11"/>
  <c r="FV48" i="11" s="1"/>
  <c r="FV35" i="11"/>
  <c r="FV52" i="11" s="1"/>
  <c r="FV10" i="17" s="1"/>
  <c r="FV25" i="11"/>
  <c r="FV42" i="11" s="1"/>
  <c r="FV29" i="11"/>
  <c r="FV46" i="11" s="1"/>
  <c r="FV32" i="11"/>
  <c r="FV49" i="11" s="1"/>
  <c r="FV36" i="11"/>
  <c r="FV53" i="11" s="1"/>
  <c r="FV11" i="17" s="1"/>
  <c r="FV26" i="11"/>
  <c r="FV43" i="11" s="1"/>
  <c r="FV33" i="11"/>
  <c r="FV50" i="11" s="1"/>
  <c r="FV8" i="17" s="1"/>
  <c r="FV37" i="11"/>
  <c r="FV54" i="11" s="1"/>
  <c r="FV12" i="17" s="1"/>
  <c r="FV27" i="11"/>
  <c r="FV44" i="11" s="1"/>
  <c r="FV30" i="11"/>
  <c r="FV47" i="11" s="1"/>
  <c r="FV34" i="11"/>
  <c r="FV51" i="11" s="1"/>
  <c r="FV9" i="17" s="1"/>
  <c r="FW20" i="11"/>
  <c r="FU55" i="11"/>
  <c r="FU14" i="10" s="1"/>
  <c r="FU15" i="10" s="1"/>
  <c r="FU16" i="10" s="1"/>
  <c r="FU15" i="17" s="1"/>
  <c r="FU40" i="11"/>
  <c r="FU7" i="17" s="1"/>
  <c r="FU13" i="17" s="1"/>
  <c r="FV13" i="10"/>
  <c r="FW7" i="10"/>
  <c r="FU19" i="19" l="1"/>
  <c r="FL18" i="23"/>
  <c r="FL32" i="19" s="1"/>
  <c r="FM17" i="23"/>
  <c r="FM22" i="23" s="1"/>
  <c r="FN14" i="23"/>
  <c r="FM12" i="19"/>
  <c r="FV37" i="17"/>
  <c r="FV21" i="19" s="1"/>
  <c r="FT17" i="17"/>
  <c r="FW21" i="17"/>
  <c r="FW37" i="17" s="1"/>
  <c r="FW21" i="19" s="1"/>
  <c r="FX20" i="10"/>
  <c r="FX21" i="10"/>
  <c r="FX20" i="17" s="1"/>
  <c r="FX24" i="10"/>
  <c r="FX23" i="17" s="1"/>
  <c r="FY9" i="10"/>
  <c r="FX27" i="10"/>
  <c r="FX26" i="17" s="1"/>
  <c r="FX30" i="10"/>
  <c r="FX29" i="17" s="1"/>
  <c r="FX35" i="10"/>
  <c r="FX34" i="17" s="1"/>
  <c r="FX22" i="10"/>
  <c r="FX21" i="17" s="1"/>
  <c r="FX25" i="10"/>
  <c r="FX24" i="17" s="1"/>
  <c r="FX31" i="10"/>
  <c r="FX30" i="17" s="1"/>
  <c r="FX36" i="10"/>
  <c r="FX35" i="17" s="1"/>
  <c r="FX29" i="10"/>
  <c r="FX28" i="17" s="1"/>
  <c r="FX34" i="10"/>
  <c r="FX33" i="17" s="1"/>
  <c r="FX28" i="10"/>
  <c r="FX27" i="17" s="1"/>
  <c r="FX33" i="10"/>
  <c r="FX32" i="17" s="1"/>
  <c r="FX32" i="10"/>
  <c r="FX31" i="17" s="1"/>
  <c r="FX23" i="10"/>
  <c r="FX22" i="17" s="1"/>
  <c r="FU9" i="19"/>
  <c r="FU9" i="20" s="1"/>
  <c r="FU16" i="17"/>
  <c r="FU39" i="17" s="1"/>
  <c r="FW25" i="11"/>
  <c r="FW42" i="11" s="1"/>
  <c r="FW29" i="11"/>
  <c r="FW46" i="11" s="1"/>
  <c r="FW33" i="11"/>
  <c r="FW50" i="11" s="1"/>
  <c r="FW8" i="17" s="1"/>
  <c r="FW37" i="11"/>
  <c r="FW54" i="11" s="1"/>
  <c r="FW12" i="17" s="1"/>
  <c r="FW26" i="11"/>
  <c r="FW43" i="11" s="1"/>
  <c r="FW30" i="11"/>
  <c r="FW47" i="11" s="1"/>
  <c r="FW34" i="11"/>
  <c r="FW51" i="11" s="1"/>
  <c r="FW9" i="17" s="1"/>
  <c r="FW27" i="11"/>
  <c r="FW44" i="11" s="1"/>
  <c r="FW31" i="11"/>
  <c r="FW48" i="11" s="1"/>
  <c r="FW35" i="11"/>
  <c r="FW52" i="11" s="1"/>
  <c r="FW10" i="17" s="1"/>
  <c r="FW24" i="11"/>
  <c r="FW41" i="11" s="1"/>
  <c r="FW28" i="11"/>
  <c r="FW45" i="11" s="1"/>
  <c r="FW32" i="11"/>
  <c r="FW49" i="11" s="1"/>
  <c r="FW36" i="11"/>
  <c r="FW53" i="11" s="1"/>
  <c r="FW11" i="17" s="1"/>
  <c r="FX20" i="11"/>
  <c r="FV55" i="11"/>
  <c r="FV14" i="10" s="1"/>
  <c r="FV15" i="10" s="1"/>
  <c r="FV16" i="10" s="1"/>
  <c r="FV15" i="17" s="1"/>
  <c r="FV40" i="11"/>
  <c r="FV7" i="17" s="1"/>
  <c r="FV13" i="17" s="1"/>
  <c r="FW18" i="10"/>
  <c r="FS16" i="10"/>
  <c r="FS15" i="17" s="1"/>
  <c r="FW13" i="10"/>
  <c r="FX7" i="10"/>
  <c r="A186" i="37"/>
  <c r="B187" i="37"/>
  <c r="FM18" i="23" l="1"/>
  <c r="FM32" i="19" s="1"/>
  <c r="FN12" i="19"/>
  <c r="FN17" i="23"/>
  <c r="FN22" i="23" s="1"/>
  <c r="FO14" i="23"/>
  <c r="FS16" i="17"/>
  <c r="FS19" i="19"/>
  <c r="FV9" i="19"/>
  <c r="FV9" i="20" s="1"/>
  <c r="FX13" i="10"/>
  <c r="FY7" i="10"/>
  <c r="A187" i="37"/>
  <c r="B188" i="37"/>
  <c r="FX27" i="11"/>
  <c r="FX44" i="11" s="1"/>
  <c r="FX31" i="11"/>
  <c r="FX48" i="11" s="1"/>
  <c r="FX35" i="11"/>
  <c r="FX52" i="11" s="1"/>
  <c r="FX10" i="17" s="1"/>
  <c r="FX24" i="11"/>
  <c r="FX41" i="11" s="1"/>
  <c r="FX28" i="11"/>
  <c r="FX45" i="11" s="1"/>
  <c r="FX32" i="11"/>
  <c r="FX49" i="11" s="1"/>
  <c r="FX36" i="11"/>
  <c r="FX53" i="11" s="1"/>
  <c r="FX11" i="17" s="1"/>
  <c r="FX25" i="11"/>
  <c r="FX42" i="11" s="1"/>
  <c r="FX29" i="11"/>
  <c r="FX46" i="11" s="1"/>
  <c r="FX33" i="11"/>
  <c r="FX50" i="11" s="1"/>
  <c r="FX8" i="17" s="1"/>
  <c r="FX37" i="11"/>
  <c r="FX54" i="11" s="1"/>
  <c r="FX12" i="17" s="1"/>
  <c r="FX26" i="11"/>
  <c r="FX43" i="11" s="1"/>
  <c r="FX30" i="11"/>
  <c r="FX47" i="11" s="1"/>
  <c r="FX34" i="11"/>
  <c r="FX51" i="11" s="1"/>
  <c r="FX9" i="17" s="1"/>
  <c r="FY20" i="11"/>
  <c r="FW40" i="11"/>
  <c r="FW7" i="17" s="1"/>
  <c r="FW13" i="17" s="1"/>
  <c r="FW55" i="11"/>
  <c r="FW14" i="10" s="1"/>
  <c r="FX37" i="17"/>
  <c r="FX21" i="19" s="1"/>
  <c r="FX18" i="10"/>
  <c r="FV16" i="17"/>
  <c r="FV39" i="17" s="1"/>
  <c r="FV19" i="19"/>
  <c r="FU17" i="17"/>
  <c r="FZ9" i="10"/>
  <c r="FY27" i="10"/>
  <c r="FY26" i="17" s="1"/>
  <c r="FY30" i="10"/>
  <c r="FY29" i="17" s="1"/>
  <c r="FY35" i="10"/>
  <c r="FY34" i="17" s="1"/>
  <c r="FY22" i="10"/>
  <c r="FY21" i="17" s="1"/>
  <c r="FY25" i="10"/>
  <c r="FY24" i="17" s="1"/>
  <c r="FY20" i="10"/>
  <c r="FY29" i="10"/>
  <c r="FY28" i="17" s="1"/>
  <c r="FY31" i="10"/>
  <c r="FY30" i="17" s="1"/>
  <c r="FY34" i="10"/>
  <c r="FY33" i="17" s="1"/>
  <c r="FY36" i="10"/>
  <c r="FY35" i="17" s="1"/>
  <c r="FY24" i="10"/>
  <c r="FY23" i="17" s="1"/>
  <c r="FY21" i="10"/>
  <c r="FY20" i="17" s="1"/>
  <c r="FY28" i="10"/>
  <c r="FY27" i="17" s="1"/>
  <c r="FY33" i="10"/>
  <c r="FY32" i="17" s="1"/>
  <c r="FY32" i="10"/>
  <c r="FY31" i="17" s="1"/>
  <c r="FY23" i="10"/>
  <c r="FY22" i="17" s="1"/>
  <c r="FN18" i="23" l="1"/>
  <c r="FN32" i="19" s="1"/>
  <c r="FO17" i="23"/>
  <c r="FO22" i="23" s="1"/>
  <c r="FO12" i="19"/>
  <c r="FP14" i="23"/>
  <c r="A188" i="37"/>
  <c r="B189" i="37"/>
  <c r="FV17" i="17"/>
  <c r="FY25" i="11"/>
  <c r="FY42" i="11" s="1"/>
  <c r="FY29" i="11"/>
  <c r="FY46" i="11" s="1"/>
  <c r="FY33" i="11"/>
  <c r="FY50" i="11" s="1"/>
  <c r="FY8" i="17" s="1"/>
  <c r="FY37" i="11"/>
  <c r="FY54" i="11" s="1"/>
  <c r="FY12" i="17" s="1"/>
  <c r="FY26" i="11"/>
  <c r="FY43" i="11" s="1"/>
  <c r="FY30" i="11"/>
  <c r="FY47" i="11" s="1"/>
  <c r="FY34" i="11"/>
  <c r="FY51" i="11" s="1"/>
  <c r="FY9" i="17" s="1"/>
  <c r="FY27" i="11"/>
  <c r="FY44" i="11" s="1"/>
  <c r="FY31" i="11"/>
  <c r="FY48" i="11" s="1"/>
  <c r="FY35" i="11"/>
  <c r="FY52" i="11" s="1"/>
  <c r="FY10" i="17" s="1"/>
  <c r="FY28" i="11"/>
  <c r="FY45" i="11" s="1"/>
  <c r="FY32" i="11"/>
  <c r="FY49" i="11" s="1"/>
  <c r="FY36" i="11"/>
  <c r="FY53" i="11" s="1"/>
  <c r="FY11" i="17" s="1"/>
  <c r="FY24" i="11"/>
  <c r="FY41" i="11" s="1"/>
  <c r="FZ20" i="11"/>
  <c r="FS39" i="17"/>
  <c r="FS17" i="17"/>
  <c r="FY18" i="10"/>
  <c r="FW9" i="19"/>
  <c r="FW9" i="20" s="1"/>
  <c r="FW15" i="10"/>
  <c r="FW16" i="10" s="1"/>
  <c r="FW15" i="17" s="1"/>
  <c r="FY13" i="10"/>
  <c r="FZ7" i="10"/>
  <c r="FY37" i="17"/>
  <c r="FY21" i="19" s="1"/>
  <c r="FZ22" i="10"/>
  <c r="FZ25" i="10"/>
  <c r="GA9" i="10"/>
  <c r="FZ29" i="10"/>
  <c r="FZ31" i="10"/>
  <c r="FZ34" i="10"/>
  <c r="FZ36" i="10"/>
  <c r="FZ21" i="10"/>
  <c r="FZ24" i="10"/>
  <c r="FZ35" i="10"/>
  <c r="FZ20" i="10"/>
  <c r="FZ30" i="10"/>
  <c r="FZ27" i="10"/>
  <c r="FZ33" i="10"/>
  <c r="FZ28" i="10"/>
  <c r="FZ32" i="10"/>
  <c r="FZ23" i="10"/>
  <c r="FX40" i="11"/>
  <c r="FX7" i="17" s="1"/>
  <c r="FX13" i="17" s="1"/>
  <c r="FX55" i="11"/>
  <c r="FX14" i="10" s="1"/>
  <c r="FX15" i="10" s="1"/>
  <c r="FX16" i="10" s="1"/>
  <c r="FX15" i="17" s="1"/>
  <c r="FX19" i="19" s="1"/>
  <c r="FO18" i="23" l="1"/>
  <c r="FO32" i="19" s="1"/>
  <c r="FP17" i="23"/>
  <c r="FP22" i="23" s="1"/>
  <c r="FP12" i="19"/>
  <c r="FQ14" i="23"/>
  <c r="FX9" i="19"/>
  <c r="FX9" i="20" s="1"/>
  <c r="FX16" i="17"/>
  <c r="FX39" i="17" s="1"/>
  <c r="FZ34" i="17"/>
  <c r="S35" i="32"/>
  <c r="FZ24" i="17"/>
  <c r="S25" i="32"/>
  <c r="FZ26" i="17"/>
  <c r="S27" i="32"/>
  <c r="FZ23" i="17"/>
  <c r="S24" i="32"/>
  <c r="FZ30" i="17"/>
  <c r="S31" i="32"/>
  <c r="FZ21" i="17"/>
  <c r="S22" i="32"/>
  <c r="FZ32" i="17"/>
  <c r="S33" i="32"/>
  <c r="FZ22" i="17"/>
  <c r="S23" i="32"/>
  <c r="FW16" i="17"/>
  <c r="FW19" i="19"/>
  <c r="FZ31" i="17"/>
  <c r="S32" i="32"/>
  <c r="FZ29" i="17"/>
  <c r="S30" i="32"/>
  <c r="FZ20" i="17"/>
  <c r="S21" i="32"/>
  <c r="P9" i="43" s="1"/>
  <c r="FZ28" i="17"/>
  <c r="S29" i="32"/>
  <c r="FZ27" i="11"/>
  <c r="FZ44" i="11" s="1"/>
  <c r="FZ30" i="11"/>
  <c r="FZ47" i="11" s="1"/>
  <c r="FZ34" i="11"/>
  <c r="FZ51" i="11" s="1"/>
  <c r="FZ9" i="17" s="1"/>
  <c r="FZ24" i="11"/>
  <c r="FZ41" i="11" s="1"/>
  <c r="FZ28" i="11"/>
  <c r="FZ45" i="11" s="1"/>
  <c r="FZ31" i="11"/>
  <c r="FZ48" i="11" s="1"/>
  <c r="FZ35" i="11"/>
  <c r="FZ52" i="11" s="1"/>
  <c r="FZ10" i="17" s="1"/>
  <c r="FZ25" i="11"/>
  <c r="FZ42" i="11" s="1"/>
  <c r="FZ29" i="11"/>
  <c r="FZ46" i="11" s="1"/>
  <c r="FZ32" i="11"/>
  <c r="FZ49" i="11" s="1"/>
  <c r="FZ36" i="11"/>
  <c r="FZ53" i="11" s="1"/>
  <c r="FZ11" i="17" s="1"/>
  <c r="FZ33" i="11"/>
  <c r="FZ50" i="11" s="1"/>
  <c r="FZ8" i="17" s="1"/>
  <c r="FZ37" i="11"/>
  <c r="FZ54" i="11" s="1"/>
  <c r="FZ12" i="17" s="1"/>
  <c r="FZ26" i="11"/>
  <c r="FZ43" i="11" s="1"/>
  <c r="GA20" i="11"/>
  <c r="FZ33" i="17"/>
  <c r="S34" i="32"/>
  <c r="FZ27" i="17"/>
  <c r="S28" i="32"/>
  <c r="FZ18" i="10"/>
  <c r="S20" i="32"/>
  <c r="FZ35" i="17"/>
  <c r="S36" i="32"/>
  <c r="GA31" i="10"/>
  <c r="GA34" i="10"/>
  <c r="GB9" i="10"/>
  <c r="GA20" i="10"/>
  <c r="GA29" i="10"/>
  <c r="GA36" i="10"/>
  <c r="GA21" i="10"/>
  <c r="GA24" i="10"/>
  <c r="GA27" i="10"/>
  <c r="GA30" i="10"/>
  <c r="GA35" i="10"/>
  <c r="GA25" i="10"/>
  <c r="GA22" i="10"/>
  <c r="GA33" i="10"/>
  <c r="GA28" i="10"/>
  <c r="GA32" i="10"/>
  <c r="GA23" i="10"/>
  <c r="FZ13" i="10"/>
  <c r="GA7" i="10"/>
  <c r="FY40" i="11"/>
  <c r="FY7" i="17" s="1"/>
  <c r="FY13" i="17" s="1"/>
  <c r="FY55" i="11"/>
  <c r="FY14" i="10" s="1"/>
  <c r="FY15" i="10" s="1"/>
  <c r="FY16" i="10" s="1"/>
  <c r="FY15" i="17" s="1"/>
  <c r="FY19" i="19" s="1"/>
  <c r="B190" i="37"/>
  <c r="A189" i="37"/>
  <c r="FP18" i="23" l="1"/>
  <c r="FP32" i="19" s="1"/>
  <c r="S38" i="32"/>
  <c r="Q16" i="30"/>
  <c r="P11" i="43"/>
  <c r="Q15" i="30"/>
  <c r="P10" i="43"/>
  <c r="Q20" i="30"/>
  <c r="P15" i="43"/>
  <c r="Q22" i="30"/>
  <c r="P17" i="43"/>
  <c r="Q23" i="30"/>
  <c r="P18" i="43"/>
  <c r="Q21" i="30"/>
  <c r="P16" i="43"/>
  <c r="Q17" i="30"/>
  <c r="P12" i="43"/>
  <c r="Q13" i="30"/>
  <c r="P8" i="43"/>
  <c r="Q24" i="30"/>
  <c r="P19" i="43"/>
  <c r="Q18" i="30"/>
  <c r="P13" i="43"/>
  <c r="Q25" i="30"/>
  <c r="P20" i="43"/>
  <c r="Q26" i="30"/>
  <c r="P21" i="43"/>
  <c r="Q29" i="30"/>
  <c r="P24" i="43"/>
  <c r="Q27" i="30"/>
  <c r="P22" i="43"/>
  <c r="Q28" i="30"/>
  <c r="P23" i="43"/>
  <c r="FQ17" i="23"/>
  <c r="FQ22" i="23" s="1"/>
  <c r="FR14" i="23"/>
  <c r="FQ12" i="19"/>
  <c r="FX17" i="17"/>
  <c r="FY9" i="19"/>
  <c r="FY9" i="20" s="1"/>
  <c r="FY16" i="17"/>
  <c r="FY39" i="17" s="1"/>
  <c r="GA24" i="17"/>
  <c r="FZ37" i="17"/>
  <c r="FZ21" i="19" s="1"/>
  <c r="GA27" i="11"/>
  <c r="GA31" i="11"/>
  <c r="GA35" i="11"/>
  <c r="GA36" i="11"/>
  <c r="GA24" i="11"/>
  <c r="GA25" i="11"/>
  <c r="GA29" i="11"/>
  <c r="GA32" i="11"/>
  <c r="R19" i="38"/>
  <c r="GA26" i="11"/>
  <c r="GA28" i="11"/>
  <c r="GA33" i="11"/>
  <c r="GA34" i="11"/>
  <c r="GA37" i="11"/>
  <c r="GA30" i="11"/>
  <c r="GB20" i="11"/>
  <c r="FW39" i="17"/>
  <c r="FW17" i="17"/>
  <c r="GA31" i="17"/>
  <c r="GA23" i="17"/>
  <c r="GA18" i="10"/>
  <c r="GA13" i="10"/>
  <c r="GB7" i="10"/>
  <c r="GA27" i="17"/>
  <c r="GA34" i="17"/>
  <c r="GA20" i="17"/>
  <c r="GB31" i="10"/>
  <c r="GB30" i="17" s="1"/>
  <c r="GB34" i="10"/>
  <c r="GB33" i="17" s="1"/>
  <c r="GB21" i="10"/>
  <c r="GB20" i="17" s="1"/>
  <c r="GB24" i="10"/>
  <c r="GB23" i="17" s="1"/>
  <c r="GB27" i="10"/>
  <c r="GB26" i="17" s="1"/>
  <c r="GB30" i="10"/>
  <c r="GB29" i="17" s="1"/>
  <c r="GB35" i="10"/>
  <c r="GB34" i="17" s="1"/>
  <c r="GC9" i="10"/>
  <c r="GB22" i="10"/>
  <c r="GB21" i="17" s="1"/>
  <c r="GB25" i="10"/>
  <c r="GB24" i="17" s="1"/>
  <c r="GB29" i="10"/>
  <c r="GB28" i="17" s="1"/>
  <c r="GB20" i="10"/>
  <c r="GB36" i="10"/>
  <c r="GB35" i="17" s="1"/>
  <c r="GB33" i="10"/>
  <c r="GB32" i="17" s="1"/>
  <c r="GB28" i="10"/>
  <c r="GB27" i="17" s="1"/>
  <c r="GB32" i="10"/>
  <c r="GB31" i="17" s="1"/>
  <c r="GB23" i="10"/>
  <c r="GB22" i="17" s="1"/>
  <c r="FO38" i="10"/>
  <c r="A190" i="37"/>
  <c r="B191" i="37"/>
  <c r="S13" i="32"/>
  <c r="P2" i="43" s="1"/>
  <c r="GA32" i="17"/>
  <c r="GA29" i="17"/>
  <c r="GA35" i="17"/>
  <c r="GA33" i="17"/>
  <c r="FZ40" i="11"/>
  <c r="FZ7" i="17" s="1"/>
  <c r="FZ13" i="17" s="1"/>
  <c r="FZ55" i="11"/>
  <c r="GA22" i="17"/>
  <c r="GA21" i="17"/>
  <c r="GA26" i="17"/>
  <c r="GA28" i="17"/>
  <c r="GA30" i="17"/>
  <c r="Q14" i="30"/>
  <c r="P26" i="43" l="1"/>
  <c r="Q31" i="30"/>
  <c r="Q67" i="30" s="1"/>
  <c r="P9" i="34" s="1"/>
  <c r="FQ18" i="23"/>
  <c r="FQ32" i="19" s="1"/>
  <c r="FR17" i="23"/>
  <c r="FR22" i="23" s="1"/>
  <c r="FR12" i="19"/>
  <c r="FS14" i="23"/>
  <c r="FY17" i="17"/>
  <c r="FZ9" i="19"/>
  <c r="FZ9" i="20" s="1"/>
  <c r="FZ14" i="10"/>
  <c r="FO56" i="11"/>
  <c r="S6" i="32" s="1"/>
  <c r="S7" i="32" s="1"/>
  <c r="GB13" i="10"/>
  <c r="GC7" i="10"/>
  <c r="R29" i="38"/>
  <c r="R47" i="38" s="1"/>
  <c r="GA47" i="11"/>
  <c r="R28" i="38"/>
  <c r="R46" i="38" s="1"/>
  <c r="GA46" i="11"/>
  <c r="R34" i="38"/>
  <c r="R52" i="38" s="1"/>
  <c r="GA52" i="11"/>
  <c r="GA10" i="17" s="1"/>
  <c r="GB37" i="17"/>
  <c r="GB21" i="19" s="1"/>
  <c r="R36" i="38"/>
  <c r="R54" i="38" s="1"/>
  <c r="GA54" i="11"/>
  <c r="GA12" i="17" s="1"/>
  <c r="R25" i="38"/>
  <c r="R43" i="38" s="1"/>
  <c r="GA43" i="11"/>
  <c r="R24" i="38"/>
  <c r="R42" i="38" s="1"/>
  <c r="GA42" i="11"/>
  <c r="R30" i="38"/>
  <c r="R48" i="38" s="1"/>
  <c r="GA48" i="11"/>
  <c r="R27" i="38"/>
  <c r="R45" i="38" s="1"/>
  <c r="GA45" i="11"/>
  <c r="A191" i="37"/>
  <c r="B192" i="37"/>
  <c r="GA37" i="17"/>
  <c r="GA21" i="19" s="1"/>
  <c r="GB18" i="10"/>
  <c r="GC31" i="10"/>
  <c r="GC34" i="10"/>
  <c r="GC33" i="17" s="1"/>
  <c r="GC27" i="10"/>
  <c r="GC30" i="10"/>
  <c r="GC35" i="10"/>
  <c r="GC34" i="17" s="1"/>
  <c r="GC22" i="10"/>
  <c r="GC25" i="10"/>
  <c r="GC24" i="17" s="1"/>
  <c r="GC20" i="10"/>
  <c r="GC29" i="10"/>
  <c r="GC36" i="10"/>
  <c r="GC35" i="17" s="1"/>
  <c r="GD9" i="10"/>
  <c r="GC24" i="10"/>
  <c r="GC21" i="10"/>
  <c r="GC20" i="17" s="1"/>
  <c r="GC28" i="10"/>
  <c r="GC27" i="17" s="1"/>
  <c r="GC33" i="10"/>
  <c r="GC32" i="17" s="1"/>
  <c r="GC32" i="10"/>
  <c r="GC31" i="17" s="1"/>
  <c r="GC23" i="10"/>
  <c r="R33" i="38"/>
  <c r="R51" i="38" s="1"/>
  <c r="GA51" i="11"/>
  <c r="GA9" i="17" s="1"/>
  <c r="R23" i="38"/>
  <c r="R41" i="38" s="1"/>
  <c r="GA41" i="11"/>
  <c r="R26" i="38"/>
  <c r="R44" i="38" s="1"/>
  <c r="GA44" i="11"/>
  <c r="Q7" i="30"/>
  <c r="GB25" i="11"/>
  <c r="GB42" i="11" s="1"/>
  <c r="GB29" i="11"/>
  <c r="GB46" i="11" s="1"/>
  <c r="GB33" i="11"/>
  <c r="GB50" i="11" s="1"/>
  <c r="GB8" i="17" s="1"/>
  <c r="GB37" i="11"/>
  <c r="GB54" i="11" s="1"/>
  <c r="GB12" i="17" s="1"/>
  <c r="GB26" i="11"/>
  <c r="GB43" i="11" s="1"/>
  <c r="GB30" i="11"/>
  <c r="GB47" i="11" s="1"/>
  <c r="GB34" i="11"/>
  <c r="GB51" i="11" s="1"/>
  <c r="GB9" i="17" s="1"/>
  <c r="GB27" i="11"/>
  <c r="GB44" i="11" s="1"/>
  <c r="GB31" i="11"/>
  <c r="GB48" i="11" s="1"/>
  <c r="GB35" i="11"/>
  <c r="GB52" i="11" s="1"/>
  <c r="GB10" i="17" s="1"/>
  <c r="GB32" i="11"/>
  <c r="GB49" i="11" s="1"/>
  <c r="GB36" i="11"/>
  <c r="GB53" i="11" s="1"/>
  <c r="GB11" i="17" s="1"/>
  <c r="GB24" i="11"/>
  <c r="GB41" i="11" s="1"/>
  <c r="GB28" i="11"/>
  <c r="GB45" i="11" s="1"/>
  <c r="GC20" i="11"/>
  <c r="R32" i="38"/>
  <c r="R50" i="38" s="1"/>
  <c r="GA50" i="11"/>
  <c r="GA8" i="17" s="1"/>
  <c r="R31" i="38"/>
  <c r="R49" i="38" s="1"/>
  <c r="GA49" i="11"/>
  <c r="R35" i="38"/>
  <c r="R53" i="38" s="1"/>
  <c r="GA53" i="11"/>
  <c r="GA11" i="17" s="1"/>
  <c r="FR18" i="23" l="1"/>
  <c r="FR32" i="19" s="1"/>
  <c r="FT14" i="23"/>
  <c r="FS12" i="19"/>
  <c r="FS17" i="23"/>
  <c r="FS22" i="23" s="1"/>
  <c r="GC27" i="11"/>
  <c r="GC44" i="11" s="1"/>
  <c r="GC31" i="11"/>
  <c r="GC48" i="11" s="1"/>
  <c r="GC35" i="11"/>
  <c r="GC52" i="11" s="1"/>
  <c r="GC10" i="17" s="1"/>
  <c r="GC24" i="11"/>
  <c r="GC41" i="11" s="1"/>
  <c r="GC28" i="11"/>
  <c r="GC45" i="11" s="1"/>
  <c r="GC32" i="11"/>
  <c r="GC49" i="11" s="1"/>
  <c r="GC36" i="11"/>
  <c r="GC53" i="11" s="1"/>
  <c r="GC11" i="17" s="1"/>
  <c r="GC25" i="11"/>
  <c r="GC42" i="11" s="1"/>
  <c r="GC29" i="11"/>
  <c r="GC46" i="11" s="1"/>
  <c r="GC33" i="11"/>
  <c r="GC50" i="11" s="1"/>
  <c r="GC8" i="17" s="1"/>
  <c r="GC37" i="11"/>
  <c r="GC54" i="11" s="1"/>
  <c r="GC12" i="17" s="1"/>
  <c r="GC34" i="11"/>
  <c r="GC51" i="11" s="1"/>
  <c r="GC9" i="17" s="1"/>
  <c r="GC26" i="11"/>
  <c r="GC43" i="11" s="1"/>
  <c r="GC30" i="11"/>
  <c r="GC47" i="11" s="1"/>
  <c r="GD20" i="11"/>
  <c r="GC22" i="17"/>
  <c r="GC28" i="17"/>
  <c r="GC30" i="17"/>
  <c r="A192" i="37"/>
  <c r="B193" i="37"/>
  <c r="Q5" i="30"/>
  <c r="S9" i="32"/>
  <c r="Q6" i="30" s="1"/>
  <c r="GC23" i="17"/>
  <c r="GC29" i="17"/>
  <c r="FZ15" i="10"/>
  <c r="S15" i="32" s="1"/>
  <c r="S14" i="32"/>
  <c r="P3" i="43" s="1"/>
  <c r="GC18" i="10"/>
  <c r="GB40" i="11"/>
  <c r="GB7" i="17" s="1"/>
  <c r="GB13" i="17" s="1"/>
  <c r="GB55" i="11"/>
  <c r="GB14" i="10" s="1"/>
  <c r="GB15" i="10" s="1"/>
  <c r="GB16" i="10" s="1"/>
  <c r="GB15" i="17" s="1"/>
  <c r="GA40" i="11"/>
  <c r="GA7" i="17" s="1"/>
  <c r="GA13" i="17" s="1"/>
  <c r="GA55" i="11"/>
  <c r="GD31" i="10"/>
  <c r="GD30" i="17" s="1"/>
  <c r="GD34" i="10"/>
  <c r="GE9" i="10"/>
  <c r="GD29" i="10"/>
  <c r="GD28" i="17" s="1"/>
  <c r="GD20" i="10"/>
  <c r="GD21" i="10"/>
  <c r="GD24" i="10"/>
  <c r="GD23" i="17" s="1"/>
  <c r="GD36" i="10"/>
  <c r="GD35" i="17" s="1"/>
  <c r="GD27" i="10"/>
  <c r="GD26" i="17" s="1"/>
  <c r="GD30" i="10"/>
  <c r="GD29" i="17" s="1"/>
  <c r="GD25" i="10"/>
  <c r="GD35" i="10"/>
  <c r="GD34" i="17" s="1"/>
  <c r="GD22" i="10"/>
  <c r="GD21" i="17" s="1"/>
  <c r="GD33" i="10"/>
  <c r="GD32" i="17" s="1"/>
  <c r="GD28" i="10"/>
  <c r="GD32" i="10"/>
  <c r="GD31" i="17" s="1"/>
  <c r="GD23" i="10"/>
  <c r="GD22" i="17" s="1"/>
  <c r="GC26" i="17"/>
  <c r="GC13" i="10"/>
  <c r="GD7" i="10"/>
  <c r="R55" i="38"/>
  <c r="GC21" i="17"/>
  <c r="FS18" i="23" l="1"/>
  <c r="FS32" i="19" s="1"/>
  <c r="Q9" i="30"/>
  <c r="P4" i="43"/>
  <c r="FU14" i="23"/>
  <c r="FT12" i="19"/>
  <c r="FT17" i="23"/>
  <c r="FT22" i="23" s="1"/>
  <c r="GA9" i="19"/>
  <c r="GA9" i="20" s="1"/>
  <c r="GD18" i="10"/>
  <c r="GB9" i="19"/>
  <c r="GD20" i="17"/>
  <c r="GD33" i="17"/>
  <c r="GB16" i="17"/>
  <c r="GB39" i="17" s="1"/>
  <c r="GB19" i="19"/>
  <c r="GD13" i="10"/>
  <c r="GE7" i="10"/>
  <c r="FZ16" i="10"/>
  <c r="FZ15" i="17" s="1"/>
  <c r="Q43" i="30"/>
  <c r="Q59" i="30"/>
  <c r="Q58" i="30"/>
  <c r="Q48" i="30"/>
  <c r="Q57" i="30"/>
  <c r="Q66" i="30"/>
  <c r="P8" i="34" s="1"/>
  <c r="Q44" i="30"/>
  <c r="Q47" i="30"/>
  <c r="Q42" i="30"/>
  <c r="Q40" i="30"/>
  <c r="Q56" i="30"/>
  <c r="Q49" i="30"/>
  <c r="Q46" i="30"/>
  <c r="Q50" i="30"/>
  <c r="Q52" i="30"/>
  <c r="Q41" i="30"/>
  <c r="Q51" i="30"/>
  <c r="Q60" i="30"/>
  <c r="Q53" i="30"/>
  <c r="Q55" i="30"/>
  <c r="Q54" i="30"/>
  <c r="Q64" i="30"/>
  <c r="Q45" i="30"/>
  <c r="Q3" i="30"/>
  <c r="GC37" i="17"/>
  <c r="GC21" i="19" s="1"/>
  <c r="GC40" i="11"/>
  <c r="GC7" i="17" s="1"/>
  <c r="GC13" i="17" s="1"/>
  <c r="GC55" i="11"/>
  <c r="GC14" i="10" s="1"/>
  <c r="GC15" i="10" s="1"/>
  <c r="GC16" i="10" s="1"/>
  <c r="GC15" i="17" s="1"/>
  <c r="GD27" i="17"/>
  <c r="GD24" i="17"/>
  <c r="GE31" i="10"/>
  <c r="GE30" i="17" s="1"/>
  <c r="GE34" i="10"/>
  <c r="GE33" i="17" s="1"/>
  <c r="GF9" i="10"/>
  <c r="GE20" i="10"/>
  <c r="GE21" i="10"/>
  <c r="GE20" i="17" s="1"/>
  <c r="GE24" i="10"/>
  <c r="GE23" i="17" s="1"/>
  <c r="GE27" i="10"/>
  <c r="GE30" i="10"/>
  <c r="GE29" i="17" s="1"/>
  <c r="GE35" i="10"/>
  <c r="GE22" i="10"/>
  <c r="GE25" i="10"/>
  <c r="GE24" i="17" s="1"/>
  <c r="GE29" i="10"/>
  <c r="GE28" i="17" s="1"/>
  <c r="GE36" i="10"/>
  <c r="GE28" i="10"/>
  <c r="GE27" i="17" s="1"/>
  <c r="GE33" i="10"/>
  <c r="GE32" i="17" s="1"/>
  <c r="GE32" i="10"/>
  <c r="GE31" i="17" s="1"/>
  <c r="GE23" i="10"/>
  <c r="GE22" i="17" s="1"/>
  <c r="GA14" i="10"/>
  <c r="Q8" i="30"/>
  <c r="S16" i="32"/>
  <c r="A193" i="37"/>
  <c r="B194" i="37"/>
  <c r="GD25" i="11"/>
  <c r="GD42" i="11" s="1"/>
  <c r="GD29" i="11"/>
  <c r="GD46" i="11" s="1"/>
  <c r="GD32" i="11"/>
  <c r="GD49" i="11" s="1"/>
  <c r="GD36" i="11"/>
  <c r="GD53" i="11" s="1"/>
  <c r="GD11" i="17" s="1"/>
  <c r="GD26" i="11"/>
  <c r="GD43" i="11" s="1"/>
  <c r="GD33" i="11"/>
  <c r="GD50" i="11" s="1"/>
  <c r="GD8" i="17" s="1"/>
  <c r="GD37" i="11"/>
  <c r="GD54" i="11" s="1"/>
  <c r="GD12" i="17" s="1"/>
  <c r="GD27" i="11"/>
  <c r="GD44" i="11" s="1"/>
  <c r="GD30" i="11"/>
  <c r="GD47" i="11" s="1"/>
  <c r="GD34" i="11"/>
  <c r="GD51" i="11" s="1"/>
  <c r="GD9" i="17" s="1"/>
  <c r="GD35" i="11"/>
  <c r="GD52" i="11" s="1"/>
  <c r="GD10" i="17" s="1"/>
  <c r="GD24" i="11"/>
  <c r="GD41" i="11" s="1"/>
  <c r="GD28" i="11"/>
  <c r="GD45" i="11" s="1"/>
  <c r="GD31" i="11"/>
  <c r="GD48" i="11" s="1"/>
  <c r="GE20" i="11"/>
  <c r="FT18" i="23" l="1"/>
  <c r="FT32" i="19" s="1"/>
  <c r="Q10" i="30"/>
  <c r="Q32" i="30" s="1"/>
  <c r="S17" i="32"/>
  <c r="P5" i="43"/>
  <c r="FV14" i="23"/>
  <c r="FU12" i="19"/>
  <c r="FU17" i="23"/>
  <c r="FU22" i="23" s="1"/>
  <c r="GD37" i="17"/>
  <c r="GD21" i="19" s="1"/>
  <c r="GC9" i="19"/>
  <c r="GC9" i="20" s="1"/>
  <c r="A194" i="37"/>
  <c r="B195" i="37"/>
  <c r="GE35" i="17"/>
  <c r="GE34" i="17"/>
  <c r="GD40" i="11"/>
  <c r="GD7" i="17" s="1"/>
  <c r="GD13" i="17" s="1"/>
  <c r="GD55" i="11"/>
  <c r="GE21" i="17"/>
  <c r="GE13" i="10"/>
  <c r="GF7" i="10"/>
  <c r="GE26" i="11"/>
  <c r="GE43" i="11" s="1"/>
  <c r="GE30" i="11"/>
  <c r="GE47" i="11" s="1"/>
  <c r="GE34" i="11"/>
  <c r="GE51" i="11" s="1"/>
  <c r="GE9" i="17" s="1"/>
  <c r="GE27" i="11"/>
  <c r="GE44" i="11" s="1"/>
  <c r="GE31" i="11"/>
  <c r="GE48" i="11" s="1"/>
  <c r="GE35" i="11"/>
  <c r="GE52" i="11" s="1"/>
  <c r="GE10" i="17" s="1"/>
  <c r="GE24" i="11"/>
  <c r="GE41" i="11" s="1"/>
  <c r="GE28" i="11"/>
  <c r="GE45" i="11" s="1"/>
  <c r="GE32" i="11"/>
  <c r="GE49" i="11" s="1"/>
  <c r="GE36" i="11"/>
  <c r="GE53" i="11" s="1"/>
  <c r="GE11" i="17" s="1"/>
  <c r="GE37" i="11"/>
  <c r="GE54" i="11" s="1"/>
  <c r="GE12" i="17" s="1"/>
  <c r="GE25" i="11"/>
  <c r="GE42" i="11" s="1"/>
  <c r="GE29" i="11"/>
  <c r="GE46" i="11" s="1"/>
  <c r="GE33" i="11"/>
  <c r="GE50" i="11" s="1"/>
  <c r="GE8" i="17" s="1"/>
  <c r="GF20" i="11"/>
  <c r="GE18" i="10"/>
  <c r="FZ19" i="19"/>
  <c r="FZ16" i="17"/>
  <c r="GB17" i="17"/>
  <c r="GA15" i="10"/>
  <c r="GA16" i="10" s="1"/>
  <c r="GA15" i="17" s="1"/>
  <c r="GE26" i="17"/>
  <c r="GF31" i="10"/>
  <c r="GF30" i="17" s="1"/>
  <c r="GF34" i="10"/>
  <c r="GF33" i="17" s="1"/>
  <c r="GF27" i="10"/>
  <c r="GF26" i="17" s="1"/>
  <c r="GF30" i="10"/>
  <c r="GF29" i="17" s="1"/>
  <c r="GF35" i="10"/>
  <c r="GF34" i="17" s="1"/>
  <c r="GG9" i="10"/>
  <c r="GF22" i="10"/>
  <c r="GF21" i="17" s="1"/>
  <c r="GF25" i="10"/>
  <c r="GF24" i="17" s="1"/>
  <c r="GF29" i="10"/>
  <c r="GF36" i="10"/>
  <c r="GF35" i="17" s="1"/>
  <c r="GF21" i="10"/>
  <c r="GF20" i="10"/>
  <c r="GF24" i="10"/>
  <c r="GF23" i="17" s="1"/>
  <c r="GF28" i="10"/>
  <c r="GF27" i="17" s="1"/>
  <c r="GF33" i="10"/>
  <c r="GF32" i="17" s="1"/>
  <c r="GF32" i="10"/>
  <c r="GF23" i="10"/>
  <c r="GF22" i="17" s="1"/>
  <c r="GC16" i="17"/>
  <c r="GC39" i="17" s="1"/>
  <c r="GC19" i="19"/>
  <c r="P6" i="34"/>
  <c r="Q68" i="30"/>
  <c r="GB9" i="20"/>
  <c r="Q39" i="30" l="1"/>
  <c r="FU18" i="23"/>
  <c r="FU32" i="19" s="1"/>
  <c r="FV12" i="19"/>
  <c r="FW14" i="23"/>
  <c r="FV17" i="23"/>
  <c r="FV22" i="23" s="1"/>
  <c r="GE37" i="17"/>
  <c r="GE21" i="19" s="1"/>
  <c r="GA19" i="19"/>
  <c r="GA16" i="17"/>
  <c r="GF18" i="10"/>
  <c r="GF20" i="17"/>
  <c r="FZ39" i="17"/>
  <c r="FZ17" i="17"/>
  <c r="GD9" i="19"/>
  <c r="GD9" i="20" s="1"/>
  <c r="GF31" i="17"/>
  <c r="GG34" i="10"/>
  <c r="GG31" i="10"/>
  <c r="GG22" i="10"/>
  <c r="GG25" i="10"/>
  <c r="GG24" i="17" s="1"/>
  <c r="GG29" i="10"/>
  <c r="GG28" i="17" s="1"/>
  <c r="GG36" i="10"/>
  <c r="GH9" i="10"/>
  <c r="GG20" i="10"/>
  <c r="GG21" i="10"/>
  <c r="GG20" i="17" s="1"/>
  <c r="GG24" i="10"/>
  <c r="GG23" i="17" s="1"/>
  <c r="GG30" i="10"/>
  <c r="GG29" i="17" s="1"/>
  <c r="GG27" i="10"/>
  <c r="GG35" i="10"/>
  <c r="GG34" i="17" s="1"/>
  <c r="GG33" i="10"/>
  <c r="GG32" i="17" s="1"/>
  <c r="GG28" i="10"/>
  <c r="GG27" i="17" s="1"/>
  <c r="GG32" i="10"/>
  <c r="GG31" i="17" s="1"/>
  <c r="GG23" i="10"/>
  <c r="GG22" i="17" s="1"/>
  <c r="GF24" i="11"/>
  <c r="GF41" i="11" s="1"/>
  <c r="GF28" i="11"/>
  <c r="GF45" i="11" s="1"/>
  <c r="GF32" i="11"/>
  <c r="GF49" i="11" s="1"/>
  <c r="GF36" i="11"/>
  <c r="GF53" i="11" s="1"/>
  <c r="GF11" i="17" s="1"/>
  <c r="GF25" i="11"/>
  <c r="GF42" i="11" s="1"/>
  <c r="GF29" i="11"/>
  <c r="GF46" i="11" s="1"/>
  <c r="GF33" i="11"/>
  <c r="GF50" i="11" s="1"/>
  <c r="GF8" i="17" s="1"/>
  <c r="GF37" i="11"/>
  <c r="GF54" i="11" s="1"/>
  <c r="GF12" i="17" s="1"/>
  <c r="GF26" i="11"/>
  <c r="GF43" i="11" s="1"/>
  <c r="GF30" i="11"/>
  <c r="GF47" i="11" s="1"/>
  <c r="GF34" i="11"/>
  <c r="GF51" i="11" s="1"/>
  <c r="GF9" i="17" s="1"/>
  <c r="GF27" i="11"/>
  <c r="GF44" i="11" s="1"/>
  <c r="GF31" i="11"/>
  <c r="GF48" i="11" s="1"/>
  <c r="GF35" i="11"/>
  <c r="GF52" i="11" s="1"/>
  <c r="GF10" i="17" s="1"/>
  <c r="GG20" i="11"/>
  <c r="GE40" i="11"/>
  <c r="GE7" i="17" s="1"/>
  <c r="GE13" i="17" s="1"/>
  <c r="GE55" i="11"/>
  <c r="GE14" i="10" s="1"/>
  <c r="GE15" i="10" s="1"/>
  <c r="GE16" i="10" s="1"/>
  <c r="GE15" i="17" s="1"/>
  <c r="GF13" i="10"/>
  <c r="GG7" i="10"/>
  <c r="GD14" i="10"/>
  <c r="Q75" i="30"/>
  <c r="Q81" i="30"/>
  <c r="F19" i="35" s="1"/>
  <c r="GF28" i="17"/>
  <c r="A195" i="37"/>
  <c r="B196" i="37"/>
  <c r="GC17" i="17"/>
  <c r="FV18" i="23" l="1"/>
  <c r="FV32" i="19" s="1"/>
  <c r="FW12" i="19"/>
  <c r="FX14" i="23"/>
  <c r="FW17" i="23"/>
  <c r="FW22" i="23" s="1"/>
  <c r="GF37" i="17"/>
  <c r="GF21" i="19" s="1"/>
  <c r="GE19" i="19"/>
  <c r="GE9" i="19"/>
  <c r="GE9" i="20" s="1"/>
  <c r="GE16" i="17"/>
  <c r="GE39" i="17" s="1"/>
  <c r="GG13" i="10"/>
  <c r="GH7" i="10"/>
  <c r="GG33" i="17"/>
  <c r="GD15" i="10"/>
  <c r="GG35" i="17"/>
  <c r="GG30" i="17"/>
  <c r="A196" i="37"/>
  <c r="B197" i="37"/>
  <c r="GG26" i="11"/>
  <c r="GG43" i="11" s="1"/>
  <c r="GG30" i="11"/>
  <c r="GG47" i="11" s="1"/>
  <c r="GG34" i="11"/>
  <c r="GG51" i="11" s="1"/>
  <c r="GG9" i="17" s="1"/>
  <c r="GG27" i="11"/>
  <c r="GG44" i="11" s="1"/>
  <c r="GG31" i="11"/>
  <c r="GG48" i="11" s="1"/>
  <c r="GG35" i="11"/>
  <c r="GG52" i="11" s="1"/>
  <c r="GG10" i="17" s="1"/>
  <c r="GG24" i="11"/>
  <c r="GG41" i="11" s="1"/>
  <c r="GG28" i="11"/>
  <c r="GG45" i="11" s="1"/>
  <c r="GG32" i="11"/>
  <c r="GG49" i="11" s="1"/>
  <c r="GG36" i="11"/>
  <c r="GG53" i="11" s="1"/>
  <c r="GG11" i="17" s="1"/>
  <c r="GG25" i="11"/>
  <c r="GG42" i="11" s="1"/>
  <c r="GG29" i="11"/>
  <c r="GG46" i="11" s="1"/>
  <c r="GG33" i="11"/>
  <c r="GG50" i="11" s="1"/>
  <c r="GG8" i="17" s="1"/>
  <c r="GG37" i="11"/>
  <c r="GG54" i="11" s="1"/>
  <c r="GG12" i="17" s="1"/>
  <c r="GH20" i="11"/>
  <c r="GG26" i="17"/>
  <c r="GG18" i="10"/>
  <c r="GF40" i="11"/>
  <c r="GF7" i="17" s="1"/>
  <c r="GF13" i="17" s="1"/>
  <c r="GF55" i="11"/>
  <c r="GF14" i="10" s="1"/>
  <c r="GF15" i="10" s="1"/>
  <c r="GH31" i="10"/>
  <c r="GH30" i="17" s="1"/>
  <c r="GH34" i="10"/>
  <c r="GH33" i="17" s="1"/>
  <c r="GH21" i="10"/>
  <c r="GH20" i="17" s="1"/>
  <c r="GH24" i="10"/>
  <c r="GH23" i="17" s="1"/>
  <c r="GH36" i="10"/>
  <c r="GH35" i="17" s="1"/>
  <c r="GH20" i="10"/>
  <c r="GH27" i="10"/>
  <c r="GH26" i="17" s="1"/>
  <c r="GH30" i="10"/>
  <c r="GH29" i="17" s="1"/>
  <c r="GH22" i="10"/>
  <c r="GH21" i="17" s="1"/>
  <c r="GH25" i="10"/>
  <c r="GH24" i="17" s="1"/>
  <c r="GH35" i="10"/>
  <c r="GH34" i="17" s="1"/>
  <c r="GH29" i="10"/>
  <c r="GI9" i="10"/>
  <c r="GH28" i="10"/>
  <c r="GH27" i="17" s="1"/>
  <c r="GH33" i="10"/>
  <c r="GH32" i="17" s="1"/>
  <c r="GH32" i="10"/>
  <c r="GH31" i="17" s="1"/>
  <c r="GH23" i="10"/>
  <c r="GH22" i="17" s="1"/>
  <c r="GG21" i="17"/>
  <c r="GA39" i="17"/>
  <c r="GA17" i="17"/>
  <c r="FW18" i="23" l="1"/>
  <c r="FW32" i="19" s="1"/>
  <c r="FX17" i="23"/>
  <c r="FX22" i="23" s="1"/>
  <c r="FY14" i="23"/>
  <c r="FX12" i="19"/>
  <c r="GG37" i="17"/>
  <c r="GG21" i="19" s="1"/>
  <c r="GE17" i="17"/>
  <c r="GH18" i="10"/>
  <c r="GF9" i="19"/>
  <c r="GF9" i="20" s="1"/>
  <c r="GH24" i="11"/>
  <c r="GH41" i="11" s="1"/>
  <c r="GH28" i="11"/>
  <c r="GH45" i="11" s="1"/>
  <c r="GH31" i="11"/>
  <c r="GH48" i="11" s="1"/>
  <c r="GH35" i="11"/>
  <c r="GH52" i="11" s="1"/>
  <c r="GH10" i="17" s="1"/>
  <c r="GH25" i="11"/>
  <c r="GH42" i="11" s="1"/>
  <c r="GH29" i="11"/>
  <c r="GH46" i="11" s="1"/>
  <c r="GH32" i="11"/>
  <c r="GH49" i="11" s="1"/>
  <c r="GH36" i="11"/>
  <c r="GH53" i="11" s="1"/>
  <c r="GH11" i="17" s="1"/>
  <c r="GH26" i="11"/>
  <c r="GH43" i="11" s="1"/>
  <c r="GH33" i="11"/>
  <c r="GH50" i="11" s="1"/>
  <c r="GH8" i="17" s="1"/>
  <c r="GH37" i="11"/>
  <c r="GH54" i="11" s="1"/>
  <c r="GH12" i="17" s="1"/>
  <c r="GH27" i="11"/>
  <c r="GH44" i="11" s="1"/>
  <c r="GH30" i="11"/>
  <c r="GH47" i="11" s="1"/>
  <c r="GH34" i="11"/>
  <c r="GH51" i="11" s="1"/>
  <c r="GH9" i="17" s="1"/>
  <c r="GI20" i="11"/>
  <c r="GG40" i="11"/>
  <c r="GG7" i="17" s="1"/>
  <c r="GG13" i="17" s="1"/>
  <c r="GG55" i="11"/>
  <c r="GG14" i="10" s="1"/>
  <c r="GG15" i="10" s="1"/>
  <c r="A197" i="37"/>
  <c r="B198" i="37"/>
  <c r="GF16" i="10"/>
  <c r="GF15" i="17" s="1"/>
  <c r="GD16" i="10"/>
  <c r="GD15" i="17" s="1"/>
  <c r="GI31" i="10"/>
  <c r="GI30" i="17" s="1"/>
  <c r="GI34" i="10"/>
  <c r="GI33" i="17" s="1"/>
  <c r="GJ9" i="10"/>
  <c r="GI20" i="10"/>
  <c r="GI27" i="10"/>
  <c r="GI26" i="17" s="1"/>
  <c r="GI30" i="10"/>
  <c r="GI29" i="17" s="1"/>
  <c r="GI35" i="10"/>
  <c r="GI34" i="17" s="1"/>
  <c r="GI22" i="10"/>
  <c r="GI25" i="10"/>
  <c r="GI24" i="17" s="1"/>
  <c r="GI29" i="10"/>
  <c r="GI28" i="17" s="1"/>
  <c r="GI36" i="10"/>
  <c r="GI35" i="17" s="1"/>
  <c r="GI24" i="10"/>
  <c r="GI23" i="17" s="1"/>
  <c r="GI21" i="10"/>
  <c r="GI20" i="17" s="1"/>
  <c r="GI28" i="10"/>
  <c r="GI27" i="17" s="1"/>
  <c r="GI33" i="10"/>
  <c r="GI32" i="17" s="1"/>
  <c r="GI32" i="10"/>
  <c r="GI31" i="17" s="1"/>
  <c r="GI23" i="10"/>
  <c r="GI22" i="17" s="1"/>
  <c r="GH28" i="17"/>
  <c r="GH37" i="17" s="1"/>
  <c r="GH21" i="19" s="1"/>
  <c r="GH13" i="10"/>
  <c r="GI7" i="10"/>
  <c r="FX18" i="23" l="1"/>
  <c r="FX32" i="19" s="1"/>
  <c r="FY12" i="19"/>
  <c r="FZ14" i="23"/>
  <c r="FY17" i="23"/>
  <c r="FY22" i="23" s="1"/>
  <c r="GD19" i="19"/>
  <c r="GD16" i="17"/>
  <c r="GH55" i="11"/>
  <c r="GH40" i="11"/>
  <c r="GH7" i="17" s="1"/>
  <c r="GH13" i="17" s="1"/>
  <c r="GJ31" i="10"/>
  <c r="GJ30" i="17" s="1"/>
  <c r="GJ34" i="10"/>
  <c r="GJ33" i="17" s="1"/>
  <c r="GK9" i="10"/>
  <c r="GJ22" i="10"/>
  <c r="GJ21" i="17" s="1"/>
  <c r="GJ25" i="10"/>
  <c r="GJ24" i="17" s="1"/>
  <c r="GJ29" i="10"/>
  <c r="GJ28" i="17" s="1"/>
  <c r="GJ36" i="10"/>
  <c r="GJ35" i="17" s="1"/>
  <c r="GJ21" i="10"/>
  <c r="GJ20" i="17" s="1"/>
  <c r="GJ24" i="10"/>
  <c r="GJ23" i="17" s="1"/>
  <c r="GJ20" i="10"/>
  <c r="GJ30" i="10"/>
  <c r="GJ29" i="17" s="1"/>
  <c r="GJ35" i="10"/>
  <c r="GJ34" i="17" s="1"/>
  <c r="GJ27" i="10"/>
  <c r="GJ26" i="17" s="1"/>
  <c r="GJ33" i="10"/>
  <c r="GJ32" i="17" s="1"/>
  <c r="GJ28" i="10"/>
  <c r="GJ27" i="17" s="1"/>
  <c r="GJ32" i="10"/>
  <c r="GJ31" i="17" s="1"/>
  <c r="GJ23" i="10"/>
  <c r="GJ22" i="17" s="1"/>
  <c r="GF16" i="17"/>
  <c r="GF19" i="19"/>
  <c r="GG9" i="19"/>
  <c r="GG9" i="20" s="1"/>
  <c r="GI13" i="10"/>
  <c r="GJ7" i="10"/>
  <c r="GI21" i="17"/>
  <c r="GI37" i="17" s="1"/>
  <c r="GI21" i="19" s="1"/>
  <c r="GI18" i="10"/>
  <c r="GG16" i="10"/>
  <c r="GG15" i="17" s="1"/>
  <c r="GG19" i="19" s="1"/>
  <c r="A198" i="37"/>
  <c r="B199" i="37"/>
  <c r="GI25" i="11"/>
  <c r="GI42" i="11" s="1"/>
  <c r="GI29" i="11"/>
  <c r="GI46" i="11" s="1"/>
  <c r="GI33" i="11"/>
  <c r="GI50" i="11" s="1"/>
  <c r="GI8" i="17" s="1"/>
  <c r="GI37" i="11"/>
  <c r="GI54" i="11" s="1"/>
  <c r="GI12" i="17" s="1"/>
  <c r="GI26" i="11"/>
  <c r="GI43" i="11" s="1"/>
  <c r="GI30" i="11"/>
  <c r="GI47" i="11" s="1"/>
  <c r="GI34" i="11"/>
  <c r="GI51" i="11" s="1"/>
  <c r="GI9" i="17" s="1"/>
  <c r="GI27" i="11"/>
  <c r="GI44" i="11" s="1"/>
  <c r="GI31" i="11"/>
  <c r="GI48" i="11" s="1"/>
  <c r="GI35" i="11"/>
  <c r="GI52" i="11" s="1"/>
  <c r="GI10" i="17" s="1"/>
  <c r="GI28" i="11"/>
  <c r="GI45" i="11" s="1"/>
  <c r="GI32" i="11"/>
  <c r="GI49" i="11" s="1"/>
  <c r="GI36" i="11"/>
  <c r="GI53" i="11" s="1"/>
  <c r="GI11" i="17" s="1"/>
  <c r="GI24" i="11"/>
  <c r="GI41" i="11" s="1"/>
  <c r="GJ20" i="11"/>
  <c r="FY18" i="23" l="1"/>
  <c r="FY32" i="19" s="1"/>
  <c r="FZ17" i="23"/>
  <c r="FZ22" i="23" s="1"/>
  <c r="FZ12" i="19"/>
  <c r="GA14" i="23"/>
  <c r="GJ37" i="17"/>
  <c r="GJ21" i="19" s="1"/>
  <c r="A199" i="37"/>
  <c r="B200" i="37"/>
  <c r="GF39" i="17"/>
  <c r="GF17" i="17"/>
  <c r="GJ27" i="11"/>
  <c r="GJ44" i="11" s="1"/>
  <c r="GJ30" i="11"/>
  <c r="GJ47" i="11" s="1"/>
  <c r="GJ34" i="11"/>
  <c r="GJ51" i="11" s="1"/>
  <c r="GJ9" i="17" s="1"/>
  <c r="GJ24" i="11"/>
  <c r="GJ41" i="11" s="1"/>
  <c r="GJ28" i="11"/>
  <c r="GJ45" i="11" s="1"/>
  <c r="GJ31" i="11"/>
  <c r="GJ48" i="11" s="1"/>
  <c r="GJ35" i="11"/>
  <c r="GJ52" i="11" s="1"/>
  <c r="GJ10" i="17" s="1"/>
  <c r="GJ25" i="11"/>
  <c r="GJ42" i="11" s="1"/>
  <c r="GJ29" i="11"/>
  <c r="GJ46" i="11" s="1"/>
  <c r="GJ32" i="11"/>
  <c r="GJ49" i="11" s="1"/>
  <c r="GJ36" i="11"/>
  <c r="GJ53" i="11" s="1"/>
  <c r="GJ11" i="17" s="1"/>
  <c r="GJ33" i="11"/>
  <c r="GJ50" i="11" s="1"/>
  <c r="GJ8" i="17" s="1"/>
  <c r="GJ37" i="11"/>
  <c r="GJ54" i="11" s="1"/>
  <c r="GJ12" i="17" s="1"/>
  <c r="GJ26" i="11"/>
  <c r="GJ43" i="11" s="1"/>
  <c r="GK20" i="11"/>
  <c r="GG16" i="17"/>
  <c r="GK34" i="10"/>
  <c r="GK33" i="17" s="1"/>
  <c r="GK31" i="10"/>
  <c r="GK30" i="17" s="1"/>
  <c r="GK29" i="10"/>
  <c r="GK28" i="17" s="1"/>
  <c r="GK36" i="10"/>
  <c r="GK35" i="17" s="1"/>
  <c r="GL9" i="10"/>
  <c r="GK21" i="10"/>
  <c r="GK20" i="17" s="1"/>
  <c r="GK24" i="10"/>
  <c r="GK23" i="17" s="1"/>
  <c r="GK20" i="10"/>
  <c r="GK27" i="10"/>
  <c r="GK26" i="17" s="1"/>
  <c r="GK30" i="10"/>
  <c r="GK29" i="17" s="1"/>
  <c r="GK35" i="10"/>
  <c r="GK34" i="17" s="1"/>
  <c r="GK25" i="10"/>
  <c r="GK24" i="17" s="1"/>
  <c r="GK22" i="10"/>
  <c r="GK21" i="17" s="1"/>
  <c r="GK28" i="10"/>
  <c r="GK27" i="17" s="1"/>
  <c r="GK33" i="10"/>
  <c r="GK32" i="17" s="1"/>
  <c r="GK32" i="10"/>
  <c r="GK31" i="17" s="1"/>
  <c r="GK23" i="10"/>
  <c r="GK22" i="17" s="1"/>
  <c r="GH14" i="10"/>
  <c r="GI40" i="11"/>
  <c r="GI7" i="17" s="1"/>
  <c r="GI13" i="17" s="1"/>
  <c r="GI55" i="11"/>
  <c r="GI14" i="10" s="1"/>
  <c r="GI15" i="10" s="1"/>
  <c r="GI16" i="10" s="1"/>
  <c r="GI15" i="17" s="1"/>
  <c r="GI19" i="19" s="1"/>
  <c r="GJ13" i="10"/>
  <c r="GK7" i="10"/>
  <c r="GH9" i="19"/>
  <c r="GH9" i="20" s="1"/>
  <c r="GJ18" i="10"/>
  <c r="GD39" i="17"/>
  <c r="GD17" i="17"/>
  <c r="FZ18" i="23" l="1"/>
  <c r="FZ32" i="19" s="1"/>
  <c r="GB14" i="23"/>
  <c r="GA17" i="23"/>
  <c r="GA22" i="23" s="1"/>
  <c r="GA12" i="19"/>
  <c r="GG39" i="17"/>
  <c r="GG17" i="17"/>
  <c r="GK24" i="11"/>
  <c r="GK41" i="11" s="1"/>
  <c r="GK28" i="11"/>
  <c r="GK45" i="11" s="1"/>
  <c r="GK31" i="11"/>
  <c r="GK48" i="11" s="1"/>
  <c r="GK35" i="11"/>
  <c r="GK52" i="11" s="1"/>
  <c r="GK10" i="17" s="1"/>
  <c r="GK25" i="11"/>
  <c r="GK42" i="11" s="1"/>
  <c r="GK29" i="11"/>
  <c r="GK46" i="11" s="1"/>
  <c r="GK32" i="11"/>
  <c r="GK49" i="11" s="1"/>
  <c r="GK36" i="11"/>
  <c r="GK53" i="11" s="1"/>
  <c r="GK11" i="17" s="1"/>
  <c r="GK26" i="11"/>
  <c r="GK43" i="11" s="1"/>
  <c r="GK33" i="11"/>
  <c r="GK50" i="11" s="1"/>
  <c r="GK8" i="17" s="1"/>
  <c r="GK37" i="11"/>
  <c r="GK54" i="11" s="1"/>
  <c r="GK12" i="17" s="1"/>
  <c r="GK30" i="11"/>
  <c r="GK47" i="11" s="1"/>
  <c r="GK34" i="11"/>
  <c r="GK51" i="11" s="1"/>
  <c r="GK9" i="17" s="1"/>
  <c r="GK27" i="11"/>
  <c r="GK44" i="11" s="1"/>
  <c r="GL20" i="11"/>
  <c r="GK18" i="10"/>
  <c r="GJ40" i="11"/>
  <c r="GJ7" i="17" s="1"/>
  <c r="GJ13" i="17" s="1"/>
  <c r="GJ55" i="11"/>
  <c r="GJ14" i="10" s="1"/>
  <c r="GJ15" i="10" s="1"/>
  <c r="GK13" i="10"/>
  <c r="GL7" i="10"/>
  <c r="GH15" i="10"/>
  <c r="A200" i="37"/>
  <c r="B201" i="37"/>
  <c r="GI9" i="19"/>
  <c r="GI9" i="20" s="1"/>
  <c r="GI16" i="17"/>
  <c r="GI39" i="17" s="1"/>
  <c r="GK37" i="17"/>
  <c r="GK21" i="19" s="1"/>
  <c r="GL31" i="10"/>
  <c r="GL34" i="10"/>
  <c r="GL27" i="10"/>
  <c r="GL30" i="10"/>
  <c r="GL20" i="10"/>
  <c r="GL22" i="10"/>
  <c r="GL25" i="10"/>
  <c r="GL35" i="10"/>
  <c r="GM9" i="10"/>
  <c r="GL29" i="10"/>
  <c r="GL21" i="10"/>
  <c r="GL36" i="10"/>
  <c r="GL24" i="10"/>
  <c r="GL28" i="10"/>
  <c r="GL33" i="10"/>
  <c r="GL32" i="10"/>
  <c r="GL23" i="10"/>
  <c r="GA18" i="23" l="1"/>
  <c r="GA32" i="19" s="1"/>
  <c r="GC14" i="23"/>
  <c r="GB17" i="23"/>
  <c r="GB22" i="23" s="1"/>
  <c r="GB12" i="19"/>
  <c r="GL23" i="17"/>
  <c r="T24" i="32"/>
  <c r="GL30" i="17"/>
  <c r="T31" i="32"/>
  <c r="GH16" i="10"/>
  <c r="GH15" i="17" s="1"/>
  <c r="A201" i="37"/>
  <c r="B202" i="37"/>
  <c r="GJ16" i="10"/>
  <c r="GJ15" i="17" s="1"/>
  <c r="GJ19" i="19" s="1"/>
  <c r="GJ9" i="19"/>
  <c r="GJ9" i="20" s="1"/>
  <c r="GL22" i="17"/>
  <c r="T23" i="32"/>
  <c r="GM34" i="10"/>
  <c r="GM33" i="17" s="1"/>
  <c r="GM31" i="10"/>
  <c r="GN9" i="10"/>
  <c r="GM20" i="10"/>
  <c r="GM22" i="10"/>
  <c r="GM25" i="10"/>
  <c r="GM29" i="10"/>
  <c r="GM36" i="10"/>
  <c r="GM21" i="10"/>
  <c r="GM24" i="10"/>
  <c r="GM30" i="10"/>
  <c r="GM27" i="10"/>
  <c r="GM28" i="10"/>
  <c r="GM35" i="10"/>
  <c r="GM33" i="10"/>
  <c r="GM32" i="17" s="1"/>
  <c r="GM32" i="10"/>
  <c r="GM23" i="10"/>
  <c r="GL18" i="10"/>
  <c r="GA38" i="10" s="1"/>
  <c r="T20" i="32"/>
  <c r="GL25" i="11"/>
  <c r="GL42" i="11" s="1"/>
  <c r="GL29" i="11"/>
  <c r="GL46" i="11" s="1"/>
  <c r="GL33" i="11"/>
  <c r="GL50" i="11" s="1"/>
  <c r="GL8" i="17" s="1"/>
  <c r="GL37" i="11"/>
  <c r="GL54" i="11" s="1"/>
  <c r="GL12" i="17" s="1"/>
  <c r="GL26" i="11"/>
  <c r="GL43" i="11" s="1"/>
  <c r="GL30" i="11"/>
  <c r="GL47" i="11" s="1"/>
  <c r="GL34" i="11"/>
  <c r="GL51" i="11" s="1"/>
  <c r="GL9" i="17" s="1"/>
  <c r="GL27" i="11"/>
  <c r="GL44" i="11" s="1"/>
  <c r="GL31" i="11"/>
  <c r="GL48" i="11" s="1"/>
  <c r="GL35" i="11"/>
  <c r="GL52" i="11" s="1"/>
  <c r="GL10" i="17" s="1"/>
  <c r="GL32" i="11"/>
  <c r="GL49" i="11" s="1"/>
  <c r="GL36" i="11"/>
  <c r="GL53" i="11" s="1"/>
  <c r="GL11" i="17" s="1"/>
  <c r="GL24" i="11"/>
  <c r="GL41" i="11" s="1"/>
  <c r="GL28" i="11"/>
  <c r="GL45" i="11" s="1"/>
  <c r="GM20" i="11"/>
  <c r="GL31" i="17"/>
  <c r="T32" i="32"/>
  <c r="GL35" i="17"/>
  <c r="T36" i="32"/>
  <c r="GL34" i="17"/>
  <c r="T35" i="32"/>
  <c r="GL29" i="17"/>
  <c r="T30" i="32"/>
  <c r="GL32" i="17"/>
  <c r="T33" i="32"/>
  <c r="GL20" i="17"/>
  <c r="T21" i="32"/>
  <c r="Q9" i="43" s="1"/>
  <c r="GL24" i="17"/>
  <c r="T25" i="32"/>
  <c r="GL26" i="17"/>
  <c r="T27" i="32"/>
  <c r="GI17" i="17"/>
  <c r="GL13" i="10"/>
  <c r="T13" i="32" s="1"/>
  <c r="Q2" i="43" s="1"/>
  <c r="GM7" i="10"/>
  <c r="GK40" i="11"/>
  <c r="GK7" i="17" s="1"/>
  <c r="GK13" i="17" s="1"/>
  <c r="GK55" i="11"/>
  <c r="GK14" i="10" s="1"/>
  <c r="GK15" i="10" s="1"/>
  <c r="GK16" i="10" s="1"/>
  <c r="GK15" i="17" s="1"/>
  <c r="GK19" i="19" s="1"/>
  <c r="GL27" i="17"/>
  <c r="T28" i="32"/>
  <c r="GL28" i="17"/>
  <c r="T29" i="32"/>
  <c r="GL21" i="17"/>
  <c r="T22" i="32"/>
  <c r="GL33" i="17"/>
  <c r="T34" i="32"/>
  <c r="T38" i="32" l="1"/>
  <c r="R18" i="30"/>
  <c r="Q13" i="43"/>
  <c r="R27" i="30"/>
  <c r="Q22" i="43"/>
  <c r="R22" i="30"/>
  <c r="Q17" i="43"/>
  <c r="R23" i="30"/>
  <c r="Q18" i="43"/>
  <c r="R29" i="30"/>
  <c r="Q24" i="43"/>
  <c r="R16" i="30"/>
  <c r="Q11" i="43"/>
  <c r="R20" i="30"/>
  <c r="Q15" i="43"/>
  <c r="R21" i="30"/>
  <c r="Q16" i="43"/>
  <c r="R28" i="30"/>
  <c r="Q23" i="43"/>
  <c r="R13" i="30"/>
  <c r="Q8" i="43"/>
  <c r="R24" i="30"/>
  <c r="Q19" i="43"/>
  <c r="R15" i="30"/>
  <c r="Q10" i="43"/>
  <c r="R26" i="30"/>
  <c r="Q21" i="43"/>
  <c r="R25" i="30"/>
  <c r="Q20" i="43"/>
  <c r="R17" i="30"/>
  <c r="Q12" i="43"/>
  <c r="GB18" i="23"/>
  <c r="GB32" i="19" s="1"/>
  <c r="GC12" i="19"/>
  <c r="GD14" i="23"/>
  <c r="GC17" i="23"/>
  <c r="GC22" i="23" s="1"/>
  <c r="GJ16" i="17"/>
  <c r="GJ39" i="17" s="1"/>
  <c r="GM13" i="10"/>
  <c r="GN7" i="10"/>
  <c r="GM31" i="17"/>
  <c r="GM35" i="17"/>
  <c r="GM18" i="10"/>
  <c r="R7" i="30"/>
  <c r="GM29" i="17"/>
  <c r="GM28" i="17"/>
  <c r="GN34" i="10"/>
  <c r="GN33" i="17" s="1"/>
  <c r="GN31" i="10"/>
  <c r="GN30" i="17" s="1"/>
  <c r="GN21" i="10"/>
  <c r="GN20" i="17" s="1"/>
  <c r="GN24" i="10"/>
  <c r="GN23" i="17" s="1"/>
  <c r="GN36" i="10"/>
  <c r="GN35" i="17" s="1"/>
  <c r="GN27" i="10"/>
  <c r="GN26" i="17" s="1"/>
  <c r="GN30" i="10"/>
  <c r="GN29" i="17" s="1"/>
  <c r="GN22" i="10"/>
  <c r="GN21" i="17" s="1"/>
  <c r="GN25" i="10"/>
  <c r="GN24" i="17" s="1"/>
  <c r="GN35" i="10"/>
  <c r="GN34" i="17" s="1"/>
  <c r="GO9" i="10"/>
  <c r="GN20" i="10"/>
  <c r="GN29" i="10"/>
  <c r="GN28" i="17" s="1"/>
  <c r="GN28" i="10"/>
  <c r="GN27" i="17" s="1"/>
  <c r="GN33" i="10"/>
  <c r="GN32" i="17" s="1"/>
  <c r="GN32" i="10"/>
  <c r="GN31" i="17" s="1"/>
  <c r="GN23" i="10"/>
  <c r="GN22" i="17" s="1"/>
  <c r="GL37" i="17"/>
  <c r="GL21" i="19" s="1"/>
  <c r="GH19" i="19"/>
  <c r="GH16" i="17"/>
  <c r="GL40" i="11"/>
  <c r="GL7" i="17" s="1"/>
  <c r="GL13" i="17" s="1"/>
  <c r="GL55" i="11"/>
  <c r="GM26" i="17"/>
  <c r="GM26" i="11"/>
  <c r="GM30" i="11"/>
  <c r="GM34" i="11"/>
  <c r="S19" i="38"/>
  <c r="GM28" i="11"/>
  <c r="GM33" i="11"/>
  <c r="GM24" i="11"/>
  <c r="GM29" i="11"/>
  <c r="GM35" i="11"/>
  <c r="GM36" i="11"/>
  <c r="GM32" i="11"/>
  <c r="GM37" i="11"/>
  <c r="GM25" i="11"/>
  <c r="GM27" i="11"/>
  <c r="GM31" i="11"/>
  <c r="GN20" i="11"/>
  <c r="GM34" i="17"/>
  <c r="GM23" i="17"/>
  <c r="GM24" i="17"/>
  <c r="GM30" i="17"/>
  <c r="A202" i="37"/>
  <c r="B203" i="37"/>
  <c r="GK9" i="19"/>
  <c r="GK9" i="20" s="1"/>
  <c r="GK16" i="17"/>
  <c r="GK39" i="17" s="1"/>
  <c r="R14" i="30"/>
  <c r="GM22" i="17"/>
  <c r="GM27" i="17"/>
  <c r="GM20" i="17"/>
  <c r="GM21" i="17"/>
  <c r="R31" i="30" l="1"/>
  <c r="Q26" i="43"/>
  <c r="GC18" i="23"/>
  <c r="GC32" i="19" s="1"/>
  <c r="GD17" i="23"/>
  <c r="GD22" i="23" s="1"/>
  <c r="GD12" i="19"/>
  <c r="GE14" i="23"/>
  <c r="GM37" i="17"/>
  <c r="GM21" i="19" s="1"/>
  <c r="GJ17" i="17"/>
  <c r="R67" i="30"/>
  <c r="Q9" i="34" s="1"/>
  <c r="GL9" i="19"/>
  <c r="GL9" i="20" s="1"/>
  <c r="S24" i="38"/>
  <c r="S42" i="38" s="1"/>
  <c r="GM42" i="11"/>
  <c r="S34" i="38"/>
  <c r="S52" i="38" s="1"/>
  <c r="GM52" i="11"/>
  <c r="GM10" i="17" s="1"/>
  <c r="S27" i="38"/>
  <c r="S45" i="38" s="1"/>
  <c r="GM45" i="11"/>
  <c r="S25" i="38"/>
  <c r="S43" i="38" s="1"/>
  <c r="GM43" i="11"/>
  <c r="GO31" i="10"/>
  <c r="GO34" i="10"/>
  <c r="GP9" i="10"/>
  <c r="GO27" i="10"/>
  <c r="GO30" i="10"/>
  <c r="GO29" i="17" s="1"/>
  <c r="GO35" i="10"/>
  <c r="GO22" i="10"/>
  <c r="GO25" i="10"/>
  <c r="GO24" i="17" s="1"/>
  <c r="GO20" i="10"/>
  <c r="GO29" i="10"/>
  <c r="GO36" i="10"/>
  <c r="GO21" i="10"/>
  <c r="GO24" i="10"/>
  <c r="GO28" i="10"/>
  <c r="GO33" i="10"/>
  <c r="GO32" i="17" s="1"/>
  <c r="GO32" i="10"/>
  <c r="GO31" i="17" s="1"/>
  <c r="GO23" i="10"/>
  <c r="GO22" i="17" s="1"/>
  <c r="GK17" i="17"/>
  <c r="A203" i="37"/>
  <c r="B204" i="37"/>
  <c r="GN26" i="11"/>
  <c r="GN43" i="11" s="1"/>
  <c r="GN30" i="11"/>
  <c r="GN47" i="11" s="1"/>
  <c r="GN34" i="11"/>
  <c r="GN51" i="11" s="1"/>
  <c r="GN9" i="17" s="1"/>
  <c r="GN27" i="11"/>
  <c r="GN44" i="11" s="1"/>
  <c r="GN31" i="11"/>
  <c r="GN48" i="11" s="1"/>
  <c r="GN35" i="11"/>
  <c r="GN52" i="11" s="1"/>
  <c r="GN10" i="17" s="1"/>
  <c r="GN24" i="11"/>
  <c r="GN41" i="11" s="1"/>
  <c r="GN28" i="11"/>
  <c r="GN45" i="11" s="1"/>
  <c r="GN32" i="11"/>
  <c r="GN49" i="11" s="1"/>
  <c r="GN36" i="11"/>
  <c r="GN53" i="11" s="1"/>
  <c r="GN11" i="17" s="1"/>
  <c r="GN25" i="11"/>
  <c r="GN42" i="11" s="1"/>
  <c r="GN29" i="11"/>
  <c r="GN46" i="11" s="1"/>
  <c r="GN33" i="11"/>
  <c r="GN50" i="11" s="1"/>
  <c r="GN8" i="17" s="1"/>
  <c r="GN37" i="11"/>
  <c r="GN54" i="11" s="1"/>
  <c r="GN12" i="17" s="1"/>
  <c r="GO20" i="11"/>
  <c r="S36" i="38"/>
  <c r="S54" i="38" s="1"/>
  <c r="GM54" i="11"/>
  <c r="GM12" i="17" s="1"/>
  <c r="S28" i="38"/>
  <c r="S46" i="38" s="1"/>
  <c r="GM46" i="11"/>
  <c r="GL14" i="10"/>
  <c r="GA56" i="11"/>
  <c r="T6" i="32" s="1"/>
  <c r="T7" i="32" s="1"/>
  <c r="S30" i="38"/>
  <c r="S48" i="38" s="1"/>
  <c r="GM48" i="11"/>
  <c r="S31" i="38"/>
  <c r="S49" i="38" s="1"/>
  <c r="GM49" i="11"/>
  <c r="S23" i="38"/>
  <c r="S41" i="38" s="1"/>
  <c r="GM41" i="11"/>
  <c r="S33" i="38"/>
  <c r="S51" i="38" s="1"/>
  <c r="GM51" i="11"/>
  <c r="GM9" i="17" s="1"/>
  <c r="GN37" i="17"/>
  <c r="GN21" i="19" s="1"/>
  <c r="S26" i="38"/>
  <c r="S44" i="38" s="1"/>
  <c r="GM44" i="11"/>
  <c r="S35" i="38"/>
  <c r="S53" i="38" s="1"/>
  <c r="GM53" i="11"/>
  <c r="GM11" i="17" s="1"/>
  <c r="S32" i="38"/>
  <c r="S50" i="38" s="1"/>
  <c r="GM50" i="11"/>
  <c r="GM8" i="17" s="1"/>
  <c r="S29" i="38"/>
  <c r="S47" i="38" s="1"/>
  <c r="GM47" i="11"/>
  <c r="GH39" i="17"/>
  <c r="GH17" i="17"/>
  <c r="GN18" i="10"/>
  <c r="GN13" i="10"/>
  <c r="GO7" i="10"/>
  <c r="GD18" i="23" l="1"/>
  <c r="GD32" i="19" s="1"/>
  <c r="GE17" i="23"/>
  <c r="GE22" i="23" s="1"/>
  <c r="GE12" i="19"/>
  <c r="GF14" i="23"/>
  <c r="R5" i="30"/>
  <c r="T9" i="32"/>
  <c r="R6" i="30" s="1"/>
  <c r="GO20" i="17"/>
  <c r="GO26" i="17"/>
  <c r="GO23" i="17"/>
  <c r="GO18" i="10"/>
  <c r="GO30" i="17"/>
  <c r="GM40" i="11"/>
  <c r="GM7" i="17" s="1"/>
  <c r="GM13" i="17" s="1"/>
  <c r="GM55" i="11"/>
  <c r="GL15" i="10"/>
  <c r="T15" i="32" s="1"/>
  <c r="T14" i="32"/>
  <c r="Q3" i="43" s="1"/>
  <c r="A204" i="37"/>
  <c r="B205" i="37"/>
  <c r="GO35" i="17"/>
  <c r="GO21" i="17"/>
  <c r="GP34" i="10"/>
  <c r="GP33" i="17" s="1"/>
  <c r="GP31" i="10"/>
  <c r="GP30" i="17" s="1"/>
  <c r="GP29" i="10"/>
  <c r="GP28" i="17" s="1"/>
  <c r="GQ9" i="10"/>
  <c r="GP20" i="10"/>
  <c r="GP21" i="10"/>
  <c r="GP20" i="17" s="1"/>
  <c r="GP24" i="10"/>
  <c r="GP23" i="17" s="1"/>
  <c r="GP36" i="10"/>
  <c r="GP35" i="17" s="1"/>
  <c r="GP27" i="10"/>
  <c r="GP26" i="17" s="1"/>
  <c r="GP30" i="10"/>
  <c r="GP29" i="17" s="1"/>
  <c r="GP22" i="10"/>
  <c r="GP21" i="17" s="1"/>
  <c r="GP35" i="10"/>
  <c r="GP34" i="17" s="1"/>
  <c r="GP25" i="10"/>
  <c r="GP28" i="10"/>
  <c r="GP27" i="17" s="1"/>
  <c r="GP33" i="10"/>
  <c r="GP32" i="10"/>
  <c r="GP23" i="10"/>
  <c r="GP22" i="17" s="1"/>
  <c r="GO13" i="10"/>
  <c r="GP7" i="10"/>
  <c r="S55" i="38"/>
  <c r="GO24" i="11"/>
  <c r="GO41" i="11" s="1"/>
  <c r="GO28" i="11"/>
  <c r="GO45" i="11" s="1"/>
  <c r="GO32" i="11"/>
  <c r="GO49" i="11" s="1"/>
  <c r="GO36" i="11"/>
  <c r="GO53" i="11" s="1"/>
  <c r="GO11" i="17" s="1"/>
  <c r="GO25" i="11"/>
  <c r="GO42" i="11" s="1"/>
  <c r="GO29" i="11"/>
  <c r="GO46" i="11" s="1"/>
  <c r="GO33" i="11"/>
  <c r="GO50" i="11" s="1"/>
  <c r="GO8" i="17" s="1"/>
  <c r="GO37" i="11"/>
  <c r="GO54" i="11" s="1"/>
  <c r="GO12" i="17" s="1"/>
  <c r="GO26" i="11"/>
  <c r="GO43" i="11" s="1"/>
  <c r="GO30" i="11"/>
  <c r="GO47" i="11" s="1"/>
  <c r="GO34" i="11"/>
  <c r="GO51" i="11" s="1"/>
  <c r="GO9" i="17" s="1"/>
  <c r="GO27" i="11"/>
  <c r="GO44" i="11" s="1"/>
  <c r="GO31" i="11"/>
  <c r="GO48" i="11" s="1"/>
  <c r="GO35" i="11"/>
  <c r="GO52" i="11" s="1"/>
  <c r="GO10" i="17" s="1"/>
  <c r="GP20" i="11"/>
  <c r="GN40" i="11"/>
  <c r="GN7" i="17" s="1"/>
  <c r="GN13" i="17" s="1"/>
  <c r="GN55" i="11"/>
  <c r="GN14" i="10" s="1"/>
  <c r="GN15" i="10" s="1"/>
  <c r="GO27" i="17"/>
  <c r="GO28" i="17"/>
  <c r="GO34" i="17"/>
  <c r="GO33" i="17"/>
  <c r="R9" i="30" l="1"/>
  <c r="Q4" i="43"/>
  <c r="GE18" i="23"/>
  <c r="GE32" i="19" s="1"/>
  <c r="GF12" i="19"/>
  <c r="GF17" i="23"/>
  <c r="GF22" i="23" s="1"/>
  <c r="GO37" i="17"/>
  <c r="GO21" i="19" s="1"/>
  <c r="R58" i="30"/>
  <c r="R40" i="30"/>
  <c r="R47" i="30"/>
  <c r="R54" i="30"/>
  <c r="R44" i="30"/>
  <c r="R51" i="30"/>
  <c r="R57" i="30"/>
  <c r="R46" i="30"/>
  <c r="R43" i="30"/>
  <c r="R41" i="30"/>
  <c r="R48" i="30"/>
  <c r="R55" i="30"/>
  <c r="R66" i="30"/>
  <c r="Q8" i="34" s="1"/>
  <c r="R52" i="30"/>
  <c r="R59" i="30"/>
  <c r="R42" i="30"/>
  <c r="R49" i="30"/>
  <c r="R56" i="30"/>
  <c r="R64" i="30"/>
  <c r="R45" i="30"/>
  <c r="R60" i="30"/>
  <c r="R50" i="30"/>
  <c r="R53" i="30"/>
  <c r="R3" i="30"/>
  <c r="GN9" i="19"/>
  <c r="R8" i="30"/>
  <c r="R10" i="30" s="1"/>
  <c r="R32" i="30" s="1"/>
  <c r="T16" i="32"/>
  <c r="GM9" i="19"/>
  <c r="GM9" i="20" s="1"/>
  <c r="GP26" i="11"/>
  <c r="GP43" i="11" s="1"/>
  <c r="GP33" i="11"/>
  <c r="GP50" i="11" s="1"/>
  <c r="GP8" i="17" s="1"/>
  <c r="GP37" i="11"/>
  <c r="GP54" i="11" s="1"/>
  <c r="GP12" i="17" s="1"/>
  <c r="GP27" i="11"/>
  <c r="GP44" i="11" s="1"/>
  <c r="GP30" i="11"/>
  <c r="GP47" i="11" s="1"/>
  <c r="GP34" i="11"/>
  <c r="GP51" i="11" s="1"/>
  <c r="GP9" i="17" s="1"/>
  <c r="GP24" i="11"/>
  <c r="GP41" i="11" s="1"/>
  <c r="GP28" i="11"/>
  <c r="GP45" i="11" s="1"/>
  <c r="GP31" i="11"/>
  <c r="GP48" i="11" s="1"/>
  <c r="GP35" i="11"/>
  <c r="GP52" i="11" s="1"/>
  <c r="GP10" i="17" s="1"/>
  <c r="GP29" i="11"/>
  <c r="GP46" i="11" s="1"/>
  <c r="GP32" i="11"/>
  <c r="GP49" i="11" s="1"/>
  <c r="GP36" i="11"/>
  <c r="GP53" i="11" s="1"/>
  <c r="GP11" i="17" s="1"/>
  <c r="GP25" i="11"/>
  <c r="GP42" i="11" s="1"/>
  <c r="GQ20" i="11"/>
  <c r="GP32" i="17"/>
  <c r="GM14" i="10"/>
  <c r="GO40" i="11"/>
  <c r="GO7" i="17" s="1"/>
  <c r="GO13" i="17" s="1"/>
  <c r="GO55" i="11"/>
  <c r="GO14" i="10" s="1"/>
  <c r="GO15" i="10" s="1"/>
  <c r="GO16" i="10" s="1"/>
  <c r="GO15" i="17" s="1"/>
  <c r="GP24" i="17"/>
  <c r="GP18" i="10"/>
  <c r="GP13" i="10"/>
  <c r="GQ7" i="10"/>
  <c r="GP31" i="17"/>
  <c r="GQ34" i="10"/>
  <c r="GQ31" i="10"/>
  <c r="GQ20" i="10"/>
  <c r="GQ27" i="10"/>
  <c r="GQ26" i="17" s="1"/>
  <c r="GQ30" i="10"/>
  <c r="GQ29" i="17" s="1"/>
  <c r="GQ22" i="10"/>
  <c r="GQ21" i="17" s="1"/>
  <c r="GQ25" i="10"/>
  <c r="GQ24" i="17" s="1"/>
  <c r="GQ35" i="10"/>
  <c r="GR9" i="10"/>
  <c r="GQ29" i="10"/>
  <c r="GQ24" i="10"/>
  <c r="GQ23" i="17" s="1"/>
  <c r="GQ36" i="10"/>
  <c r="GQ35" i="17" s="1"/>
  <c r="GQ21" i="10"/>
  <c r="GQ28" i="10"/>
  <c r="GQ33" i="10"/>
  <c r="GQ32" i="17" s="1"/>
  <c r="GQ32" i="10"/>
  <c r="GQ31" i="17" s="1"/>
  <c r="GQ23" i="10"/>
  <c r="GQ22" i="17" s="1"/>
  <c r="A205" i="37"/>
  <c r="B206" i="37"/>
  <c r="GL16" i="10"/>
  <c r="GL15" i="17" s="1"/>
  <c r="GN16" i="10"/>
  <c r="GN15" i="17" s="1"/>
  <c r="GN19" i="19" s="1"/>
  <c r="T17" i="32" l="1"/>
  <c r="Q5" i="43"/>
  <c r="GF18" i="23"/>
  <c r="GF32" i="19" s="1"/>
  <c r="GP37" i="17"/>
  <c r="GP21" i="19" s="1"/>
  <c r="GO19" i="19"/>
  <c r="GQ34" i="17"/>
  <c r="GN16" i="17"/>
  <c r="GL19" i="19"/>
  <c r="GL16" i="17"/>
  <c r="GQ20" i="17"/>
  <c r="GR34" i="10"/>
  <c r="GR33" i="17" s="1"/>
  <c r="GR31" i="10"/>
  <c r="GR30" i="17" s="1"/>
  <c r="GR29" i="10"/>
  <c r="GR28" i="17" s="1"/>
  <c r="GR21" i="10"/>
  <c r="GR20" i="17" s="1"/>
  <c r="GR24" i="10"/>
  <c r="GR23" i="17" s="1"/>
  <c r="GR36" i="10"/>
  <c r="GR35" i="17" s="1"/>
  <c r="GR27" i="10"/>
  <c r="GR26" i="17" s="1"/>
  <c r="GR30" i="10"/>
  <c r="GR29" i="17" s="1"/>
  <c r="GS9" i="10"/>
  <c r="GR20" i="10"/>
  <c r="GR22" i="10"/>
  <c r="GR35" i="10"/>
  <c r="GR34" i="17" s="1"/>
  <c r="GR25" i="10"/>
  <c r="GR24" i="17" s="1"/>
  <c r="GR33" i="10"/>
  <c r="GR32" i="17" s="1"/>
  <c r="GR28" i="10"/>
  <c r="GR27" i="17" s="1"/>
  <c r="GR32" i="10"/>
  <c r="GR31" i="17" s="1"/>
  <c r="GR23" i="10"/>
  <c r="GR22" i="17" s="1"/>
  <c r="GQ33" i="17"/>
  <c r="Q6" i="34"/>
  <c r="R68" i="30"/>
  <c r="GQ18" i="10"/>
  <c r="GN9" i="20"/>
  <c r="R39" i="30"/>
  <c r="GO9" i="19"/>
  <c r="GO9" i="20" s="1"/>
  <c r="GO16" i="17"/>
  <c r="GO39" i="17" s="1"/>
  <c r="GO42" i="17" s="1"/>
  <c r="GO43" i="17" s="1"/>
  <c r="GO44" i="17" s="1"/>
  <c r="A206" i="37"/>
  <c r="B207" i="37"/>
  <c r="GQ27" i="17"/>
  <c r="GQ28" i="17"/>
  <c r="GQ30" i="17"/>
  <c r="GQ13" i="10"/>
  <c r="GR7" i="10"/>
  <c r="GM15" i="10"/>
  <c r="GM16" i="10" s="1"/>
  <c r="GM15" i="17" s="1"/>
  <c r="GQ27" i="11"/>
  <c r="GQ44" i="11" s="1"/>
  <c r="GQ31" i="11"/>
  <c r="GQ48" i="11" s="1"/>
  <c r="GQ35" i="11"/>
  <c r="GQ52" i="11" s="1"/>
  <c r="GQ10" i="17" s="1"/>
  <c r="GQ24" i="11"/>
  <c r="GQ41" i="11" s="1"/>
  <c r="GQ28" i="11"/>
  <c r="GQ45" i="11" s="1"/>
  <c r="GQ32" i="11"/>
  <c r="GQ49" i="11" s="1"/>
  <c r="GQ36" i="11"/>
  <c r="GQ53" i="11" s="1"/>
  <c r="GQ11" i="17" s="1"/>
  <c r="GQ25" i="11"/>
  <c r="GQ42" i="11" s="1"/>
  <c r="GQ29" i="11"/>
  <c r="GQ46" i="11" s="1"/>
  <c r="GQ33" i="11"/>
  <c r="GQ50" i="11" s="1"/>
  <c r="GQ8" i="17" s="1"/>
  <c r="GQ37" i="11"/>
  <c r="GQ54" i="11" s="1"/>
  <c r="GQ12" i="17" s="1"/>
  <c r="GQ30" i="11"/>
  <c r="GQ47" i="11" s="1"/>
  <c r="GQ34" i="11"/>
  <c r="GQ51" i="11" s="1"/>
  <c r="GQ9" i="17" s="1"/>
  <c r="GQ26" i="11"/>
  <c r="GQ43" i="11" s="1"/>
  <c r="GR20" i="11"/>
  <c r="GP40" i="11"/>
  <c r="GP7" i="17" s="1"/>
  <c r="GP13" i="17" s="1"/>
  <c r="GP55" i="11"/>
  <c r="GQ37" i="17" l="1"/>
  <c r="GQ21" i="19" s="1"/>
  <c r="GP9" i="19"/>
  <c r="GP9" i="20" s="1"/>
  <c r="GR13" i="10"/>
  <c r="GS7" i="10"/>
  <c r="GR18" i="10"/>
  <c r="GL39" i="17"/>
  <c r="GL17" i="17"/>
  <c r="GQ40" i="11"/>
  <c r="GQ7" i="17" s="1"/>
  <c r="GQ13" i="17" s="1"/>
  <c r="GQ55" i="11"/>
  <c r="GQ14" i="10" s="1"/>
  <c r="GQ15" i="10" s="1"/>
  <c r="GQ16" i="10" s="1"/>
  <c r="GQ15" i="17" s="1"/>
  <c r="R81" i="30"/>
  <c r="F20" i="35" s="1"/>
  <c r="R75" i="30"/>
  <c r="GR21" i="17"/>
  <c r="GR37" i="17" s="1"/>
  <c r="GR21" i="19" s="1"/>
  <c r="GR25" i="11"/>
  <c r="GR42" i="11" s="1"/>
  <c r="GR29" i="11"/>
  <c r="GR46" i="11" s="1"/>
  <c r="GR33" i="11"/>
  <c r="GR50" i="11" s="1"/>
  <c r="GR8" i="17" s="1"/>
  <c r="GR37" i="11"/>
  <c r="GR54" i="11" s="1"/>
  <c r="GR12" i="17" s="1"/>
  <c r="GR26" i="11"/>
  <c r="GR43" i="11" s="1"/>
  <c r="GR30" i="11"/>
  <c r="GR47" i="11" s="1"/>
  <c r="GR34" i="11"/>
  <c r="GR51" i="11" s="1"/>
  <c r="GR9" i="17" s="1"/>
  <c r="GR27" i="11"/>
  <c r="GR44" i="11" s="1"/>
  <c r="GR31" i="11"/>
  <c r="GR48" i="11" s="1"/>
  <c r="GR35" i="11"/>
  <c r="GR52" i="11" s="1"/>
  <c r="GR10" i="17" s="1"/>
  <c r="GR32" i="11"/>
  <c r="GR49" i="11" s="1"/>
  <c r="GR36" i="11"/>
  <c r="GR53" i="11" s="1"/>
  <c r="GR11" i="17" s="1"/>
  <c r="GR24" i="11"/>
  <c r="GR41" i="11" s="1"/>
  <c r="GR28" i="11"/>
  <c r="GR45" i="11" s="1"/>
  <c r="GS20" i="11"/>
  <c r="GO17" i="17"/>
  <c r="GS31" i="10"/>
  <c r="GS34" i="10"/>
  <c r="GT9" i="10"/>
  <c r="GS21" i="10"/>
  <c r="GS20" i="17" s="1"/>
  <c r="GS24" i="10"/>
  <c r="GS27" i="10"/>
  <c r="GS26" i="17" s="1"/>
  <c r="GS30" i="10"/>
  <c r="GS29" i="17" s="1"/>
  <c r="GS35" i="10"/>
  <c r="GS34" i="17" s="1"/>
  <c r="GS20" i="10"/>
  <c r="GS22" i="10"/>
  <c r="GS21" i="17" s="1"/>
  <c r="GS25" i="10"/>
  <c r="GS29" i="10"/>
  <c r="GS36" i="10"/>
  <c r="GS28" i="10"/>
  <c r="GS27" i="17" s="1"/>
  <c r="GS33" i="10"/>
  <c r="GS32" i="10"/>
  <c r="GS31" i="17" s="1"/>
  <c r="GS23" i="10"/>
  <c r="GS22" i="17" s="1"/>
  <c r="GM19" i="19"/>
  <c r="GM16" i="17"/>
  <c r="A207" i="37"/>
  <c r="B208" i="37"/>
  <c r="GP14" i="10"/>
  <c r="GO34" i="19"/>
  <c r="GO7" i="20"/>
  <c r="GO28" i="20"/>
  <c r="GN39" i="17"/>
  <c r="GN42" i="17" s="1"/>
  <c r="GN43" i="17" s="1"/>
  <c r="GN44" i="17" s="1"/>
  <c r="GN17" i="17"/>
  <c r="GQ19" i="19" l="1"/>
  <c r="GQ9" i="19"/>
  <c r="GQ9" i="20" s="1"/>
  <c r="GQ16" i="17"/>
  <c r="GQ39" i="17" s="1"/>
  <c r="GQ42" i="17" s="1"/>
  <c r="GQ43" i="17" s="1"/>
  <c r="GQ44" i="17" s="1"/>
  <c r="GN34" i="19"/>
  <c r="GN7" i="20"/>
  <c r="GN28" i="20"/>
  <c r="GP15" i="10"/>
  <c r="GS32" i="17"/>
  <c r="GS24" i="17"/>
  <c r="GT31" i="10"/>
  <c r="GT30" i="17" s="1"/>
  <c r="GT21" i="10"/>
  <c r="GT20" i="17" s="1"/>
  <c r="GT24" i="10"/>
  <c r="GT23" i="17" s="1"/>
  <c r="GT35" i="10"/>
  <c r="GT34" i="17" s="1"/>
  <c r="GU9" i="10"/>
  <c r="GT20" i="10"/>
  <c r="GT27" i="10"/>
  <c r="GT26" i="17" s="1"/>
  <c r="GT30" i="10"/>
  <c r="GT29" i="17" s="1"/>
  <c r="GT34" i="10"/>
  <c r="GT33" i="17" s="1"/>
  <c r="GT22" i="10"/>
  <c r="GT21" i="17" s="1"/>
  <c r="GT25" i="10"/>
  <c r="GT24" i="17" s="1"/>
  <c r="GT36" i="10"/>
  <c r="GT35" i="17" s="1"/>
  <c r="GT29" i="10"/>
  <c r="GT28" i="17" s="1"/>
  <c r="GT33" i="10"/>
  <c r="GT32" i="17" s="1"/>
  <c r="GT28" i="10"/>
  <c r="GT27" i="17" s="1"/>
  <c r="GT32" i="10"/>
  <c r="GT31" i="17" s="1"/>
  <c r="GT23" i="10"/>
  <c r="GT22" i="17" s="1"/>
  <c r="GM39" i="17"/>
  <c r="GM42" i="17" s="1"/>
  <c r="GM17" i="17"/>
  <c r="GS27" i="11"/>
  <c r="GS44" i="11" s="1"/>
  <c r="GS31" i="11"/>
  <c r="GS48" i="11" s="1"/>
  <c r="GS35" i="11"/>
  <c r="GS52" i="11" s="1"/>
  <c r="GS10" i="17" s="1"/>
  <c r="GS24" i="11"/>
  <c r="GS41" i="11" s="1"/>
  <c r="GS28" i="11"/>
  <c r="GS45" i="11" s="1"/>
  <c r="GS32" i="11"/>
  <c r="GS49" i="11" s="1"/>
  <c r="GS36" i="11"/>
  <c r="GS53" i="11" s="1"/>
  <c r="GS11" i="17" s="1"/>
  <c r="GS25" i="11"/>
  <c r="GS42" i="11" s="1"/>
  <c r="GS29" i="11"/>
  <c r="GS46" i="11" s="1"/>
  <c r="GS33" i="11"/>
  <c r="GS50" i="11" s="1"/>
  <c r="GS8" i="17" s="1"/>
  <c r="GS37" i="11"/>
  <c r="GS54" i="11" s="1"/>
  <c r="GS12" i="17" s="1"/>
  <c r="GS34" i="11"/>
  <c r="GS51" i="11" s="1"/>
  <c r="GS9" i="17" s="1"/>
  <c r="GS26" i="11"/>
  <c r="GS43" i="11" s="1"/>
  <c r="GS30" i="11"/>
  <c r="GS47" i="11" s="1"/>
  <c r="GT20" i="11"/>
  <c r="GS13" i="10"/>
  <c r="GT7" i="10"/>
  <c r="A208" i="37"/>
  <c r="B209" i="37"/>
  <c r="GS28" i="17"/>
  <c r="GS33" i="17"/>
  <c r="GR40" i="11"/>
  <c r="GR7" i="17" s="1"/>
  <c r="GR13" i="17" s="1"/>
  <c r="GR55" i="11"/>
  <c r="GS35" i="17"/>
  <c r="GS18" i="10"/>
  <c r="GS23" i="17"/>
  <c r="GS30" i="17"/>
  <c r="GS37" i="17" l="1"/>
  <c r="GS21" i="19" s="1"/>
  <c r="GQ17" i="17"/>
  <c r="GR9" i="19"/>
  <c r="GR9" i="20" s="1"/>
  <c r="A209" i="37"/>
  <c r="B210" i="37"/>
  <c r="GS40" i="11"/>
  <c r="GS7" i="17" s="1"/>
  <c r="GS13" i="17" s="1"/>
  <c r="GS55" i="11"/>
  <c r="GS14" i="10" s="1"/>
  <c r="GS15" i="10" s="1"/>
  <c r="GS16" i="10" s="1"/>
  <c r="GS15" i="17" s="1"/>
  <c r="GP16" i="10"/>
  <c r="GP15" i="17" s="1"/>
  <c r="GR14" i="10"/>
  <c r="GT25" i="11"/>
  <c r="GT42" i="11" s="1"/>
  <c r="GT29" i="11"/>
  <c r="GT46" i="11" s="1"/>
  <c r="GT33" i="11"/>
  <c r="GT50" i="11" s="1"/>
  <c r="GT8" i="17" s="1"/>
  <c r="GT37" i="11"/>
  <c r="GT54" i="11" s="1"/>
  <c r="GT12" i="17" s="1"/>
  <c r="GT26" i="11"/>
  <c r="GT43" i="11" s="1"/>
  <c r="GT30" i="11"/>
  <c r="GT47" i="11" s="1"/>
  <c r="GT34" i="11"/>
  <c r="GT51" i="11" s="1"/>
  <c r="GT9" i="17" s="1"/>
  <c r="GT27" i="11"/>
  <c r="GT44" i="11" s="1"/>
  <c r="GT31" i="11"/>
  <c r="GT48" i="11" s="1"/>
  <c r="GT35" i="11"/>
  <c r="GT52" i="11" s="1"/>
  <c r="GT10" i="17" s="1"/>
  <c r="GT36" i="11"/>
  <c r="GT53" i="11" s="1"/>
  <c r="GT11" i="17" s="1"/>
  <c r="GT24" i="11"/>
  <c r="GT41" i="11" s="1"/>
  <c r="GT28" i="11"/>
  <c r="GT45" i="11" s="1"/>
  <c r="GT32" i="11"/>
  <c r="GT49" i="11" s="1"/>
  <c r="GU20" i="11"/>
  <c r="GM43" i="17"/>
  <c r="GM44" i="17" s="1"/>
  <c r="GT18" i="10"/>
  <c r="GT13" i="10"/>
  <c r="GU7" i="10"/>
  <c r="GT37" i="17"/>
  <c r="GT21" i="19" s="1"/>
  <c r="GU34" i="10"/>
  <c r="GU31" i="10"/>
  <c r="GU20" i="10"/>
  <c r="GU27" i="10"/>
  <c r="GU26" i="17" s="1"/>
  <c r="GU30" i="10"/>
  <c r="GU29" i="17" s="1"/>
  <c r="GU35" i="10"/>
  <c r="GU34" i="17" s="1"/>
  <c r="GU22" i="10"/>
  <c r="GU21" i="17" s="1"/>
  <c r="GU25" i="10"/>
  <c r="GU24" i="17" s="1"/>
  <c r="GV9" i="10"/>
  <c r="GU29" i="10"/>
  <c r="GU36" i="10"/>
  <c r="GU35" i="17" s="1"/>
  <c r="GU24" i="10"/>
  <c r="GU23" i="17" s="1"/>
  <c r="GU21" i="10"/>
  <c r="GU20" i="17" s="1"/>
  <c r="GU28" i="10"/>
  <c r="GU27" i="17" s="1"/>
  <c r="GU33" i="10"/>
  <c r="GU32" i="17" s="1"/>
  <c r="GU32" i="10"/>
  <c r="GU31" i="17" s="1"/>
  <c r="GU23" i="10"/>
  <c r="GU22" i="17" s="1"/>
  <c r="GQ7" i="20"/>
  <c r="GQ34" i="19"/>
  <c r="GQ28" i="20"/>
  <c r="GS19" i="19" l="1"/>
  <c r="GU18" i="10"/>
  <c r="GU13" i="10"/>
  <c r="GV7" i="10"/>
  <c r="GP19" i="19"/>
  <c r="GP16" i="17"/>
  <c r="A210" i="37"/>
  <c r="B211" i="37"/>
  <c r="GU28" i="17"/>
  <c r="GU30" i="17"/>
  <c r="GM34" i="19"/>
  <c r="GM7" i="20"/>
  <c r="GM28" i="20"/>
  <c r="GT40" i="11"/>
  <c r="GT7" i="17" s="1"/>
  <c r="GT13" i="17" s="1"/>
  <c r="GT55" i="11"/>
  <c r="GS9" i="19"/>
  <c r="GS9" i="20" s="1"/>
  <c r="GS16" i="17"/>
  <c r="GS39" i="17" s="1"/>
  <c r="GS42" i="17" s="1"/>
  <c r="GS43" i="17" s="1"/>
  <c r="GS44" i="17" s="1"/>
  <c r="GV34" i="10"/>
  <c r="GV33" i="17" s="1"/>
  <c r="GV31" i="10"/>
  <c r="GV30" i="17" s="1"/>
  <c r="GV29" i="10"/>
  <c r="GV28" i="17" s="1"/>
  <c r="GV21" i="10"/>
  <c r="GV20" i="17" s="1"/>
  <c r="GV24" i="10"/>
  <c r="GV23" i="17" s="1"/>
  <c r="GV36" i="10"/>
  <c r="GV35" i="17" s="1"/>
  <c r="GV27" i="10"/>
  <c r="GV26" i="17" s="1"/>
  <c r="GV30" i="10"/>
  <c r="GV29" i="17" s="1"/>
  <c r="GV20" i="10"/>
  <c r="GW9" i="10"/>
  <c r="GV22" i="10"/>
  <c r="GV21" i="17" s="1"/>
  <c r="GV35" i="10"/>
  <c r="GV34" i="17" s="1"/>
  <c r="GV25" i="10"/>
  <c r="GV24" i="17" s="1"/>
  <c r="GV28" i="10"/>
  <c r="GV27" i="17" s="1"/>
  <c r="GV33" i="10"/>
  <c r="GV32" i="17" s="1"/>
  <c r="GV32" i="10"/>
  <c r="GV31" i="17" s="1"/>
  <c r="GV23" i="10"/>
  <c r="GV22" i="17" s="1"/>
  <c r="GU33" i="17"/>
  <c r="GU27" i="11"/>
  <c r="GU44" i="11" s="1"/>
  <c r="GU31" i="11"/>
  <c r="GU48" i="11" s="1"/>
  <c r="GU35" i="11"/>
  <c r="GU52" i="11" s="1"/>
  <c r="GU10" i="17" s="1"/>
  <c r="GU24" i="11"/>
  <c r="GU41" i="11" s="1"/>
  <c r="GU28" i="11"/>
  <c r="GU45" i="11" s="1"/>
  <c r="GU32" i="11"/>
  <c r="GU49" i="11" s="1"/>
  <c r="GU36" i="11"/>
  <c r="GU53" i="11" s="1"/>
  <c r="GU11" i="17" s="1"/>
  <c r="GU25" i="11"/>
  <c r="GU42" i="11" s="1"/>
  <c r="GU29" i="11"/>
  <c r="GU46" i="11" s="1"/>
  <c r="GU33" i="11"/>
  <c r="GU50" i="11" s="1"/>
  <c r="GU8" i="17" s="1"/>
  <c r="GU37" i="11"/>
  <c r="GU54" i="11" s="1"/>
  <c r="GU12" i="17" s="1"/>
  <c r="GU26" i="11"/>
  <c r="GU43" i="11" s="1"/>
  <c r="GU30" i="11"/>
  <c r="GU47" i="11" s="1"/>
  <c r="GU34" i="11"/>
  <c r="GU51" i="11" s="1"/>
  <c r="GU9" i="17" s="1"/>
  <c r="GV20" i="11"/>
  <c r="GR15" i="10"/>
  <c r="GU37" i="17" l="1"/>
  <c r="GU21" i="19" s="1"/>
  <c r="GV25" i="11"/>
  <c r="GV42" i="11" s="1"/>
  <c r="GV29" i="11"/>
  <c r="GV46" i="11" s="1"/>
  <c r="GV33" i="11"/>
  <c r="GV50" i="11" s="1"/>
  <c r="GV8" i="17" s="1"/>
  <c r="GV37" i="11"/>
  <c r="GV54" i="11" s="1"/>
  <c r="GV12" i="17" s="1"/>
  <c r="GV26" i="11"/>
  <c r="GV43" i="11" s="1"/>
  <c r="GV30" i="11"/>
  <c r="GV47" i="11" s="1"/>
  <c r="GV34" i="11"/>
  <c r="GV51" i="11" s="1"/>
  <c r="GV9" i="17" s="1"/>
  <c r="GV27" i="11"/>
  <c r="GV44" i="11" s="1"/>
  <c r="GV31" i="11"/>
  <c r="GV48" i="11" s="1"/>
  <c r="GV35" i="11"/>
  <c r="GV52" i="11" s="1"/>
  <c r="GV10" i="17" s="1"/>
  <c r="GV24" i="11"/>
  <c r="GV41" i="11" s="1"/>
  <c r="GV28" i="11"/>
  <c r="GV45" i="11" s="1"/>
  <c r="GV32" i="11"/>
  <c r="GV49" i="11" s="1"/>
  <c r="GV36" i="11"/>
  <c r="GV53" i="11" s="1"/>
  <c r="GV11" i="17" s="1"/>
  <c r="GW20" i="11"/>
  <c r="GS17" i="17"/>
  <c r="GT9" i="19"/>
  <c r="GT9" i="20" s="1"/>
  <c r="GU40" i="11"/>
  <c r="GU7" i="17" s="1"/>
  <c r="GU13" i="17" s="1"/>
  <c r="GU55" i="11"/>
  <c r="GU14" i="10" s="1"/>
  <c r="GU15" i="10" s="1"/>
  <c r="GU16" i="10" s="1"/>
  <c r="GU15" i="17" s="1"/>
  <c r="GT14" i="10"/>
  <c r="GP39" i="17"/>
  <c r="GP42" i="17" s="1"/>
  <c r="GP17" i="17"/>
  <c r="GW31" i="10"/>
  <c r="GW30" i="17" s="1"/>
  <c r="GW34" i="10"/>
  <c r="GX9" i="10"/>
  <c r="GW21" i="10"/>
  <c r="GW20" i="17" s="1"/>
  <c r="GW24" i="10"/>
  <c r="GW23" i="17" s="1"/>
  <c r="GW27" i="10"/>
  <c r="GW26" i="17" s="1"/>
  <c r="GW30" i="10"/>
  <c r="GW29" i="17" s="1"/>
  <c r="GW35" i="10"/>
  <c r="GW34" i="17" s="1"/>
  <c r="GW20" i="10"/>
  <c r="GW22" i="10"/>
  <c r="GW21" i="17" s="1"/>
  <c r="GW25" i="10"/>
  <c r="GW24" i="17" s="1"/>
  <c r="GW29" i="10"/>
  <c r="GW28" i="17" s="1"/>
  <c r="GW36" i="10"/>
  <c r="GW35" i="17" s="1"/>
  <c r="GW33" i="10"/>
  <c r="GW28" i="10"/>
  <c r="GW27" i="17" s="1"/>
  <c r="GW32" i="10"/>
  <c r="GW31" i="17" s="1"/>
  <c r="GW23" i="10"/>
  <c r="GW22" i="17" s="1"/>
  <c r="GS34" i="19"/>
  <c r="GS7" i="20"/>
  <c r="GS28" i="20"/>
  <c r="A211" i="37"/>
  <c r="B212" i="37"/>
  <c r="GV13" i="10"/>
  <c r="GW7" i="10"/>
  <c r="GR16" i="10"/>
  <c r="GR15" i="17" s="1"/>
  <c r="GV37" i="17"/>
  <c r="GV21" i="19" s="1"/>
  <c r="GV18" i="10"/>
  <c r="GU19" i="19" l="1"/>
  <c r="A212" i="37"/>
  <c r="B213" i="37"/>
  <c r="GW32" i="17"/>
  <c r="GW33" i="17"/>
  <c r="GP43" i="17"/>
  <c r="GP44" i="17" s="1"/>
  <c r="GX34" i="10"/>
  <c r="GX33" i="17" s="1"/>
  <c r="GX31" i="10"/>
  <c r="GX22" i="10"/>
  <c r="GX25" i="10"/>
  <c r="GX35" i="10"/>
  <c r="GY9" i="10"/>
  <c r="GX20" i="10"/>
  <c r="GX29" i="10"/>
  <c r="GX21" i="10"/>
  <c r="GX24" i="10"/>
  <c r="GX36" i="10"/>
  <c r="GX30" i="10"/>
  <c r="GX27" i="10"/>
  <c r="GX28" i="10"/>
  <c r="GX33" i="10"/>
  <c r="GX32" i="17" s="1"/>
  <c r="GX32" i="10"/>
  <c r="GX23" i="10"/>
  <c r="GW18" i="10"/>
  <c r="GW27" i="11"/>
  <c r="GW44" i="11" s="1"/>
  <c r="GW30" i="11"/>
  <c r="GW47" i="11" s="1"/>
  <c r="GW34" i="11"/>
  <c r="GW51" i="11" s="1"/>
  <c r="GW9" i="17" s="1"/>
  <c r="GW24" i="11"/>
  <c r="GW41" i="11" s="1"/>
  <c r="GW28" i="11"/>
  <c r="GW45" i="11" s="1"/>
  <c r="GW31" i="11"/>
  <c r="GW48" i="11" s="1"/>
  <c r="GW35" i="11"/>
  <c r="GW52" i="11" s="1"/>
  <c r="GW10" i="17" s="1"/>
  <c r="GW25" i="11"/>
  <c r="GW42" i="11" s="1"/>
  <c r="GW29" i="11"/>
  <c r="GW46" i="11" s="1"/>
  <c r="GW32" i="11"/>
  <c r="GW49" i="11" s="1"/>
  <c r="GW36" i="11"/>
  <c r="GW53" i="11" s="1"/>
  <c r="GW11" i="17" s="1"/>
  <c r="GW26" i="11"/>
  <c r="GW43" i="11" s="1"/>
  <c r="GW33" i="11"/>
  <c r="GW50" i="11" s="1"/>
  <c r="GW8" i="17" s="1"/>
  <c r="GW37" i="11"/>
  <c r="GW54" i="11" s="1"/>
  <c r="GW12" i="17" s="1"/>
  <c r="GX20" i="11"/>
  <c r="GV40" i="11"/>
  <c r="GV7" i="17" s="1"/>
  <c r="GV13" i="17" s="1"/>
  <c r="GV55" i="11"/>
  <c r="GV14" i="10" s="1"/>
  <c r="GV15" i="10" s="1"/>
  <c r="GR16" i="17"/>
  <c r="GR19" i="19"/>
  <c r="GW13" i="10"/>
  <c r="GX7" i="10"/>
  <c r="GU9" i="19"/>
  <c r="GU9" i="20" s="1"/>
  <c r="GU16" i="17"/>
  <c r="GU39" i="17" s="1"/>
  <c r="GU42" i="17" s="1"/>
  <c r="GU43" i="17" s="1"/>
  <c r="GU44" i="17" s="1"/>
  <c r="GT15" i="10"/>
  <c r="GT16" i="10" s="1"/>
  <c r="GT15" i="17" s="1"/>
  <c r="GW37" i="17" l="1"/>
  <c r="GW21" i="19" s="1"/>
  <c r="GU17" i="17"/>
  <c r="GP7" i="20"/>
  <c r="GP28" i="20"/>
  <c r="GP34" i="19"/>
  <c r="GT19" i="19"/>
  <c r="GT16" i="17"/>
  <c r="GV9" i="19"/>
  <c r="GV9" i="20" s="1"/>
  <c r="GW40" i="11"/>
  <c r="GW7" i="17" s="1"/>
  <c r="GW13" i="17" s="1"/>
  <c r="GW55" i="11"/>
  <c r="GW14" i="10" s="1"/>
  <c r="GW15" i="10" s="1"/>
  <c r="GW16" i="10" s="1"/>
  <c r="GW15" i="17" s="1"/>
  <c r="GX35" i="17"/>
  <c r="U36" i="32"/>
  <c r="GX18" i="10"/>
  <c r="GM38" i="10" s="1"/>
  <c r="U20" i="32"/>
  <c r="GX21" i="17"/>
  <c r="U22" i="32"/>
  <c r="U33" i="32"/>
  <c r="GX31" i="17"/>
  <c r="U32" i="32"/>
  <c r="GX28" i="17"/>
  <c r="U29" i="32"/>
  <c r="GX24" i="17"/>
  <c r="U25" i="32"/>
  <c r="GU7" i="20"/>
  <c r="GU28" i="20"/>
  <c r="GU34" i="19"/>
  <c r="GX24" i="11"/>
  <c r="GX41" i="11" s="1"/>
  <c r="GX28" i="11"/>
  <c r="GX45" i="11" s="1"/>
  <c r="GX31" i="11"/>
  <c r="GX48" i="11" s="1"/>
  <c r="GX35" i="11"/>
  <c r="GX52" i="11" s="1"/>
  <c r="GX10" i="17" s="1"/>
  <c r="GX25" i="11"/>
  <c r="GX42" i="11" s="1"/>
  <c r="GX29" i="11"/>
  <c r="GX46" i="11" s="1"/>
  <c r="GX32" i="11"/>
  <c r="GX49" i="11" s="1"/>
  <c r="GX36" i="11"/>
  <c r="GX53" i="11" s="1"/>
  <c r="GX11" i="17" s="1"/>
  <c r="GX26" i="11"/>
  <c r="GX43" i="11" s="1"/>
  <c r="GX33" i="11"/>
  <c r="GX50" i="11" s="1"/>
  <c r="GX8" i="17" s="1"/>
  <c r="GX37" i="11"/>
  <c r="GX54" i="11" s="1"/>
  <c r="GX12" i="17" s="1"/>
  <c r="GX27" i="11"/>
  <c r="GX44" i="11" s="1"/>
  <c r="GX30" i="11"/>
  <c r="GX47" i="11" s="1"/>
  <c r="GX34" i="11"/>
  <c r="GX51" i="11" s="1"/>
  <c r="GX9" i="17" s="1"/>
  <c r="GY20" i="11"/>
  <c r="GX27" i="17"/>
  <c r="U28" i="32"/>
  <c r="GX23" i="17"/>
  <c r="U24" i="32"/>
  <c r="GY31" i="10"/>
  <c r="GY34" i="10"/>
  <c r="GY20" i="10"/>
  <c r="GY22" i="10"/>
  <c r="GY25" i="10"/>
  <c r="GY36" i="10"/>
  <c r="GY29" i="10"/>
  <c r="GZ9" i="10"/>
  <c r="GY21" i="10"/>
  <c r="GY24" i="10"/>
  <c r="GY35" i="10"/>
  <c r="GY27" i="10"/>
  <c r="GY30" i="10"/>
  <c r="GY28" i="10"/>
  <c r="GY33" i="10"/>
  <c r="GY32" i="10"/>
  <c r="GY23" i="10"/>
  <c r="GX30" i="17"/>
  <c r="U31" i="32"/>
  <c r="GX29" i="17"/>
  <c r="U30" i="32"/>
  <c r="GV16" i="10"/>
  <c r="GV15" i="17" s="1"/>
  <c r="GV19" i="19" s="1"/>
  <c r="GX13" i="10"/>
  <c r="GY7" i="10"/>
  <c r="GR39" i="17"/>
  <c r="GR42" i="17" s="1"/>
  <c r="GR43" i="17" s="1"/>
  <c r="GR44" i="17" s="1"/>
  <c r="GR17" i="17"/>
  <c r="GX22" i="17"/>
  <c r="U23" i="32"/>
  <c r="GX26" i="17"/>
  <c r="U27" i="32"/>
  <c r="GX20" i="17"/>
  <c r="U21" i="32"/>
  <c r="R9" i="43" s="1"/>
  <c r="GX34" i="17"/>
  <c r="U35" i="32"/>
  <c r="U34" i="32"/>
  <c r="A213" i="37"/>
  <c r="B214" i="37"/>
  <c r="GW19" i="19" l="1"/>
  <c r="U38" i="32"/>
  <c r="S21" i="30"/>
  <c r="R16" i="43"/>
  <c r="S25" i="30"/>
  <c r="R20" i="43"/>
  <c r="S23" i="30"/>
  <c r="R18" i="43"/>
  <c r="S29" i="30"/>
  <c r="R24" i="43"/>
  <c r="S20" i="30"/>
  <c r="R15" i="43"/>
  <c r="S16" i="30"/>
  <c r="R11" i="43"/>
  <c r="S26" i="30"/>
  <c r="R21" i="43"/>
  <c r="S27" i="30"/>
  <c r="R22" i="43"/>
  <c r="S15" i="30"/>
  <c r="R10" i="43"/>
  <c r="S24" i="30"/>
  <c r="R19" i="43"/>
  <c r="S28" i="30"/>
  <c r="R23" i="43"/>
  <c r="S18" i="30"/>
  <c r="R13" i="43"/>
  <c r="S13" i="30"/>
  <c r="R8" i="43"/>
  <c r="S17" i="30"/>
  <c r="R12" i="43"/>
  <c r="S22" i="30"/>
  <c r="R17" i="43"/>
  <c r="GY32" i="17"/>
  <c r="GY28" i="17"/>
  <c r="GT39" i="17"/>
  <c r="GT42" i="17" s="1"/>
  <c r="GT43" i="17" s="1"/>
  <c r="GT44" i="17" s="1"/>
  <c r="GT17" i="17"/>
  <c r="A214" i="37"/>
  <c r="B215" i="37"/>
  <c r="GR34" i="19"/>
  <c r="GR28" i="20"/>
  <c r="GR7" i="20"/>
  <c r="GY27" i="17"/>
  <c r="GY23" i="17"/>
  <c r="GY35" i="17"/>
  <c r="GY33" i="17"/>
  <c r="GX40" i="11"/>
  <c r="GX7" i="17" s="1"/>
  <c r="GX13" i="17" s="1"/>
  <c r="GX55" i="11"/>
  <c r="GY34" i="17"/>
  <c r="GY18" i="10"/>
  <c r="S14" i="30"/>
  <c r="GY13" i="10"/>
  <c r="GZ7" i="10"/>
  <c r="GY22" i="17"/>
  <c r="GY29" i="17"/>
  <c r="GY20" i="17"/>
  <c r="GY24" i="17"/>
  <c r="GY30" i="17"/>
  <c r="GV16" i="17"/>
  <c r="GW9" i="19"/>
  <c r="GW16" i="17"/>
  <c r="GW39" i="17" s="1"/>
  <c r="GW42" i="17" s="1"/>
  <c r="GW43" i="17" s="1"/>
  <c r="GW44" i="17" s="1"/>
  <c r="GX37" i="17"/>
  <c r="GX21" i="19" s="1"/>
  <c r="U13" i="32"/>
  <c r="R2" i="43" s="1"/>
  <c r="GY31" i="17"/>
  <c r="GY26" i="17"/>
  <c r="GZ34" i="10"/>
  <c r="GZ33" i="17" s="1"/>
  <c r="GZ31" i="10"/>
  <c r="GZ30" i="17" s="1"/>
  <c r="GZ29" i="10"/>
  <c r="GZ28" i="17" s="1"/>
  <c r="GZ36" i="10"/>
  <c r="GZ35" i="17" s="1"/>
  <c r="GZ21" i="10"/>
  <c r="GZ20" i="17" s="1"/>
  <c r="GZ24" i="10"/>
  <c r="GZ23" i="17" s="1"/>
  <c r="GZ27" i="10"/>
  <c r="GZ26" i="17" s="1"/>
  <c r="GZ30" i="10"/>
  <c r="GZ29" i="17" s="1"/>
  <c r="GZ35" i="10"/>
  <c r="GZ34" i="17" s="1"/>
  <c r="GZ20" i="10"/>
  <c r="GZ25" i="10"/>
  <c r="GZ24" i="17" s="1"/>
  <c r="HA9" i="10"/>
  <c r="GZ22" i="10"/>
  <c r="GZ21" i="17" s="1"/>
  <c r="GZ28" i="10"/>
  <c r="GZ27" i="17" s="1"/>
  <c r="GZ33" i="10"/>
  <c r="GZ32" i="17" s="1"/>
  <c r="GZ32" i="10"/>
  <c r="GZ31" i="17" s="1"/>
  <c r="GZ23" i="10"/>
  <c r="GZ22" i="17" s="1"/>
  <c r="GY21" i="17"/>
  <c r="GY24" i="11"/>
  <c r="GY25" i="11"/>
  <c r="GY29" i="11"/>
  <c r="GY32" i="11"/>
  <c r="GY27" i="11"/>
  <c r="GY31" i="11"/>
  <c r="GY35" i="11"/>
  <c r="GY30" i="11"/>
  <c r="T19" i="38"/>
  <c r="GY26" i="11"/>
  <c r="GY28" i="11"/>
  <c r="GY33" i="11"/>
  <c r="GY34" i="11"/>
  <c r="GY36" i="11"/>
  <c r="GY37" i="11"/>
  <c r="GZ20" i="11"/>
  <c r="S31" i="30" l="1"/>
  <c r="S67" i="30" s="1"/>
  <c r="R9" i="34" s="1"/>
  <c r="R26" i="43"/>
  <c r="GZ37" i="17"/>
  <c r="GZ21" i="19" s="1"/>
  <c r="GW17" i="17"/>
  <c r="GT28" i="20"/>
  <c r="GT7" i="20"/>
  <c r="GT34" i="19"/>
  <c r="T23" i="38"/>
  <c r="T41" i="38" s="1"/>
  <c r="GY41" i="11"/>
  <c r="S7" i="30"/>
  <c r="GW28" i="20"/>
  <c r="GW34" i="19"/>
  <c r="GW7" i="20"/>
  <c r="GY37" i="17"/>
  <c r="GY21" i="19" s="1"/>
  <c r="A215" i="37"/>
  <c r="B216" i="37"/>
  <c r="T25" i="38"/>
  <c r="T43" i="38" s="1"/>
  <c r="GY43" i="11"/>
  <c r="T30" i="38"/>
  <c r="T48" i="38" s="1"/>
  <c r="GY48" i="11"/>
  <c r="GV39" i="17"/>
  <c r="GV42" i="17" s="1"/>
  <c r="GV43" i="17" s="1"/>
  <c r="GV44" i="17" s="1"/>
  <c r="GV17" i="17"/>
  <c r="GX14" i="10"/>
  <c r="GM56" i="11"/>
  <c r="U6" i="32" s="1"/>
  <c r="U7" i="32" s="1"/>
  <c r="T33" i="38"/>
  <c r="T51" i="38" s="1"/>
  <c r="GY51" i="11"/>
  <c r="GY9" i="17" s="1"/>
  <c r="T26" i="38"/>
  <c r="T44" i="38" s="1"/>
  <c r="GY44" i="11"/>
  <c r="HA34" i="10"/>
  <c r="HA33" i="17" s="1"/>
  <c r="HA31" i="10"/>
  <c r="HA30" i="17" s="1"/>
  <c r="HB9" i="10"/>
  <c r="HA21" i="10"/>
  <c r="HA20" i="17" s="1"/>
  <c r="HA24" i="10"/>
  <c r="HA23" i="17" s="1"/>
  <c r="HA27" i="10"/>
  <c r="HA26" i="17" s="1"/>
  <c r="HA30" i="10"/>
  <c r="HA35" i="10"/>
  <c r="HA34" i="17" s="1"/>
  <c r="HA20" i="10"/>
  <c r="HA22" i="10"/>
  <c r="HA21" i="17" s="1"/>
  <c r="HA25" i="10"/>
  <c r="HA29" i="10"/>
  <c r="HA28" i="17" s="1"/>
  <c r="HA36" i="10"/>
  <c r="HA35" i="17" s="1"/>
  <c r="HA28" i="10"/>
  <c r="HA27" i="17" s="1"/>
  <c r="HA33" i="10"/>
  <c r="HA32" i="17" s="1"/>
  <c r="HA32" i="10"/>
  <c r="HA31" i="17" s="1"/>
  <c r="HA23" i="10"/>
  <c r="HA22" i="17" s="1"/>
  <c r="GZ26" i="11"/>
  <c r="GZ43" i="11" s="1"/>
  <c r="GZ30" i="11"/>
  <c r="GZ47" i="11" s="1"/>
  <c r="GZ34" i="11"/>
  <c r="GZ51" i="11" s="1"/>
  <c r="GZ9" i="17" s="1"/>
  <c r="GZ25" i="11"/>
  <c r="GZ42" i="11" s="1"/>
  <c r="GZ31" i="11"/>
  <c r="GZ48" i="11" s="1"/>
  <c r="GZ36" i="11"/>
  <c r="GZ53" i="11" s="1"/>
  <c r="GZ11" i="17" s="1"/>
  <c r="GZ27" i="11"/>
  <c r="GZ44" i="11" s="1"/>
  <c r="GZ32" i="11"/>
  <c r="GZ49" i="11" s="1"/>
  <c r="GZ37" i="11"/>
  <c r="GZ54" i="11" s="1"/>
  <c r="GZ12" i="17" s="1"/>
  <c r="GZ28" i="11"/>
  <c r="GZ45" i="11" s="1"/>
  <c r="GZ33" i="11"/>
  <c r="GZ50" i="11" s="1"/>
  <c r="GZ8" i="17" s="1"/>
  <c r="GZ24" i="11"/>
  <c r="GZ41" i="11" s="1"/>
  <c r="GZ29" i="11"/>
  <c r="GZ46" i="11" s="1"/>
  <c r="GZ35" i="11"/>
  <c r="GZ52" i="11" s="1"/>
  <c r="GZ10" i="17" s="1"/>
  <c r="HA20" i="11"/>
  <c r="T32" i="38"/>
  <c r="T50" i="38" s="1"/>
  <c r="GY50" i="11"/>
  <c r="GY8" i="17" s="1"/>
  <c r="T29" i="38"/>
  <c r="T47" i="38" s="1"/>
  <c r="GY47" i="11"/>
  <c r="T31" i="38"/>
  <c r="T49" i="38" s="1"/>
  <c r="GY49" i="11"/>
  <c r="GW9" i="20"/>
  <c r="T35" i="38"/>
  <c r="T53" i="38" s="1"/>
  <c r="GY53" i="11"/>
  <c r="GY11" i="17" s="1"/>
  <c r="T24" i="38"/>
  <c r="T42" i="38" s="1"/>
  <c r="GY42" i="11"/>
  <c r="T36" i="38"/>
  <c r="T54" i="38" s="1"/>
  <c r="GY54" i="11"/>
  <c r="GY12" i="17" s="1"/>
  <c r="T27" i="38"/>
  <c r="T45" i="38" s="1"/>
  <c r="GY45" i="11"/>
  <c r="T34" i="38"/>
  <c r="T52" i="38" s="1"/>
  <c r="GY52" i="11"/>
  <c r="GY10" i="17" s="1"/>
  <c r="T28" i="38"/>
  <c r="T46" i="38" s="1"/>
  <c r="GY46" i="11"/>
  <c r="GZ18" i="10"/>
  <c r="GX9" i="19"/>
  <c r="GX9" i="20" s="1"/>
  <c r="GZ13" i="10"/>
  <c r="HA7" i="10"/>
  <c r="S5" i="30" l="1"/>
  <c r="U9" i="32"/>
  <c r="S6" i="30" s="1"/>
  <c r="T55" i="38"/>
  <c r="HA24" i="17"/>
  <c r="HA29" i="17"/>
  <c r="HB31" i="10"/>
  <c r="HB30" i="17" s="1"/>
  <c r="HB34" i="10"/>
  <c r="HB27" i="10"/>
  <c r="HB30" i="10"/>
  <c r="HB29" i="17" s="1"/>
  <c r="HB35" i="10"/>
  <c r="HB34" i="17" s="1"/>
  <c r="HC9" i="10"/>
  <c r="HB20" i="10"/>
  <c r="HB22" i="10"/>
  <c r="HB25" i="10"/>
  <c r="HB24" i="17" s="1"/>
  <c r="HB29" i="10"/>
  <c r="HB28" i="17" s="1"/>
  <c r="HB36" i="10"/>
  <c r="HB35" i="17" s="1"/>
  <c r="HB21" i="10"/>
  <c r="HB20" i="17" s="1"/>
  <c r="HB24" i="10"/>
  <c r="HB28" i="10"/>
  <c r="HB33" i="10"/>
  <c r="HB32" i="10"/>
  <c r="HB31" i="17" s="1"/>
  <c r="HB23" i="10"/>
  <c r="GX15" i="10"/>
  <c r="U15" i="32" s="1"/>
  <c r="U14" i="32"/>
  <c r="R3" i="43" s="1"/>
  <c r="GV28" i="20"/>
  <c r="GV34" i="19"/>
  <c r="GV7" i="20"/>
  <c r="HA13" i="10"/>
  <c r="HB7" i="10"/>
  <c r="A216" i="37"/>
  <c r="B217" i="37"/>
  <c r="HA24" i="11"/>
  <c r="HA41" i="11" s="1"/>
  <c r="HA28" i="11"/>
  <c r="HA45" i="11" s="1"/>
  <c r="HA32" i="11"/>
  <c r="HA49" i="11" s="1"/>
  <c r="HA36" i="11"/>
  <c r="HA53" i="11" s="1"/>
  <c r="HA11" i="17" s="1"/>
  <c r="HA27" i="11"/>
  <c r="HA44" i="11" s="1"/>
  <c r="HA33" i="11"/>
  <c r="HA50" i="11" s="1"/>
  <c r="HA8" i="17" s="1"/>
  <c r="HA29" i="11"/>
  <c r="HA46" i="11" s="1"/>
  <c r="HA34" i="11"/>
  <c r="HA51" i="11" s="1"/>
  <c r="HA9" i="17" s="1"/>
  <c r="HA25" i="11"/>
  <c r="HA42" i="11" s="1"/>
  <c r="HA30" i="11"/>
  <c r="HA47" i="11" s="1"/>
  <c r="HA35" i="11"/>
  <c r="HA52" i="11" s="1"/>
  <c r="HA10" i="17" s="1"/>
  <c r="HA31" i="11"/>
  <c r="HA48" i="11" s="1"/>
  <c r="HA37" i="11"/>
  <c r="HA54" i="11" s="1"/>
  <c r="HA12" i="17" s="1"/>
  <c r="HA26" i="11"/>
  <c r="HA43" i="11" s="1"/>
  <c r="HB20" i="11"/>
  <c r="GZ55" i="11"/>
  <c r="GZ14" i="10" s="1"/>
  <c r="GZ15" i="10" s="1"/>
  <c r="GZ16" i="10" s="1"/>
  <c r="GZ15" i="17" s="1"/>
  <c r="GZ40" i="11"/>
  <c r="GZ7" i="17" s="1"/>
  <c r="GZ13" i="17" s="1"/>
  <c r="HA18" i="10"/>
  <c r="GY40" i="11"/>
  <c r="GY7" i="17" s="1"/>
  <c r="GY13" i="17" s="1"/>
  <c r="GY55" i="11"/>
  <c r="S9" i="30" l="1"/>
  <c r="R4" i="43"/>
  <c r="HA37" i="17"/>
  <c r="HA21" i="19" s="1"/>
  <c r="GZ9" i="19"/>
  <c r="GY9" i="19"/>
  <c r="GY9" i="20" s="1"/>
  <c r="HB26" i="17"/>
  <c r="GZ16" i="17"/>
  <c r="GZ39" i="17" s="1"/>
  <c r="GZ42" i="17" s="1"/>
  <c r="GZ19" i="19"/>
  <c r="HB27" i="17"/>
  <c r="HC34" i="10"/>
  <c r="HC33" i="17" s="1"/>
  <c r="HC31" i="10"/>
  <c r="HC20" i="10"/>
  <c r="HC27" i="10"/>
  <c r="HC26" i="17" s="1"/>
  <c r="HC30" i="10"/>
  <c r="HC29" i="17" s="1"/>
  <c r="HC22" i="10"/>
  <c r="HC21" i="17" s="1"/>
  <c r="HC25" i="10"/>
  <c r="HC24" i="17" s="1"/>
  <c r="HC36" i="10"/>
  <c r="HC35" i="17" s="1"/>
  <c r="HD9" i="10"/>
  <c r="HC29" i="10"/>
  <c r="HC24" i="10"/>
  <c r="HC23" i="17" s="1"/>
  <c r="HC21" i="10"/>
  <c r="HC35" i="10"/>
  <c r="HC34" i="17" s="1"/>
  <c r="HC33" i="10"/>
  <c r="HC32" i="17" s="1"/>
  <c r="HC28" i="10"/>
  <c r="HC27" i="17" s="1"/>
  <c r="HC32" i="10"/>
  <c r="HC23" i="10"/>
  <c r="HC22" i="17" s="1"/>
  <c r="HB33" i="17"/>
  <c r="S66" i="30"/>
  <c r="R8" i="34" s="1"/>
  <c r="S44" i="30"/>
  <c r="S55" i="30"/>
  <c r="S64" i="30"/>
  <c r="S48" i="30"/>
  <c r="S43" i="30"/>
  <c r="S41" i="30"/>
  <c r="S52" i="30"/>
  <c r="S42" i="30"/>
  <c r="S45" i="30"/>
  <c r="S56" i="30"/>
  <c r="S51" i="30"/>
  <c r="S60" i="30"/>
  <c r="S50" i="30"/>
  <c r="S53" i="30"/>
  <c r="S49" i="30"/>
  <c r="S59" i="30"/>
  <c r="S46" i="30"/>
  <c r="S57" i="30"/>
  <c r="S47" i="30"/>
  <c r="S58" i="30"/>
  <c r="S40" i="30"/>
  <c r="S54" i="30"/>
  <c r="S3" i="30"/>
  <c r="HB26" i="11"/>
  <c r="HB43" i="11" s="1"/>
  <c r="HB30" i="11"/>
  <c r="HB47" i="11" s="1"/>
  <c r="HB34" i="11"/>
  <c r="HB51" i="11" s="1"/>
  <c r="HB9" i="17" s="1"/>
  <c r="HB24" i="11"/>
  <c r="HB41" i="11" s="1"/>
  <c r="HB29" i="11"/>
  <c r="HB46" i="11" s="1"/>
  <c r="HB35" i="11"/>
  <c r="HB52" i="11" s="1"/>
  <c r="HB10" i="17" s="1"/>
  <c r="HB25" i="11"/>
  <c r="HB42" i="11" s="1"/>
  <c r="HB31" i="11"/>
  <c r="HB48" i="11" s="1"/>
  <c r="HB36" i="11"/>
  <c r="HB53" i="11" s="1"/>
  <c r="HB11" i="17" s="1"/>
  <c r="HB27" i="11"/>
  <c r="HB44" i="11" s="1"/>
  <c r="HB32" i="11"/>
  <c r="HB49" i="11" s="1"/>
  <c r="HB37" i="11"/>
  <c r="HB54" i="11" s="1"/>
  <c r="HB12" i="17" s="1"/>
  <c r="HB28" i="11"/>
  <c r="HB45" i="11" s="1"/>
  <c r="HB33" i="11"/>
  <c r="HB50" i="11" s="1"/>
  <c r="HB8" i="17" s="1"/>
  <c r="HC20" i="11"/>
  <c r="S8" i="30"/>
  <c r="S10" i="30" s="1"/>
  <c r="S32" i="30" s="1"/>
  <c r="U16" i="32"/>
  <c r="HB18" i="10"/>
  <c r="HB22" i="17"/>
  <c r="HB23" i="17"/>
  <c r="GY14" i="10"/>
  <c r="HB32" i="17"/>
  <c r="HA55" i="11"/>
  <c r="HA14" i="10" s="1"/>
  <c r="HA15" i="10" s="1"/>
  <c r="HA16" i="10" s="1"/>
  <c r="HA15" i="17" s="1"/>
  <c r="HA40" i="11"/>
  <c r="HA7" i="17" s="1"/>
  <c r="HA13" i="17" s="1"/>
  <c r="A217" i="37"/>
  <c r="B218" i="37"/>
  <c r="HB13" i="10"/>
  <c r="HC7" i="10"/>
  <c r="GX16" i="10"/>
  <c r="GX15" i="17" s="1"/>
  <c r="HB21" i="17"/>
  <c r="U17" i="32" l="1"/>
  <c r="R5" i="43"/>
  <c r="HB37" i="17"/>
  <c r="HB21" i="19" s="1"/>
  <c r="HA19" i="19"/>
  <c r="GZ9" i="20"/>
  <c r="HC31" i="17"/>
  <c r="HC13" i="10"/>
  <c r="HD7" i="10"/>
  <c r="HC28" i="17"/>
  <c r="HC30" i="17"/>
  <c r="GX19" i="19"/>
  <c r="GX16" i="17"/>
  <c r="GY15" i="10"/>
  <c r="HB40" i="11"/>
  <c r="HB7" i="17" s="1"/>
  <c r="HB13" i="17" s="1"/>
  <c r="HB55" i="11"/>
  <c r="HB14" i="10" s="1"/>
  <c r="HB15" i="10" s="1"/>
  <c r="HC20" i="17"/>
  <c r="GZ43" i="17"/>
  <c r="GZ44" i="17" s="1"/>
  <c r="HC24" i="11"/>
  <c r="HC41" i="11" s="1"/>
  <c r="HC28" i="11"/>
  <c r="HC45" i="11" s="1"/>
  <c r="HC32" i="11"/>
  <c r="HC49" i="11" s="1"/>
  <c r="HC36" i="11"/>
  <c r="HC53" i="11" s="1"/>
  <c r="HC11" i="17" s="1"/>
  <c r="HC26" i="11"/>
  <c r="HC43" i="11" s="1"/>
  <c r="HC31" i="11"/>
  <c r="HC48" i="11" s="1"/>
  <c r="HC37" i="11"/>
  <c r="HC54" i="11" s="1"/>
  <c r="HC12" i="17" s="1"/>
  <c r="HC27" i="11"/>
  <c r="HC44" i="11" s="1"/>
  <c r="HC33" i="11"/>
  <c r="HC50" i="11" s="1"/>
  <c r="HC8" i="17" s="1"/>
  <c r="HC29" i="11"/>
  <c r="HC46" i="11" s="1"/>
  <c r="HC34" i="11"/>
  <c r="HC51" i="11" s="1"/>
  <c r="HC9" i="17" s="1"/>
  <c r="HC25" i="11"/>
  <c r="HC42" i="11" s="1"/>
  <c r="HC30" i="11"/>
  <c r="HC47" i="11" s="1"/>
  <c r="HC35" i="11"/>
  <c r="HC52" i="11" s="1"/>
  <c r="HC10" i="17" s="1"/>
  <c r="HD20" i="11"/>
  <c r="HC18" i="10"/>
  <c r="HA9" i="19"/>
  <c r="HA9" i="20" s="1"/>
  <c r="HA16" i="17"/>
  <c r="HA39" i="17" s="1"/>
  <c r="HA42" i="17" s="1"/>
  <c r="HA43" i="17" s="1"/>
  <c r="HA44" i="17" s="1"/>
  <c r="S39" i="30"/>
  <c r="S68" i="30"/>
  <c r="R6" i="34"/>
  <c r="HD31" i="10"/>
  <c r="HD30" i="17" s="1"/>
  <c r="HD34" i="10"/>
  <c r="HD22" i="10"/>
  <c r="HD25" i="10"/>
  <c r="HD29" i="10"/>
  <c r="HD28" i="17" s="1"/>
  <c r="HD36" i="10"/>
  <c r="HD35" i="17" s="1"/>
  <c r="HD21" i="10"/>
  <c r="HD20" i="17" s="1"/>
  <c r="HD24" i="10"/>
  <c r="HE9" i="10"/>
  <c r="HD30" i="10"/>
  <c r="HD35" i="10"/>
  <c r="HD20" i="10"/>
  <c r="HD27" i="10"/>
  <c r="HD26" i="17" s="1"/>
  <c r="HD28" i="10"/>
  <c r="HD33" i="10"/>
  <c r="HD32" i="10"/>
  <c r="HD31" i="17" s="1"/>
  <c r="HD23" i="10"/>
  <c r="GZ17" i="17"/>
  <c r="A218" i="37"/>
  <c r="B219" i="37"/>
  <c r="HC37" i="17" l="1"/>
  <c r="HC21" i="19" s="1"/>
  <c r="HB16" i="10"/>
  <c r="HB15" i="17" s="1"/>
  <c r="HB16" i="17" s="1"/>
  <c r="HB39" i="17" s="1"/>
  <c r="HB42" i="17" s="1"/>
  <c r="HB43" i="17" s="1"/>
  <c r="HB44" i="17" s="1"/>
  <c r="HA17" i="17"/>
  <c r="HB9" i="19"/>
  <c r="HB9" i="20" s="1"/>
  <c r="GZ7" i="20"/>
  <c r="GZ34" i="19"/>
  <c r="GZ28" i="20"/>
  <c r="HD13" i="10"/>
  <c r="HE7" i="10"/>
  <c r="HD22" i="17"/>
  <c r="HE34" i="10"/>
  <c r="HE33" i="17" s="1"/>
  <c r="HE31" i="10"/>
  <c r="HF9" i="10"/>
  <c r="HE29" i="10"/>
  <c r="HE28" i="17" s="1"/>
  <c r="HE36" i="10"/>
  <c r="HE35" i="17" s="1"/>
  <c r="HE21" i="10"/>
  <c r="HE20" i="17" s="1"/>
  <c r="HE24" i="10"/>
  <c r="HE23" i="17" s="1"/>
  <c r="HE20" i="10"/>
  <c r="HE27" i="10"/>
  <c r="HE26" i="17" s="1"/>
  <c r="HE30" i="10"/>
  <c r="HE29" i="17" s="1"/>
  <c r="HE35" i="10"/>
  <c r="HE34" i="17" s="1"/>
  <c r="HE25" i="10"/>
  <c r="HE24" i="17" s="1"/>
  <c r="HE22" i="10"/>
  <c r="HE21" i="17" s="1"/>
  <c r="HE28" i="10"/>
  <c r="HE27" i="17" s="1"/>
  <c r="HE33" i="10"/>
  <c r="HE32" i="17" s="1"/>
  <c r="HE32" i="10"/>
  <c r="HE31" i="17" s="1"/>
  <c r="HE23" i="10"/>
  <c r="HE22" i="17" s="1"/>
  <c r="HA7" i="20"/>
  <c r="HA28" i="20"/>
  <c r="HA34" i="19"/>
  <c r="HD26" i="11"/>
  <c r="HD43" i="11" s="1"/>
  <c r="HD30" i="11"/>
  <c r="HD47" i="11" s="1"/>
  <c r="HD34" i="11"/>
  <c r="HD51" i="11" s="1"/>
  <c r="HD9" i="17" s="1"/>
  <c r="HD28" i="11"/>
  <c r="HD45" i="11" s="1"/>
  <c r="HD33" i="11"/>
  <c r="HD50" i="11" s="1"/>
  <c r="HD8" i="17" s="1"/>
  <c r="HD24" i="11"/>
  <c r="HD41" i="11" s="1"/>
  <c r="HD29" i="11"/>
  <c r="HD46" i="11" s="1"/>
  <c r="HD35" i="11"/>
  <c r="HD52" i="11" s="1"/>
  <c r="HD10" i="17" s="1"/>
  <c r="HD25" i="11"/>
  <c r="HD42" i="11" s="1"/>
  <c r="HD31" i="11"/>
  <c r="HD48" i="11" s="1"/>
  <c r="HD36" i="11"/>
  <c r="HD53" i="11" s="1"/>
  <c r="HD11" i="17" s="1"/>
  <c r="HD32" i="11"/>
  <c r="HD49" i="11" s="1"/>
  <c r="HD37" i="11"/>
  <c r="HD54" i="11" s="1"/>
  <c r="HD12" i="17" s="1"/>
  <c r="HD27" i="11"/>
  <c r="HD44" i="11" s="1"/>
  <c r="HE20" i="11"/>
  <c r="HD29" i="17"/>
  <c r="S81" i="30"/>
  <c r="F21" i="35" s="1"/>
  <c r="S75" i="30"/>
  <c r="A219" i="37"/>
  <c r="B220" i="37"/>
  <c r="HD18" i="10"/>
  <c r="HD24" i="17"/>
  <c r="GX39" i="17"/>
  <c r="GX42" i="17" s="1"/>
  <c r="GX43" i="17" s="1"/>
  <c r="GX44" i="17" s="1"/>
  <c r="GX17" i="17"/>
  <c r="HD27" i="17"/>
  <c r="HD33" i="17"/>
  <c r="HD23" i="17"/>
  <c r="HD32" i="17"/>
  <c r="HD34" i="17"/>
  <c r="HD21" i="17"/>
  <c r="HC40" i="11"/>
  <c r="HC7" i="17" s="1"/>
  <c r="HC13" i="17" s="1"/>
  <c r="HC55" i="11"/>
  <c r="GY16" i="10"/>
  <c r="GY15" i="17" s="1"/>
  <c r="HB19" i="19" l="1"/>
  <c r="HC9" i="19"/>
  <c r="HC9" i="20" s="1"/>
  <c r="HF31" i="10"/>
  <c r="HF30" i="17" s="1"/>
  <c r="HF34" i="10"/>
  <c r="HF21" i="10"/>
  <c r="HF20" i="17" s="1"/>
  <c r="HF24" i="10"/>
  <c r="HG9" i="10"/>
  <c r="HF20" i="10"/>
  <c r="HF27" i="10"/>
  <c r="HF26" i="17" s="1"/>
  <c r="HF30" i="10"/>
  <c r="HF35" i="10"/>
  <c r="HF34" i="17" s="1"/>
  <c r="HF22" i="10"/>
  <c r="HF25" i="10"/>
  <c r="HF29" i="10"/>
  <c r="HF28" i="17" s="1"/>
  <c r="HF36" i="10"/>
  <c r="HF35" i="17" s="1"/>
  <c r="HF33" i="10"/>
  <c r="HF28" i="10"/>
  <c r="HF32" i="10"/>
  <c r="HF31" i="17" s="1"/>
  <c r="HF23" i="10"/>
  <c r="HF22" i="17" s="1"/>
  <c r="HD37" i="17"/>
  <c r="HD21" i="19" s="1"/>
  <c r="GY19" i="19"/>
  <c r="GY16" i="17"/>
  <c r="HD40" i="11"/>
  <c r="HD7" i="17" s="1"/>
  <c r="HD13" i="17" s="1"/>
  <c r="HD55" i="11"/>
  <c r="HD14" i="10" s="1"/>
  <c r="HD15" i="10" s="1"/>
  <c r="HD16" i="10" s="1"/>
  <c r="HD15" i="17" s="1"/>
  <c r="HE30" i="17"/>
  <c r="HE37" i="17" s="1"/>
  <c r="HE21" i="19" s="1"/>
  <c r="HE13" i="10"/>
  <c r="HF7" i="10"/>
  <c r="HE24" i="11"/>
  <c r="HE41" i="11" s="1"/>
  <c r="HE28" i="11"/>
  <c r="HE45" i="11" s="1"/>
  <c r="HE32" i="11"/>
  <c r="HE49" i="11" s="1"/>
  <c r="HE36" i="11"/>
  <c r="HE53" i="11" s="1"/>
  <c r="HE11" i="17" s="1"/>
  <c r="HE25" i="11"/>
  <c r="HE42" i="11" s="1"/>
  <c r="HE30" i="11"/>
  <c r="HE47" i="11" s="1"/>
  <c r="HE35" i="11"/>
  <c r="HE52" i="11" s="1"/>
  <c r="HE10" i="17" s="1"/>
  <c r="HE26" i="11"/>
  <c r="HE43" i="11" s="1"/>
  <c r="HE31" i="11"/>
  <c r="HE48" i="11" s="1"/>
  <c r="HE37" i="11"/>
  <c r="HE54" i="11" s="1"/>
  <c r="HE12" i="17" s="1"/>
  <c r="HE27" i="11"/>
  <c r="HE44" i="11" s="1"/>
  <c r="HE33" i="11"/>
  <c r="HE50" i="11" s="1"/>
  <c r="HE8" i="17" s="1"/>
  <c r="HE29" i="11"/>
  <c r="HE46" i="11" s="1"/>
  <c r="HE34" i="11"/>
  <c r="HE51" i="11" s="1"/>
  <c r="HE9" i="17" s="1"/>
  <c r="HF20" i="11"/>
  <c r="GX34" i="19"/>
  <c r="GX7" i="20"/>
  <c r="GX28" i="20"/>
  <c r="HC14" i="10"/>
  <c r="HB7" i="20"/>
  <c r="HB34" i="19"/>
  <c r="HB28" i="20"/>
  <c r="A220" i="37"/>
  <c r="B221" i="37"/>
  <c r="HE18" i="10"/>
  <c r="HB17" i="17"/>
  <c r="HD19" i="19" l="1"/>
  <c r="HF18" i="10"/>
  <c r="HC15" i="10"/>
  <c r="HF13" i="10"/>
  <c r="HG7" i="10"/>
  <c r="HF26" i="11"/>
  <c r="HF43" i="11" s="1"/>
  <c r="HF30" i="11"/>
  <c r="HF47" i="11" s="1"/>
  <c r="HF34" i="11"/>
  <c r="HF51" i="11" s="1"/>
  <c r="HF9" i="17" s="1"/>
  <c r="HF27" i="11"/>
  <c r="HF44" i="11" s="1"/>
  <c r="HF32" i="11"/>
  <c r="HF49" i="11" s="1"/>
  <c r="HF37" i="11"/>
  <c r="HF54" i="11" s="1"/>
  <c r="HF12" i="17" s="1"/>
  <c r="HF28" i="11"/>
  <c r="HF45" i="11" s="1"/>
  <c r="HF33" i="11"/>
  <c r="HF50" i="11" s="1"/>
  <c r="HF8" i="17" s="1"/>
  <c r="HF24" i="11"/>
  <c r="HF41" i="11" s="1"/>
  <c r="HF29" i="11"/>
  <c r="HF46" i="11" s="1"/>
  <c r="HF35" i="11"/>
  <c r="HF52" i="11" s="1"/>
  <c r="HF10" i="17" s="1"/>
  <c r="HF25" i="11"/>
  <c r="HF42" i="11" s="1"/>
  <c r="HF31" i="11"/>
  <c r="HF48" i="11" s="1"/>
  <c r="HF36" i="11"/>
  <c r="HF53" i="11" s="1"/>
  <c r="HF11" i="17" s="1"/>
  <c r="HG20" i="11"/>
  <c r="HD9" i="19"/>
  <c r="HD16" i="17"/>
  <c r="HD39" i="17" s="1"/>
  <c r="HD42" i="17" s="1"/>
  <c r="HD43" i="17" s="1"/>
  <c r="HD44" i="17" s="1"/>
  <c r="HG34" i="10"/>
  <c r="HG33" i="17" s="1"/>
  <c r="HG31" i="10"/>
  <c r="HG30" i="17" s="1"/>
  <c r="HG20" i="10"/>
  <c r="HG27" i="10"/>
  <c r="HG26" i="17" s="1"/>
  <c r="HG30" i="10"/>
  <c r="HG29" i="17" s="1"/>
  <c r="HG35" i="10"/>
  <c r="HG34" i="17" s="1"/>
  <c r="HG22" i="10"/>
  <c r="HG21" i="17" s="1"/>
  <c r="HG25" i="10"/>
  <c r="HG24" i="17" s="1"/>
  <c r="HH9" i="10"/>
  <c r="HG29" i="10"/>
  <c r="HG28" i="17" s="1"/>
  <c r="HG36" i="10"/>
  <c r="HG35" i="17" s="1"/>
  <c r="HG21" i="10"/>
  <c r="HG20" i="17" s="1"/>
  <c r="HG24" i="10"/>
  <c r="HG23" i="17" s="1"/>
  <c r="HG28" i="10"/>
  <c r="HG27" i="17" s="1"/>
  <c r="HG33" i="10"/>
  <c r="HG32" i="17" s="1"/>
  <c r="HG32" i="10"/>
  <c r="HG31" i="17" s="1"/>
  <c r="HG23" i="10"/>
  <c r="HG22" i="17" s="1"/>
  <c r="HF32" i="17"/>
  <c r="A221" i="37"/>
  <c r="B222" i="37"/>
  <c r="GY39" i="17"/>
  <c r="GY42" i="17" s="1"/>
  <c r="GY43" i="17" s="1"/>
  <c r="GY44" i="17" s="1"/>
  <c r="GY17" i="17"/>
  <c r="HF29" i="17"/>
  <c r="HF23" i="17"/>
  <c r="HF21" i="17"/>
  <c r="HF33" i="17"/>
  <c r="HE40" i="11"/>
  <c r="HE7" i="17" s="1"/>
  <c r="HE13" i="17" s="1"/>
  <c r="HE55" i="11"/>
  <c r="HE14" i="10" s="1"/>
  <c r="HE15" i="10" s="1"/>
  <c r="HE16" i="10" s="1"/>
  <c r="HE15" i="17" s="1"/>
  <c r="HE19" i="19" s="1"/>
  <c r="HF27" i="17"/>
  <c r="HF24" i="17"/>
  <c r="HF37" i="17" l="1"/>
  <c r="HF21" i="19" s="1"/>
  <c r="HE9" i="19"/>
  <c r="HE9" i="20" s="1"/>
  <c r="HE16" i="17"/>
  <c r="HE39" i="17" s="1"/>
  <c r="HE42" i="17" s="1"/>
  <c r="HF40" i="11"/>
  <c r="HF7" i="17" s="1"/>
  <c r="HF13" i="17" s="1"/>
  <c r="HF55" i="11"/>
  <c r="HF14" i="10" s="1"/>
  <c r="HF15" i="10" s="1"/>
  <c r="HF16" i="10" s="1"/>
  <c r="HF15" i="17" s="1"/>
  <c r="A222" i="37"/>
  <c r="B223" i="37"/>
  <c r="HG37" i="17"/>
  <c r="HG21" i="19" s="1"/>
  <c r="HH34" i="10"/>
  <c r="HH33" i="17" s="1"/>
  <c r="HH31" i="10"/>
  <c r="HH30" i="17" s="1"/>
  <c r="HH22" i="10"/>
  <c r="HH21" i="17" s="1"/>
  <c r="HH25" i="10"/>
  <c r="HH24" i="17" s="1"/>
  <c r="HH29" i="10"/>
  <c r="HH28" i="17" s="1"/>
  <c r="HH36" i="10"/>
  <c r="HH35" i="17" s="1"/>
  <c r="HH21" i="10"/>
  <c r="HH20" i="17" s="1"/>
  <c r="HH24" i="10"/>
  <c r="HH23" i="17" s="1"/>
  <c r="HH35" i="10"/>
  <c r="HH34" i="17" s="1"/>
  <c r="HI9" i="10"/>
  <c r="HH28" i="10"/>
  <c r="HH27" i="17" s="1"/>
  <c r="HH20" i="10"/>
  <c r="HH27" i="10"/>
  <c r="HH26" i="17" s="1"/>
  <c r="HH30" i="10"/>
  <c r="HH29" i="17" s="1"/>
  <c r="HH33" i="10"/>
  <c r="HH32" i="17" s="1"/>
  <c r="HH32" i="10"/>
  <c r="HH31" i="17" s="1"/>
  <c r="HH23" i="10"/>
  <c r="HH22" i="17" s="1"/>
  <c r="HD9" i="20"/>
  <c r="HG13" i="10"/>
  <c r="HH7" i="10"/>
  <c r="HD28" i="20"/>
  <c r="HD34" i="19"/>
  <c r="HD7" i="20"/>
  <c r="HC16" i="10"/>
  <c r="HC15" i="17" s="1"/>
  <c r="HG24" i="11"/>
  <c r="HG41" i="11" s="1"/>
  <c r="HG28" i="11"/>
  <c r="HG45" i="11" s="1"/>
  <c r="HG32" i="11"/>
  <c r="HG49" i="11" s="1"/>
  <c r="HG36" i="11"/>
  <c r="HG53" i="11" s="1"/>
  <c r="HG11" i="17" s="1"/>
  <c r="HG29" i="11"/>
  <c r="HG46" i="11" s="1"/>
  <c r="HG34" i="11"/>
  <c r="HG51" i="11" s="1"/>
  <c r="HG9" i="17" s="1"/>
  <c r="HG25" i="11"/>
  <c r="HG42" i="11" s="1"/>
  <c r="HG30" i="11"/>
  <c r="HG47" i="11" s="1"/>
  <c r="HG35" i="11"/>
  <c r="HG52" i="11" s="1"/>
  <c r="HG10" i="17" s="1"/>
  <c r="HG26" i="11"/>
  <c r="HG43" i="11" s="1"/>
  <c r="HG31" i="11"/>
  <c r="HG48" i="11" s="1"/>
  <c r="HG37" i="11"/>
  <c r="HG54" i="11" s="1"/>
  <c r="HG12" i="17" s="1"/>
  <c r="HG33" i="11"/>
  <c r="HG50" i="11" s="1"/>
  <c r="HG8" i="17" s="1"/>
  <c r="HG27" i="11"/>
  <c r="HG44" i="11" s="1"/>
  <c r="HH20" i="11"/>
  <c r="GY34" i="19"/>
  <c r="GY28" i="20"/>
  <c r="GY7" i="20"/>
  <c r="HG18" i="10"/>
  <c r="HD17" i="17"/>
  <c r="HF19" i="19" l="1"/>
  <c r="HH18" i="10"/>
  <c r="HG40" i="11"/>
  <c r="HG7" i="17" s="1"/>
  <c r="HG13" i="17" s="1"/>
  <c r="HG55" i="11"/>
  <c r="HG14" i="10" s="1"/>
  <c r="A223" i="37"/>
  <c r="B224" i="37"/>
  <c r="HF9" i="19"/>
  <c r="HF9" i="20" s="1"/>
  <c r="HF16" i="17"/>
  <c r="HF39" i="17" s="1"/>
  <c r="HF42" i="17" s="1"/>
  <c r="HF43" i="17" s="1"/>
  <c r="HF44" i="17" s="1"/>
  <c r="HI34" i="10"/>
  <c r="HI33" i="17" s="1"/>
  <c r="HI31" i="10"/>
  <c r="HI30" i="17" s="1"/>
  <c r="HJ9" i="10"/>
  <c r="HI29" i="10"/>
  <c r="HI28" i="17" s="1"/>
  <c r="HI36" i="10"/>
  <c r="HI35" i="17" s="1"/>
  <c r="HI21" i="10"/>
  <c r="HI20" i="17" s="1"/>
  <c r="HI24" i="10"/>
  <c r="HI23" i="17" s="1"/>
  <c r="HI20" i="10"/>
  <c r="HI27" i="10"/>
  <c r="HI26" i="17" s="1"/>
  <c r="HI30" i="10"/>
  <c r="HI29" i="17" s="1"/>
  <c r="HI35" i="10"/>
  <c r="HI34" i="17" s="1"/>
  <c r="HI22" i="10"/>
  <c r="HI21" i="17" s="1"/>
  <c r="HI25" i="10"/>
  <c r="HI24" i="17" s="1"/>
  <c r="HI28" i="10"/>
  <c r="HI27" i="17" s="1"/>
  <c r="HI33" i="10"/>
  <c r="HI32" i="17" s="1"/>
  <c r="HI32" i="10"/>
  <c r="HI31" i="17" s="1"/>
  <c r="HI23" i="10"/>
  <c r="HI22" i="17" s="1"/>
  <c r="HE17" i="17"/>
  <c r="HH26" i="11"/>
  <c r="HH43" i="11" s="1"/>
  <c r="HH30" i="11"/>
  <c r="HH47" i="11" s="1"/>
  <c r="HH34" i="11"/>
  <c r="HH51" i="11" s="1"/>
  <c r="HH9" i="17" s="1"/>
  <c r="HH25" i="11"/>
  <c r="HH42" i="11" s="1"/>
  <c r="HH31" i="11"/>
  <c r="HH48" i="11" s="1"/>
  <c r="HH36" i="11"/>
  <c r="HH53" i="11" s="1"/>
  <c r="HH11" i="17" s="1"/>
  <c r="HH27" i="11"/>
  <c r="HH44" i="11" s="1"/>
  <c r="HH32" i="11"/>
  <c r="HH49" i="11" s="1"/>
  <c r="HH37" i="11"/>
  <c r="HH54" i="11" s="1"/>
  <c r="HH12" i="17" s="1"/>
  <c r="HH28" i="11"/>
  <c r="HH45" i="11" s="1"/>
  <c r="HH33" i="11"/>
  <c r="HH50" i="11" s="1"/>
  <c r="HH8" i="17" s="1"/>
  <c r="HH24" i="11"/>
  <c r="HH41" i="11" s="1"/>
  <c r="HH29" i="11"/>
  <c r="HH46" i="11" s="1"/>
  <c r="HH35" i="11"/>
  <c r="HH52" i="11" s="1"/>
  <c r="HH10" i="17" s="1"/>
  <c r="HI20" i="11"/>
  <c r="HC19" i="19"/>
  <c r="HC16" i="17"/>
  <c r="HH13" i="10"/>
  <c r="HI7" i="10"/>
  <c r="HH37" i="17"/>
  <c r="HH21" i="19" s="1"/>
  <c r="HE43" i="17"/>
  <c r="HE44" i="17" s="1"/>
  <c r="HI37" i="17" l="1"/>
  <c r="HI21" i="19" s="1"/>
  <c r="HG9" i="19"/>
  <c r="HG9" i="20" s="1"/>
  <c r="HC39" i="17"/>
  <c r="HC42" i="17" s="1"/>
  <c r="HC43" i="17" s="1"/>
  <c r="HC44" i="17" s="1"/>
  <c r="HC17" i="17"/>
  <c r="HI18" i="10"/>
  <c r="A224" i="37"/>
  <c r="B225" i="37"/>
  <c r="HE7" i="20"/>
  <c r="HE34" i="19"/>
  <c r="HE28" i="20"/>
  <c r="HH55" i="11"/>
  <c r="HH14" i="10" s="1"/>
  <c r="HH15" i="10" s="1"/>
  <c r="HH16" i="10" s="1"/>
  <c r="HH15" i="17" s="1"/>
  <c r="HH19" i="19" s="1"/>
  <c r="HH40" i="11"/>
  <c r="HH7" i="17" s="1"/>
  <c r="HH13" i="17" s="1"/>
  <c r="HJ31" i="10"/>
  <c r="HJ34" i="10"/>
  <c r="HJ27" i="10"/>
  <c r="HJ30" i="10"/>
  <c r="HK9" i="10"/>
  <c r="HJ20" i="10"/>
  <c r="HJ22" i="10"/>
  <c r="HJ25" i="10"/>
  <c r="HJ35" i="10"/>
  <c r="HJ29" i="10"/>
  <c r="HJ21" i="10"/>
  <c r="HJ24" i="10"/>
  <c r="HJ36" i="10"/>
  <c r="HJ28" i="10"/>
  <c r="HJ33" i="10"/>
  <c r="HJ32" i="10"/>
  <c r="HJ23" i="10"/>
  <c r="HF17" i="17"/>
  <c r="HI13" i="10"/>
  <c r="HJ7" i="10"/>
  <c r="HI24" i="11"/>
  <c r="HI41" i="11" s="1"/>
  <c r="HI28" i="11"/>
  <c r="HI45" i="11" s="1"/>
  <c r="HI32" i="11"/>
  <c r="HI49" i="11" s="1"/>
  <c r="HI36" i="11"/>
  <c r="HI53" i="11" s="1"/>
  <c r="HI11" i="17" s="1"/>
  <c r="HI27" i="11"/>
  <c r="HI44" i="11" s="1"/>
  <c r="HI33" i="11"/>
  <c r="HI50" i="11" s="1"/>
  <c r="HI8" i="17" s="1"/>
  <c r="HI29" i="11"/>
  <c r="HI46" i="11" s="1"/>
  <c r="HI34" i="11"/>
  <c r="HI51" i="11" s="1"/>
  <c r="HI9" i="17" s="1"/>
  <c r="HI25" i="11"/>
  <c r="HI42" i="11" s="1"/>
  <c r="HI30" i="11"/>
  <c r="HI47" i="11" s="1"/>
  <c r="HI35" i="11"/>
  <c r="HI52" i="11" s="1"/>
  <c r="HI10" i="17" s="1"/>
  <c r="HI26" i="11"/>
  <c r="HI43" i="11" s="1"/>
  <c r="HI31" i="11"/>
  <c r="HI48" i="11" s="1"/>
  <c r="HI37" i="11"/>
  <c r="HI54" i="11" s="1"/>
  <c r="HI12" i="17" s="1"/>
  <c r="HJ20" i="11"/>
  <c r="HF7" i="20"/>
  <c r="HF28" i="20"/>
  <c r="HF34" i="19"/>
  <c r="HG15" i="10"/>
  <c r="HG16" i="10" l="1"/>
  <c r="HG15" i="17" s="1"/>
  <c r="HJ13" i="10"/>
  <c r="HK7" i="10"/>
  <c r="HJ26" i="11"/>
  <c r="HJ43" i="11" s="1"/>
  <c r="HJ33" i="11"/>
  <c r="HJ50" i="11" s="1"/>
  <c r="HJ8" i="17" s="1"/>
  <c r="HJ37" i="11"/>
  <c r="HJ54" i="11" s="1"/>
  <c r="HJ12" i="17" s="1"/>
  <c r="HJ24" i="11"/>
  <c r="HJ41" i="11" s="1"/>
  <c r="HJ29" i="11"/>
  <c r="HJ46" i="11" s="1"/>
  <c r="HJ34" i="11"/>
  <c r="HJ51" i="11" s="1"/>
  <c r="HJ9" i="17" s="1"/>
  <c r="HJ25" i="11"/>
  <c r="HJ42" i="11" s="1"/>
  <c r="HJ30" i="11"/>
  <c r="HJ47" i="11" s="1"/>
  <c r="HJ35" i="11"/>
  <c r="HJ52" i="11" s="1"/>
  <c r="HJ10" i="17" s="1"/>
  <c r="HJ27" i="11"/>
  <c r="HJ44" i="11" s="1"/>
  <c r="HJ31" i="11"/>
  <c r="HJ48" i="11" s="1"/>
  <c r="HJ36" i="11"/>
  <c r="HJ53" i="11" s="1"/>
  <c r="HJ11" i="17" s="1"/>
  <c r="HJ32" i="11"/>
  <c r="HJ49" i="11" s="1"/>
  <c r="HJ28" i="11"/>
  <c r="HJ45" i="11" s="1"/>
  <c r="HK20" i="11"/>
  <c r="HJ32" i="17"/>
  <c r="V33" i="32"/>
  <c r="HJ20" i="17"/>
  <c r="V21" i="32"/>
  <c r="S9" i="43" s="1"/>
  <c r="HJ21" i="17"/>
  <c r="V22" i="32"/>
  <c r="HJ26" i="17"/>
  <c r="V27" i="32"/>
  <c r="A225" i="37"/>
  <c r="B226" i="37"/>
  <c r="HC7" i="20"/>
  <c r="HC34" i="19"/>
  <c r="HC28" i="20"/>
  <c r="HH9" i="19"/>
  <c r="HH9" i="20" s="1"/>
  <c r="HH16" i="17"/>
  <c r="HH39" i="17" s="1"/>
  <c r="HH42" i="17" s="1"/>
  <c r="HH43" i="17" s="1"/>
  <c r="HH44" i="17" s="1"/>
  <c r="HJ31" i="17"/>
  <c r="V32" i="32"/>
  <c r="HJ24" i="17"/>
  <c r="V25" i="32"/>
  <c r="HJ29" i="17"/>
  <c r="V30" i="32"/>
  <c r="HJ27" i="17"/>
  <c r="V28" i="32"/>
  <c r="HJ28" i="17"/>
  <c r="V29" i="32"/>
  <c r="HJ18" i="10"/>
  <c r="GY38" i="10" s="1"/>
  <c r="V20" i="32"/>
  <c r="HJ33" i="17"/>
  <c r="V34" i="32"/>
  <c r="HJ23" i="17"/>
  <c r="V24" i="32"/>
  <c r="HI40" i="11"/>
  <c r="HI7" i="17" s="1"/>
  <c r="HI13" i="17" s="1"/>
  <c r="HI55" i="11"/>
  <c r="HI14" i="10" s="1"/>
  <c r="HI15" i="10" s="1"/>
  <c r="HI16" i="10" s="1"/>
  <c r="HI15" i="17" s="1"/>
  <c r="HI19" i="19" s="1"/>
  <c r="HJ22" i="17"/>
  <c r="V23" i="32"/>
  <c r="HJ35" i="17"/>
  <c r="V36" i="32"/>
  <c r="HJ34" i="17"/>
  <c r="V35" i="32"/>
  <c r="HK31" i="10"/>
  <c r="HK34" i="10"/>
  <c r="HK20" i="10"/>
  <c r="HK29" i="10"/>
  <c r="HK21" i="10"/>
  <c r="HK24" i="10"/>
  <c r="HK36" i="10"/>
  <c r="HL9" i="10"/>
  <c r="HK27" i="10"/>
  <c r="HK30" i="10"/>
  <c r="HK22" i="10"/>
  <c r="HK25" i="10"/>
  <c r="HK35" i="10"/>
  <c r="HK28" i="10"/>
  <c r="HK33" i="10"/>
  <c r="HK32" i="10"/>
  <c r="HK23" i="10"/>
  <c r="HJ30" i="17"/>
  <c r="V31" i="32"/>
  <c r="V38" i="32" l="1"/>
  <c r="T22" i="30"/>
  <c r="S17" i="43"/>
  <c r="T20" i="30"/>
  <c r="S15" i="43"/>
  <c r="T17" i="30"/>
  <c r="S12" i="43"/>
  <c r="T25" i="30"/>
  <c r="S20" i="43"/>
  <c r="T28" i="30"/>
  <c r="S23" i="43"/>
  <c r="T21" i="30"/>
  <c r="S16" i="43"/>
  <c r="T15" i="30"/>
  <c r="S10" i="43"/>
  <c r="T27" i="30"/>
  <c r="S22" i="43"/>
  <c r="T29" i="30"/>
  <c r="S24" i="43"/>
  <c r="T23" i="30"/>
  <c r="S18" i="43"/>
  <c r="T16" i="30"/>
  <c r="S11" i="43"/>
  <c r="T13" i="30"/>
  <c r="S8" i="43"/>
  <c r="T18" i="30"/>
  <c r="S13" i="43"/>
  <c r="T24" i="30"/>
  <c r="S19" i="43"/>
  <c r="T26" i="30"/>
  <c r="S21" i="43"/>
  <c r="HI9" i="19"/>
  <c r="HI9" i="20" s="1"/>
  <c r="HI16" i="17"/>
  <c r="HI39" i="17" s="1"/>
  <c r="HI42" i="17" s="1"/>
  <c r="HI43" i="17" s="1"/>
  <c r="HI44" i="17" s="1"/>
  <c r="HK20" i="17"/>
  <c r="A226" i="37"/>
  <c r="B227" i="37"/>
  <c r="HL31" i="10"/>
  <c r="HL30" i="17" s="1"/>
  <c r="HL34" i="10"/>
  <c r="HL33" i="17" s="1"/>
  <c r="HL29" i="10"/>
  <c r="HL28" i="17" s="1"/>
  <c r="HL21" i="10"/>
  <c r="HL20" i="17" s="1"/>
  <c r="HL24" i="10"/>
  <c r="HL23" i="17" s="1"/>
  <c r="HL35" i="10"/>
  <c r="HL34" i="17" s="1"/>
  <c r="HL27" i="10"/>
  <c r="HL26" i="17" s="1"/>
  <c r="HL30" i="10"/>
  <c r="HL29" i="17" s="1"/>
  <c r="HL20" i="10"/>
  <c r="HL22" i="10"/>
  <c r="HL21" i="17" s="1"/>
  <c r="HM9" i="10"/>
  <c r="HL25" i="10"/>
  <c r="HL24" i="17" s="1"/>
  <c r="HL36" i="10"/>
  <c r="HL35" i="17" s="1"/>
  <c r="HL28" i="10"/>
  <c r="HL27" i="17" s="1"/>
  <c r="HL33" i="10"/>
  <c r="HL32" i="17" s="1"/>
  <c r="HL32" i="10"/>
  <c r="HL31" i="17" s="1"/>
  <c r="HL23" i="10"/>
  <c r="HL22" i="17" s="1"/>
  <c r="HJ40" i="11"/>
  <c r="HJ7" i="17" s="1"/>
  <c r="HJ13" i="17" s="1"/>
  <c r="HJ55" i="11"/>
  <c r="HK13" i="10"/>
  <c r="HL7" i="10"/>
  <c r="HK22" i="17"/>
  <c r="HK26" i="17"/>
  <c r="HK30" i="17"/>
  <c r="HG19" i="19"/>
  <c r="HG16" i="17"/>
  <c r="HK31" i="17"/>
  <c r="HK24" i="17"/>
  <c r="HK28" i="17"/>
  <c r="HK32" i="17"/>
  <c r="HK21" i="17"/>
  <c r="HK35" i="17"/>
  <c r="HK18" i="10"/>
  <c r="HJ37" i="17"/>
  <c r="HJ21" i="19" s="1"/>
  <c r="HH17" i="17"/>
  <c r="T14" i="30"/>
  <c r="U19" i="38"/>
  <c r="HK28" i="11"/>
  <c r="HK33" i="11"/>
  <c r="HK26" i="11"/>
  <c r="HK30" i="11"/>
  <c r="HK34" i="11"/>
  <c r="HK25" i="11"/>
  <c r="HK27" i="11"/>
  <c r="HK31" i="11"/>
  <c r="HK37" i="11"/>
  <c r="HK24" i="11"/>
  <c r="HK29" i="11"/>
  <c r="HK35" i="11"/>
  <c r="HK36" i="11"/>
  <c r="HK32" i="11"/>
  <c r="HL20" i="11"/>
  <c r="V13" i="32"/>
  <c r="S2" i="43" s="1"/>
  <c r="HK34" i="17"/>
  <c r="HK27" i="17"/>
  <c r="HK29" i="17"/>
  <c r="HK23" i="17"/>
  <c r="HK33" i="17"/>
  <c r="HH7" i="20"/>
  <c r="HH34" i="19"/>
  <c r="HH28" i="20"/>
  <c r="S26" i="43" l="1"/>
  <c r="T31" i="30"/>
  <c r="T67" i="30" s="1"/>
  <c r="S9" i="34" s="1"/>
  <c r="HI17" i="17"/>
  <c r="T7" i="30"/>
  <c r="U33" i="38"/>
  <c r="U51" i="38" s="1"/>
  <c r="HK51" i="11"/>
  <c r="HK9" i="17" s="1"/>
  <c r="HL13" i="10"/>
  <c r="HM7" i="10"/>
  <c r="U30" i="38"/>
  <c r="U48" i="38" s="1"/>
  <c r="HK48" i="11"/>
  <c r="HL37" i="17"/>
  <c r="HL21" i="19" s="1"/>
  <c r="HL18" i="10"/>
  <c r="U36" i="38"/>
  <c r="U54" i="38" s="1"/>
  <c r="HK54" i="11"/>
  <c r="HK12" i="17" s="1"/>
  <c r="U34" i="38"/>
  <c r="U52" i="38" s="1"/>
  <c r="HK52" i="11"/>
  <c r="HK10" i="17" s="1"/>
  <c r="U29" i="38"/>
  <c r="U47" i="38" s="1"/>
  <c r="HK47" i="11"/>
  <c r="HL25" i="11"/>
  <c r="HL42" i="11" s="1"/>
  <c r="HL29" i="11"/>
  <c r="HL46" i="11" s="1"/>
  <c r="HL24" i="11"/>
  <c r="HL41" i="11" s="1"/>
  <c r="HL30" i="11"/>
  <c r="HL47" i="11" s="1"/>
  <c r="HL34" i="11"/>
  <c r="HL51" i="11" s="1"/>
  <c r="HL9" i="17" s="1"/>
  <c r="HL26" i="11"/>
  <c r="HL43" i="11" s="1"/>
  <c r="HL31" i="11"/>
  <c r="HL48" i="11" s="1"/>
  <c r="HL35" i="11"/>
  <c r="HL52" i="11" s="1"/>
  <c r="HL10" i="17" s="1"/>
  <c r="HL27" i="11"/>
  <c r="HL44" i="11" s="1"/>
  <c r="HL32" i="11"/>
  <c r="HL49" i="11" s="1"/>
  <c r="HL36" i="11"/>
  <c r="HL53" i="11" s="1"/>
  <c r="HL11" i="17" s="1"/>
  <c r="HL28" i="11"/>
  <c r="HL45" i="11" s="1"/>
  <c r="HL33" i="11"/>
  <c r="HL50" i="11" s="1"/>
  <c r="HL8" i="17" s="1"/>
  <c r="HL37" i="11"/>
  <c r="HL54" i="11" s="1"/>
  <c r="HL12" i="17" s="1"/>
  <c r="HM20" i="11"/>
  <c r="U28" i="38"/>
  <c r="U46" i="38" s="1"/>
  <c r="HK46" i="11"/>
  <c r="U26" i="38"/>
  <c r="U44" i="38" s="1"/>
  <c r="HK44" i="11"/>
  <c r="U25" i="38"/>
  <c r="U43" i="38" s="1"/>
  <c r="HK43" i="11"/>
  <c r="HJ14" i="10"/>
  <c r="GY56" i="11"/>
  <c r="V6" i="32" s="1"/>
  <c r="V7" i="32" s="1"/>
  <c r="A227" i="37"/>
  <c r="B228" i="37"/>
  <c r="U35" i="38"/>
  <c r="U53" i="38" s="1"/>
  <c r="HK53" i="11"/>
  <c r="HK11" i="17" s="1"/>
  <c r="U27" i="38"/>
  <c r="U45" i="38" s="1"/>
  <c r="HK45" i="11"/>
  <c r="HG39" i="17"/>
  <c r="HG42" i="17" s="1"/>
  <c r="HG43" i="17" s="1"/>
  <c r="HG44" i="17" s="1"/>
  <c r="HG17" i="17"/>
  <c r="U31" i="38"/>
  <c r="U49" i="38" s="1"/>
  <c r="HK49" i="11"/>
  <c r="U23" i="38"/>
  <c r="U41" i="38" s="1"/>
  <c r="HK41" i="11"/>
  <c r="U24" i="38"/>
  <c r="U42" i="38" s="1"/>
  <c r="HK42" i="11"/>
  <c r="U32" i="38"/>
  <c r="U50" i="38" s="1"/>
  <c r="HK50" i="11"/>
  <c r="HK8" i="17" s="1"/>
  <c r="HK37" i="17"/>
  <c r="HK21" i="19" s="1"/>
  <c r="HJ9" i="19"/>
  <c r="HJ9" i="20" s="1"/>
  <c r="HM31" i="10"/>
  <c r="HM34" i="10"/>
  <c r="HM33" i="17" s="1"/>
  <c r="HN9" i="10"/>
  <c r="HM29" i="10"/>
  <c r="HM21" i="10"/>
  <c r="HM20" i="17" s="1"/>
  <c r="HM24" i="10"/>
  <c r="HM35" i="10"/>
  <c r="HM34" i="17" s="1"/>
  <c r="HM20" i="10"/>
  <c r="HM27" i="10"/>
  <c r="HM30" i="10"/>
  <c r="HM22" i="10"/>
  <c r="HM21" i="17" s="1"/>
  <c r="HM25" i="10"/>
  <c r="HM36" i="10"/>
  <c r="HM28" i="10"/>
  <c r="HM27" i="17" s="1"/>
  <c r="HM33" i="10"/>
  <c r="HM32" i="10"/>
  <c r="HM23" i="10"/>
  <c r="HM22" i="17" s="1"/>
  <c r="HI34" i="19"/>
  <c r="HI28" i="20"/>
  <c r="HI7" i="20"/>
  <c r="V9" i="32" l="1"/>
  <c r="T6" i="30" s="1"/>
  <c r="T5" i="30"/>
  <c r="HM30" i="17"/>
  <c r="HG34" i="19"/>
  <c r="HG7" i="20"/>
  <c r="HG28" i="20"/>
  <c r="HJ15" i="10"/>
  <c r="V15" i="32" s="1"/>
  <c r="V14" i="32"/>
  <c r="S3" i="43" s="1"/>
  <c r="HM29" i="17"/>
  <c r="U55" i="38"/>
  <c r="HM35" i="17"/>
  <c r="HM26" i="17"/>
  <c r="HM31" i="17"/>
  <c r="HM24" i="17"/>
  <c r="HM18" i="10"/>
  <c r="HM28" i="17"/>
  <c r="A228" i="37"/>
  <c r="B229" i="37"/>
  <c r="HM24" i="11"/>
  <c r="HM41" i="11" s="1"/>
  <c r="HM28" i="11"/>
  <c r="HM45" i="11" s="1"/>
  <c r="HM31" i="11"/>
  <c r="HM48" i="11" s="1"/>
  <c r="HM35" i="11"/>
  <c r="HM52" i="11" s="1"/>
  <c r="HM10" i="17" s="1"/>
  <c r="HM25" i="11"/>
  <c r="HM42" i="11" s="1"/>
  <c r="HM29" i="11"/>
  <c r="HM46" i="11" s="1"/>
  <c r="HM32" i="11"/>
  <c r="HM49" i="11" s="1"/>
  <c r="HM36" i="11"/>
  <c r="HM53" i="11" s="1"/>
  <c r="HM11" i="17" s="1"/>
  <c r="HM26" i="11"/>
  <c r="HM43" i="11" s="1"/>
  <c r="HM33" i="11"/>
  <c r="HM50" i="11" s="1"/>
  <c r="HM8" i="17" s="1"/>
  <c r="HM37" i="11"/>
  <c r="HM54" i="11" s="1"/>
  <c r="HM12" i="17" s="1"/>
  <c r="HM30" i="11"/>
  <c r="HM47" i="11" s="1"/>
  <c r="HM34" i="11"/>
  <c r="HM51" i="11" s="1"/>
  <c r="HM9" i="17" s="1"/>
  <c r="HM27" i="11"/>
  <c r="HM44" i="11" s="1"/>
  <c r="HN20" i="11"/>
  <c r="HL40" i="11"/>
  <c r="HL7" i="17" s="1"/>
  <c r="HL13" i="17" s="1"/>
  <c r="HL55" i="11"/>
  <c r="HL14" i="10" s="1"/>
  <c r="HL15" i="10" s="1"/>
  <c r="HM23" i="17"/>
  <c r="HM32" i="17"/>
  <c r="HN31" i="10"/>
  <c r="HN30" i="17" s="1"/>
  <c r="HN34" i="10"/>
  <c r="HN33" i="17" s="1"/>
  <c r="HN27" i="10"/>
  <c r="HN26" i="17" s="1"/>
  <c r="HN30" i="10"/>
  <c r="HN29" i="17" s="1"/>
  <c r="HO9" i="10"/>
  <c r="HN20" i="10"/>
  <c r="HN22" i="10"/>
  <c r="HN21" i="17" s="1"/>
  <c r="HN25" i="10"/>
  <c r="HN24" i="17" s="1"/>
  <c r="HN35" i="10"/>
  <c r="HN34" i="17" s="1"/>
  <c r="HN29" i="10"/>
  <c r="HN28" i="17" s="1"/>
  <c r="HN24" i="10"/>
  <c r="HN23" i="17" s="1"/>
  <c r="HN36" i="10"/>
  <c r="HN35" i="17" s="1"/>
  <c r="HN21" i="10"/>
  <c r="HN28" i="10"/>
  <c r="HN27" i="17" s="1"/>
  <c r="HN33" i="10"/>
  <c r="HN32" i="17" s="1"/>
  <c r="HN32" i="10"/>
  <c r="HN31" i="17" s="1"/>
  <c r="HN23" i="10"/>
  <c r="HN22" i="17" s="1"/>
  <c r="HK40" i="11"/>
  <c r="HK7" i="17" s="1"/>
  <c r="HK13" i="17" s="1"/>
  <c r="HK55" i="11"/>
  <c r="HM13" i="10"/>
  <c r="HN7" i="10"/>
  <c r="T9" i="30" l="1"/>
  <c r="S4" i="43"/>
  <c r="HM37" i="17"/>
  <c r="HM21" i="19" s="1"/>
  <c r="HJ16" i="10"/>
  <c r="HJ15" i="17" s="1"/>
  <c r="HJ19" i="19" s="1"/>
  <c r="HK9" i="19"/>
  <c r="HK9" i="20" s="1"/>
  <c r="HL9" i="19"/>
  <c r="T8" i="30"/>
  <c r="T10" i="30" s="1"/>
  <c r="V16" i="32"/>
  <c r="HL16" i="10"/>
  <c r="HL15" i="17" s="1"/>
  <c r="HL19" i="19" s="1"/>
  <c r="HN20" i="17"/>
  <c r="HN37" i="17" s="1"/>
  <c r="HN21" i="19" s="1"/>
  <c r="HO34" i="10"/>
  <c r="HO33" i="17" s="1"/>
  <c r="HO31" i="10"/>
  <c r="HO30" i="17" s="1"/>
  <c r="HO20" i="10"/>
  <c r="HO29" i="10"/>
  <c r="HO28" i="17" s="1"/>
  <c r="HO21" i="10"/>
  <c r="HO20" i="17" s="1"/>
  <c r="HO24" i="10"/>
  <c r="HO23" i="17" s="1"/>
  <c r="HO36" i="10"/>
  <c r="HO35" i="17" s="1"/>
  <c r="HP9" i="10"/>
  <c r="HO27" i="10"/>
  <c r="HO26" i="17" s="1"/>
  <c r="HO30" i="10"/>
  <c r="HO25" i="10"/>
  <c r="HO24" i="17" s="1"/>
  <c r="HO35" i="10"/>
  <c r="HO34" i="17" s="1"/>
  <c r="HO22" i="10"/>
  <c r="HO21" i="17" s="1"/>
  <c r="HO33" i="10"/>
  <c r="HO28" i="10"/>
  <c r="HO27" i="17" s="1"/>
  <c r="HO32" i="10"/>
  <c r="HO31" i="17" s="1"/>
  <c r="HO23" i="10"/>
  <c r="HO22" i="17" s="1"/>
  <c r="HN25" i="11"/>
  <c r="HN42" i="11" s="1"/>
  <c r="HN29" i="11"/>
  <c r="HN46" i="11" s="1"/>
  <c r="HN33" i="11"/>
  <c r="HN50" i="11" s="1"/>
  <c r="HN8" i="17" s="1"/>
  <c r="HN37" i="11"/>
  <c r="HN54" i="11" s="1"/>
  <c r="HN12" i="17" s="1"/>
  <c r="HN26" i="11"/>
  <c r="HN43" i="11" s="1"/>
  <c r="HN30" i="11"/>
  <c r="HN47" i="11" s="1"/>
  <c r="HN34" i="11"/>
  <c r="HN51" i="11" s="1"/>
  <c r="HN9" i="17" s="1"/>
  <c r="HN27" i="11"/>
  <c r="HN44" i="11" s="1"/>
  <c r="HN31" i="11"/>
  <c r="HN48" i="11" s="1"/>
  <c r="HN35" i="11"/>
  <c r="HN52" i="11" s="1"/>
  <c r="HN10" i="17" s="1"/>
  <c r="HN32" i="11"/>
  <c r="HN49" i="11" s="1"/>
  <c r="HN36" i="11"/>
  <c r="HN53" i="11" s="1"/>
  <c r="HN11" i="17" s="1"/>
  <c r="HN24" i="11"/>
  <c r="HN41" i="11" s="1"/>
  <c r="HN28" i="11"/>
  <c r="HN45" i="11" s="1"/>
  <c r="HO20" i="11"/>
  <c r="A229" i="37"/>
  <c r="B230" i="37"/>
  <c r="HN13" i="10"/>
  <c r="HO7" i="10"/>
  <c r="HK14" i="10"/>
  <c r="HM40" i="11"/>
  <c r="HM7" i="17" s="1"/>
  <c r="HM13" i="17" s="1"/>
  <c r="HM55" i="11"/>
  <c r="HM14" i="10" s="1"/>
  <c r="HM15" i="10" s="1"/>
  <c r="HN18" i="10"/>
  <c r="T43" i="30"/>
  <c r="T49" i="30"/>
  <c r="T40" i="30"/>
  <c r="T54" i="30"/>
  <c r="T64" i="30"/>
  <c r="T48" i="30"/>
  <c r="T55" i="30"/>
  <c r="T57" i="30"/>
  <c r="T59" i="30"/>
  <c r="T42" i="30"/>
  <c r="T56" i="30"/>
  <c r="T51" i="30"/>
  <c r="T50" i="30"/>
  <c r="T41" i="30"/>
  <c r="T44" i="30"/>
  <c r="T53" i="30"/>
  <c r="T52" i="30"/>
  <c r="T45" i="30"/>
  <c r="T58" i="30"/>
  <c r="T47" i="30"/>
  <c r="T46" i="30"/>
  <c r="T60" i="30"/>
  <c r="T66" i="30"/>
  <c r="S8" i="34" s="1"/>
  <c r="T3" i="30"/>
  <c r="V17" i="32" l="1"/>
  <c r="S5" i="43"/>
  <c r="HJ16" i="17"/>
  <c r="HJ39" i="17" s="1"/>
  <c r="HJ42" i="17" s="1"/>
  <c r="HJ43" i="17" s="1"/>
  <c r="HJ44" i="17" s="1"/>
  <c r="T32" i="30"/>
  <c r="T39" i="30"/>
  <c r="HL9" i="20"/>
  <c r="A230" i="37"/>
  <c r="B231" i="37"/>
  <c r="HO13" i="10"/>
  <c r="HP7" i="10"/>
  <c r="HK15" i="10"/>
  <c r="HO32" i="17"/>
  <c r="HO29" i="17"/>
  <c r="S6" i="34"/>
  <c r="T68" i="30"/>
  <c r="HM16" i="10"/>
  <c r="HM15" i="17" s="1"/>
  <c r="HM9" i="19"/>
  <c r="HM9" i="20" s="1"/>
  <c r="HO27" i="11"/>
  <c r="HO44" i="11" s="1"/>
  <c r="HO31" i="11"/>
  <c r="HO48" i="11" s="1"/>
  <c r="HO35" i="11"/>
  <c r="HO52" i="11" s="1"/>
  <c r="HO10" i="17" s="1"/>
  <c r="HO24" i="11"/>
  <c r="HO41" i="11" s="1"/>
  <c r="HO28" i="11"/>
  <c r="HO45" i="11" s="1"/>
  <c r="HO32" i="11"/>
  <c r="HO49" i="11" s="1"/>
  <c r="HO36" i="11"/>
  <c r="HO53" i="11" s="1"/>
  <c r="HO11" i="17" s="1"/>
  <c r="HO25" i="11"/>
  <c r="HO42" i="11" s="1"/>
  <c r="HO29" i="11"/>
  <c r="HO46" i="11" s="1"/>
  <c r="HO33" i="11"/>
  <c r="HO50" i="11" s="1"/>
  <c r="HO8" i="17" s="1"/>
  <c r="HO37" i="11"/>
  <c r="HO54" i="11" s="1"/>
  <c r="HO12" i="17" s="1"/>
  <c r="HO34" i="11"/>
  <c r="HO51" i="11" s="1"/>
  <c r="HO9" i="17" s="1"/>
  <c r="HO26" i="11"/>
  <c r="HO43" i="11" s="1"/>
  <c r="HO30" i="11"/>
  <c r="HO47" i="11" s="1"/>
  <c r="HP20" i="11"/>
  <c r="HP31" i="10"/>
  <c r="HP30" i="17" s="1"/>
  <c r="HP34" i="10"/>
  <c r="HP29" i="10"/>
  <c r="HP21" i="10"/>
  <c r="HP20" i="17" s="1"/>
  <c r="HP24" i="10"/>
  <c r="HP23" i="17" s="1"/>
  <c r="HP35" i="10"/>
  <c r="HP34" i="17" s="1"/>
  <c r="HP27" i="10"/>
  <c r="HP30" i="10"/>
  <c r="HP29" i="17" s="1"/>
  <c r="HP20" i="10"/>
  <c r="HP25" i="10"/>
  <c r="HP36" i="10"/>
  <c r="HP35" i="17" s="1"/>
  <c r="HP22" i="10"/>
  <c r="HQ9" i="10"/>
  <c r="HP33" i="10"/>
  <c r="HP32" i="17" s="1"/>
  <c r="HP28" i="10"/>
  <c r="HP27" i="17" s="1"/>
  <c r="HP32" i="10"/>
  <c r="HP23" i="10"/>
  <c r="HN40" i="11"/>
  <c r="HN7" i="17" s="1"/>
  <c r="HN13" i="17" s="1"/>
  <c r="HN55" i="11"/>
  <c r="HN14" i="10" s="1"/>
  <c r="HN15" i="10" s="1"/>
  <c r="HN16" i="10" s="1"/>
  <c r="HN15" i="17" s="1"/>
  <c r="HN19" i="19" s="1"/>
  <c r="HO18" i="10"/>
  <c r="HL16" i="17"/>
  <c r="HO37" i="17" l="1"/>
  <c r="HO21" i="19" s="1"/>
  <c r="HJ17" i="17"/>
  <c r="HN9" i="19"/>
  <c r="HN9" i="20" s="1"/>
  <c r="HN16" i="17"/>
  <c r="HN39" i="17" s="1"/>
  <c r="HN42" i="17" s="1"/>
  <c r="HN43" i="17" s="1"/>
  <c r="HN44" i="17" s="1"/>
  <c r="HQ31" i="10"/>
  <c r="HQ30" i="17" s="1"/>
  <c r="HQ34" i="10"/>
  <c r="HQ33" i="17" s="1"/>
  <c r="HR9" i="10"/>
  <c r="HQ29" i="10"/>
  <c r="HQ28" i="17" s="1"/>
  <c r="HQ21" i="10"/>
  <c r="HQ24" i="10"/>
  <c r="HQ23" i="17" s="1"/>
  <c r="HQ35" i="10"/>
  <c r="HQ34" i="17" s="1"/>
  <c r="HQ20" i="10"/>
  <c r="HQ27" i="10"/>
  <c r="HQ26" i="17" s="1"/>
  <c r="HQ30" i="10"/>
  <c r="HQ22" i="10"/>
  <c r="HQ21" i="17" s="1"/>
  <c r="HQ36" i="10"/>
  <c r="HQ25" i="10"/>
  <c r="HQ24" i="17" s="1"/>
  <c r="HQ28" i="10"/>
  <c r="HQ27" i="17" s="1"/>
  <c r="HQ33" i="10"/>
  <c r="HQ32" i="17" s="1"/>
  <c r="HQ32" i="10"/>
  <c r="HQ31" i="17" s="1"/>
  <c r="HQ23" i="10"/>
  <c r="HQ22" i="17" s="1"/>
  <c r="HK16" i="10"/>
  <c r="HK15" i="17" s="1"/>
  <c r="HP13" i="10"/>
  <c r="HQ7" i="10"/>
  <c r="HP21" i="17"/>
  <c r="HO40" i="11"/>
  <c r="HO7" i="17" s="1"/>
  <c r="HO13" i="17" s="1"/>
  <c r="HO55" i="11"/>
  <c r="HO14" i="10" s="1"/>
  <c r="HO15" i="10" s="1"/>
  <c r="HO16" i="10" s="1"/>
  <c r="HO15" i="17" s="1"/>
  <c r="HM16" i="17"/>
  <c r="HM19" i="19"/>
  <c r="HP22" i="17"/>
  <c r="HP18" i="10"/>
  <c r="HL39" i="17"/>
  <c r="HL42" i="17" s="1"/>
  <c r="HL43" i="17" s="1"/>
  <c r="HL44" i="17" s="1"/>
  <c r="HL17" i="17"/>
  <c r="HP31" i="17"/>
  <c r="HP26" i="17"/>
  <c r="HP28" i="17"/>
  <c r="HP25" i="11"/>
  <c r="HP42" i="11" s="1"/>
  <c r="HP29" i="11"/>
  <c r="HP46" i="11" s="1"/>
  <c r="HP33" i="11"/>
  <c r="HP50" i="11" s="1"/>
  <c r="HP8" i="17" s="1"/>
  <c r="HP37" i="11"/>
  <c r="HP54" i="11" s="1"/>
  <c r="HP12" i="17" s="1"/>
  <c r="HP26" i="11"/>
  <c r="HP43" i="11" s="1"/>
  <c r="HP30" i="11"/>
  <c r="HP47" i="11" s="1"/>
  <c r="HP34" i="11"/>
  <c r="HP51" i="11" s="1"/>
  <c r="HP9" i="17" s="1"/>
  <c r="HP27" i="11"/>
  <c r="HP44" i="11" s="1"/>
  <c r="HP31" i="11"/>
  <c r="HP48" i="11" s="1"/>
  <c r="HP35" i="11"/>
  <c r="HP52" i="11" s="1"/>
  <c r="HP10" i="17" s="1"/>
  <c r="HP36" i="11"/>
  <c r="HP53" i="11" s="1"/>
  <c r="HP11" i="17" s="1"/>
  <c r="HP24" i="11"/>
  <c r="HP41" i="11" s="1"/>
  <c r="HP28" i="11"/>
  <c r="HP45" i="11" s="1"/>
  <c r="HP32" i="11"/>
  <c r="HP49" i="11" s="1"/>
  <c r="HQ20" i="11"/>
  <c r="T81" i="30"/>
  <c r="F22" i="35" s="1"/>
  <c r="T75" i="30"/>
  <c r="A231" i="37"/>
  <c r="B232" i="37"/>
  <c r="HJ7" i="20"/>
  <c r="HJ28" i="20"/>
  <c r="HJ34" i="19"/>
  <c r="HP24" i="17"/>
  <c r="HP33" i="17"/>
  <c r="HO19" i="19" l="1"/>
  <c r="HN17" i="17"/>
  <c r="HP37" i="17"/>
  <c r="HP21" i="19" s="1"/>
  <c r="HK19" i="19"/>
  <c r="HK16" i="17"/>
  <c r="HQ29" i="17"/>
  <c r="A232" i="37"/>
  <c r="B233" i="37"/>
  <c r="HQ13" i="10"/>
  <c r="HR7" i="10"/>
  <c r="HQ20" i="17"/>
  <c r="HQ27" i="11"/>
  <c r="HQ44" i="11" s="1"/>
  <c r="HQ30" i="11"/>
  <c r="HQ47" i="11" s="1"/>
  <c r="HQ34" i="11"/>
  <c r="HQ51" i="11" s="1"/>
  <c r="HQ9" i="17" s="1"/>
  <c r="HQ24" i="11"/>
  <c r="HQ41" i="11" s="1"/>
  <c r="HQ28" i="11"/>
  <c r="HQ45" i="11" s="1"/>
  <c r="HQ31" i="11"/>
  <c r="HQ48" i="11" s="1"/>
  <c r="HQ35" i="11"/>
  <c r="HQ52" i="11" s="1"/>
  <c r="HQ10" i="17" s="1"/>
  <c r="HQ25" i="11"/>
  <c r="HQ42" i="11" s="1"/>
  <c r="HQ29" i="11"/>
  <c r="HQ46" i="11" s="1"/>
  <c r="HQ32" i="11"/>
  <c r="HQ49" i="11" s="1"/>
  <c r="HQ36" i="11"/>
  <c r="HQ53" i="11" s="1"/>
  <c r="HQ11" i="17" s="1"/>
  <c r="HQ37" i="11"/>
  <c r="HQ54" i="11" s="1"/>
  <c r="HQ12" i="17" s="1"/>
  <c r="HQ26" i="11"/>
  <c r="HQ43" i="11" s="1"/>
  <c r="HQ33" i="11"/>
  <c r="HQ50" i="11" s="1"/>
  <c r="HQ8" i="17" s="1"/>
  <c r="HR20" i="11"/>
  <c r="HO9" i="19"/>
  <c r="HO9" i="20" s="1"/>
  <c r="HO16" i="17"/>
  <c r="HO39" i="17" s="1"/>
  <c r="HO42" i="17" s="1"/>
  <c r="HO43" i="17" s="1"/>
  <c r="HO44" i="17" s="1"/>
  <c r="HQ18" i="10"/>
  <c r="HQ35" i="17"/>
  <c r="HP40" i="11"/>
  <c r="HP7" i="17" s="1"/>
  <c r="HP13" i="17" s="1"/>
  <c r="HP55" i="11"/>
  <c r="HP14" i="10" s="1"/>
  <c r="HP15" i="10" s="1"/>
  <c r="HL7" i="20"/>
  <c r="HL28" i="20"/>
  <c r="HL34" i="19"/>
  <c r="HM39" i="17"/>
  <c r="HM42" i="17" s="1"/>
  <c r="HM17" i="17"/>
  <c r="HR31" i="10"/>
  <c r="HR30" i="17" s="1"/>
  <c r="HR34" i="10"/>
  <c r="HR33" i="17" s="1"/>
  <c r="HR27" i="10"/>
  <c r="HR30" i="10"/>
  <c r="HR29" i="17" s="1"/>
  <c r="HS9" i="10"/>
  <c r="HR20" i="10"/>
  <c r="HR22" i="10"/>
  <c r="HR21" i="17" s="1"/>
  <c r="HR25" i="10"/>
  <c r="HR35" i="10"/>
  <c r="HR34" i="17" s="1"/>
  <c r="HR29" i="10"/>
  <c r="HR28" i="17" s="1"/>
  <c r="HR21" i="10"/>
  <c r="HR20" i="17" s="1"/>
  <c r="HR24" i="10"/>
  <c r="HR23" i="17" s="1"/>
  <c r="HR36" i="10"/>
  <c r="HR35" i="17" s="1"/>
  <c r="HR33" i="10"/>
  <c r="HR28" i="10"/>
  <c r="HR27" i="17" s="1"/>
  <c r="HR32" i="10"/>
  <c r="HR23" i="10"/>
  <c r="HR22" i="17" s="1"/>
  <c r="HN34" i="19"/>
  <c r="HN28" i="20"/>
  <c r="HN7" i="20"/>
  <c r="HQ37" i="17" l="1"/>
  <c r="HQ21" i="19" s="1"/>
  <c r="HO17" i="17"/>
  <c r="HP9" i="19"/>
  <c r="HP9" i="20" s="1"/>
  <c r="HQ40" i="11"/>
  <c r="HQ7" i="17" s="1"/>
  <c r="HQ13" i="17" s="1"/>
  <c r="HQ55" i="11"/>
  <c r="HQ14" i="10" s="1"/>
  <c r="HQ15" i="10" s="1"/>
  <c r="HR32" i="17"/>
  <c r="HR18" i="10"/>
  <c r="HM43" i="17"/>
  <c r="HM44" i="17" s="1"/>
  <c r="HR24" i="11"/>
  <c r="HR41" i="11" s="1"/>
  <c r="HR28" i="11"/>
  <c r="HR45" i="11" s="1"/>
  <c r="HR32" i="11"/>
  <c r="HR49" i="11" s="1"/>
  <c r="HR36" i="11"/>
  <c r="HR53" i="11" s="1"/>
  <c r="HR11" i="17" s="1"/>
  <c r="HR25" i="11"/>
  <c r="HR42" i="11" s="1"/>
  <c r="HR29" i="11"/>
  <c r="HR46" i="11" s="1"/>
  <c r="HR33" i="11"/>
  <c r="HR50" i="11" s="1"/>
  <c r="HR8" i="17" s="1"/>
  <c r="HR37" i="11"/>
  <c r="HR54" i="11" s="1"/>
  <c r="HR12" i="17" s="1"/>
  <c r="HR26" i="11"/>
  <c r="HR43" i="11" s="1"/>
  <c r="HR30" i="11"/>
  <c r="HR47" i="11" s="1"/>
  <c r="HR34" i="11"/>
  <c r="HR51" i="11" s="1"/>
  <c r="HR9" i="17" s="1"/>
  <c r="HR27" i="11"/>
  <c r="HR44" i="11" s="1"/>
  <c r="HR31" i="11"/>
  <c r="HR48" i="11" s="1"/>
  <c r="HR35" i="11"/>
  <c r="HR52" i="11" s="1"/>
  <c r="HR10" i="17" s="1"/>
  <c r="HS20" i="11"/>
  <c r="HR26" i="17"/>
  <c r="HS34" i="10"/>
  <c r="HS33" i="17" s="1"/>
  <c r="HS20" i="10"/>
  <c r="HS29" i="10"/>
  <c r="HS28" i="17" s="1"/>
  <c r="HS31" i="10"/>
  <c r="HS30" i="17" s="1"/>
  <c r="HS21" i="10"/>
  <c r="HS20" i="17" s="1"/>
  <c r="HS24" i="10"/>
  <c r="HS23" i="17" s="1"/>
  <c r="HS36" i="10"/>
  <c r="HS35" i="17" s="1"/>
  <c r="HT9" i="10"/>
  <c r="HS27" i="10"/>
  <c r="HS26" i="17" s="1"/>
  <c r="HS30" i="10"/>
  <c r="HS22" i="10"/>
  <c r="HS21" i="17" s="1"/>
  <c r="HS25" i="10"/>
  <c r="HS24" i="17" s="1"/>
  <c r="HS35" i="10"/>
  <c r="HS34" i="17" s="1"/>
  <c r="HS28" i="10"/>
  <c r="HS27" i="17" s="1"/>
  <c r="HS33" i="10"/>
  <c r="HS32" i="17" s="1"/>
  <c r="HS32" i="10"/>
  <c r="HS31" i="17" s="1"/>
  <c r="HS23" i="10"/>
  <c r="HS22" i="17" s="1"/>
  <c r="HO34" i="19"/>
  <c r="HO7" i="20"/>
  <c r="HO28" i="20"/>
  <c r="A233" i="37"/>
  <c r="B234" i="37"/>
  <c r="HK39" i="17"/>
  <c r="HK42" i="17" s="1"/>
  <c r="HK43" i="17" s="1"/>
  <c r="HK44" i="17" s="1"/>
  <c r="HK17" i="17"/>
  <c r="HR31" i="17"/>
  <c r="HR24" i="17"/>
  <c r="HP16" i="10"/>
  <c r="HP15" i="17" s="1"/>
  <c r="HR13" i="10"/>
  <c r="HS7" i="10"/>
  <c r="HQ16" i="10" l="1"/>
  <c r="HQ15" i="17" s="1"/>
  <c r="HQ19" i="19" s="1"/>
  <c r="HR37" i="17"/>
  <c r="HR21" i="19" s="1"/>
  <c r="HM34" i="19"/>
  <c r="HM28" i="20"/>
  <c r="HM7" i="20"/>
  <c r="HS29" i="17"/>
  <c r="HS37" i="17" s="1"/>
  <c r="HS21" i="19" s="1"/>
  <c r="HS18" i="10"/>
  <c r="HS13" i="10"/>
  <c r="HT7" i="10"/>
  <c r="HS26" i="11"/>
  <c r="HS43" i="11" s="1"/>
  <c r="HS30" i="11"/>
  <c r="HS47" i="11" s="1"/>
  <c r="HS34" i="11"/>
  <c r="HS51" i="11" s="1"/>
  <c r="HS9" i="17" s="1"/>
  <c r="HS27" i="11"/>
  <c r="HS44" i="11" s="1"/>
  <c r="HS31" i="11"/>
  <c r="HS48" i="11" s="1"/>
  <c r="HS35" i="11"/>
  <c r="HS52" i="11" s="1"/>
  <c r="HS10" i="17" s="1"/>
  <c r="HS24" i="11"/>
  <c r="HS41" i="11" s="1"/>
  <c r="HS28" i="11"/>
  <c r="HS45" i="11" s="1"/>
  <c r="HS32" i="11"/>
  <c r="HS49" i="11" s="1"/>
  <c r="HS36" i="11"/>
  <c r="HS53" i="11" s="1"/>
  <c r="HS11" i="17" s="1"/>
  <c r="HS25" i="11"/>
  <c r="HS42" i="11" s="1"/>
  <c r="HS29" i="11"/>
  <c r="HS46" i="11" s="1"/>
  <c r="HS33" i="11"/>
  <c r="HS50" i="11" s="1"/>
  <c r="HS8" i="17" s="1"/>
  <c r="HS37" i="11"/>
  <c r="HS54" i="11" s="1"/>
  <c r="HS12" i="17" s="1"/>
  <c r="HT20" i="11"/>
  <c r="A234" i="37"/>
  <c r="B235" i="37"/>
  <c r="HP16" i="17"/>
  <c r="HP19" i="19"/>
  <c r="HR40" i="11"/>
  <c r="HR7" i="17" s="1"/>
  <c r="HR13" i="17" s="1"/>
  <c r="HR55" i="11"/>
  <c r="HR14" i="10" s="1"/>
  <c r="HQ9" i="19"/>
  <c r="HQ9" i="20" s="1"/>
  <c r="HQ16" i="17"/>
  <c r="HK28" i="20"/>
  <c r="HK34" i="19"/>
  <c r="HK7" i="20"/>
  <c r="HT31" i="10"/>
  <c r="HT30" i="17" s="1"/>
  <c r="HT34" i="10"/>
  <c r="HT33" i="17" s="1"/>
  <c r="HT29" i="10"/>
  <c r="HT28" i="17" s="1"/>
  <c r="HT21" i="10"/>
  <c r="HT20" i="17" s="1"/>
  <c r="HT24" i="10"/>
  <c r="HT23" i="17" s="1"/>
  <c r="HT35" i="10"/>
  <c r="HT34" i="17" s="1"/>
  <c r="HT27" i="10"/>
  <c r="HT26" i="17" s="1"/>
  <c r="HT30" i="10"/>
  <c r="HT29" i="17" s="1"/>
  <c r="HU9" i="10"/>
  <c r="HT22" i="10"/>
  <c r="HT21" i="17" s="1"/>
  <c r="HT25" i="10"/>
  <c r="HT24" i="17" s="1"/>
  <c r="HT36" i="10"/>
  <c r="HT35" i="17" s="1"/>
  <c r="HT20" i="10"/>
  <c r="HT33" i="10"/>
  <c r="HT32" i="17" s="1"/>
  <c r="HT28" i="10"/>
  <c r="HT27" i="17" s="1"/>
  <c r="HT32" i="10"/>
  <c r="HT31" i="17" s="1"/>
  <c r="HT23" i="10"/>
  <c r="HT22" i="17" s="1"/>
  <c r="HT24" i="11" l="1"/>
  <c r="HT41" i="11" s="1"/>
  <c r="HT28" i="11"/>
  <c r="HT45" i="11" s="1"/>
  <c r="HT32" i="11"/>
  <c r="HT49" i="11" s="1"/>
  <c r="HT36" i="11"/>
  <c r="HT53" i="11" s="1"/>
  <c r="HT11" i="17" s="1"/>
  <c r="HT25" i="11"/>
  <c r="HT42" i="11" s="1"/>
  <c r="HT29" i="11"/>
  <c r="HT46" i="11" s="1"/>
  <c r="HT33" i="11"/>
  <c r="HT50" i="11" s="1"/>
  <c r="HT8" i="17" s="1"/>
  <c r="HT37" i="11"/>
  <c r="HT54" i="11" s="1"/>
  <c r="HT12" i="17" s="1"/>
  <c r="HT26" i="11"/>
  <c r="HT43" i="11" s="1"/>
  <c r="HT30" i="11"/>
  <c r="HT47" i="11" s="1"/>
  <c r="HT34" i="11"/>
  <c r="HT51" i="11" s="1"/>
  <c r="HT9" i="17" s="1"/>
  <c r="HT27" i="11"/>
  <c r="HT44" i="11" s="1"/>
  <c r="HT31" i="11"/>
  <c r="HT48" i="11" s="1"/>
  <c r="HT35" i="11"/>
  <c r="HT52" i="11" s="1"/>
  <c r="HT10" i="17" s="1"/>
  <c r="HU20" i="11"/>
  <c r="HS55" i="11"/>
  <c r="HS14" i="10" s="1"/>
  <c r="HS15" i="10" s="1"/>
  <c r="HS16" i="10" s="1"/>
  <c r="HS15" i="17" s="1"/>
  <c r="HS40" i="11"/>
  <c r="HS7" i="17" s="1"/>
  <c r="HS13" i="17" s="1"/>
  <c r="HR15" i="10"/>
  <c r="HP39" i="17"/>
  <c r="HP42" i="17" s="1"/>
  <c r="HP43" i="17" s="1"/>
  <c r="HP44" i="17" s="1"/>
  <c r="HP17" i="17"/>
  <c r="HR9" i="19"/>
  <c r="HR9" i="20" s="1"/>
  <c r="HQ17" i="17"/>
  <c r="HQ39" i="17"/>
  <c r="HQ42" i="17" s="1"/>
  <c r="HT13" i="10"/>
  <c r="HU7" i="10"/>
  <c r="HT37" i="17"/>
  <c r="HT21" i="19" s="1"/>
  <c r="HT18" i="10"/>
  <c r="HU31" i="10"/>
  <c r="HU30" i="17" s="1"/>
  <c r="HU34" i="10"/>
  <c r="HU33" i="17" s="1"/>
  <c r="HV9" i="10"/>
  <c r="HU29" i="10"/>
  <c r="HU28" i="17" s="1"/>
  <c r="HU21" i="10"/>
  <c r="HU20" i="17" s="1"/>
  <c r="HU24" i="10"/>
  <c r="HU23" i="17" s="1"/>
  <c r="HU35" i="10"/>
  <c r="HU34" i="17" s="1"/>
  <c r="HU20" i="10"/>
  <c r="HU27" i="10"/>
  <c r="HU26" i="17" s="1"/>
  <c r="HU30" i="10"/>
  <c r="HU29" i="17" s="1"/>
  <c r="HU22" i="10"/>
  <c r="HU21" i="17" s="1"/>
  <c r="HU25" i="10"/>
  <c r="HU24" i="17" s="1"/>
  <c r="HU36" i="10"/>
  <c r="HU35" i="17" s="1"/>
  <c r="HU28" i="10"/>
  <c r="HU27" i="17" s="1"/>
  <c r="HU33" i="10"/>
  <c r="HU32" i="17" s="1"/>
  <c r="HU32" i="10"/>
  <c r="HU31" i="17" s="1"/>
  <c r="HU23" i="10"/>
  <c r="HU22" i="17" s="1"/>
  <c r="A235" i="37"/>
  <c r="B236" i="37"/>
  <c r="HS9" i="19" l="1"/>
  <c r="HS9" i="20" s="1"/>
  <c r="HU13" i="10"/>
  <c r="HV7" i="10"/>
  <c r="HS16" i="17"/>
  <c r="HS39" i="17" s="1"/>
  <c r="HS42" i="17" s="1"/>
  <c r="HS43" i="17" s="1"/>
  <c r="HS44" i="17" s="1"/>
  <c r="HS19" i="19"/>
  <c r="A236" i="37"/>
  <c r="B237" i="37"/>
  <c r="HV31" i="10"/>
  <c r="HV34" i="10"/>
  <c r="HV27" i="10"/>
  <c r="HV30" i="10"/>
  <c r="HW9" i="10"/>
  <c r="HV20" i="10"/>
  <c r="HV22" i="10"/>
  <c r="HV25" i="10"/>
  <c r="HV35" i="10"/>
  <c r="HV29" i="10"/>
  <c r="HV24" i="10"/>
  <c r="HV36" i="10"/>
  <c r="HV21" i="10"/>
  <c r="HV28" i="10"/>
  <c r="HV33" i="10"/>
  <c r="HV32" i="10"/>
  <c r="HV23" i="10"/>
  <c r="HT40" i="11"/>
  <c r="HT7" i="17" s="1"/>
  <c r="HT13" i="17" s="1"/>
  <c r="HT55" i="11"/>
  <c r="HT14" i="10" s="1"/>
  <c r="HT15" i="10" s="1"/>
  <c r="HU37" i="17"/>
  <c r="HU21" i="19" s="1"/>
  <c r="HR16" i="10"/>
  <c r="HR15" i="17" s="1"/>
  <c r="HU26" i="11"/>
  <c r="HU43" i="11" s="1"/>
  <c r="HU33" i="11"/>
  <c r="HU50" i="11" s="1"/>
  <c r="HU8" i="17" s="1"/>
  <c r="HU37" i="11"/>
  <c r="HU54" i="11" s="1"/>
  <c r="HU12" i="17" s="1"/>
  <c r="HU27" i="11"/>
  <c r="HU44" i="11" s="1"/>
  <c r="HU30" i="11"/>
  <c r="HU47" i="11" s="1"/>
  <c r="HU34" i="11"/>
  <c r="HU51" i="11" s="1"/>
  <c r="HU9" i="17" s="1"/>
  <c r="HU24" i="11"/>
  <c r="HU41" i="11" s="1"/>
  <c r="HU28" i="11"/>
  <c r="HU45" i="11" s="1"/>
  <c r="HU31" i="11"/>
  <c r="HU48" i="11" s="1"/>
  <c r="HU35" i="11"/>
  <c r="HU52" i="11" s="1"/>
  <c r="HU10" i="17" s="1"/>
  <c r="HU29" i="11"/>
  <c r="HU46" i="11" s="1"/>
  <c r="HU32" i="11"/>
  <c r="HU49" i="11" s="1"/>
  <c r="HU36" i="11"/>
  <c r="HU53" i="11" s="1"/>
  <c r="HU11" i="17" s="1"/>
  <c r="HU25" i="11"/>
  <c r="HU42" i="11" s="1"/>
  <c r="HV20" i="11"/>
  <c r="HP34" i="19"/>
  <c r="HP28" i="20"/>
  <c r="HP7" i="20"/>
  <c r="HU18" i="10"/>
  <c r="HQ43" i="17"/>
  <c r="HQ44" i="17" s="1"/>
  <c r="HT16" i="10" l="1"/>
  <c r="HT15" i="17" s="1"/>
  <c r="HT19" i="19" s="1"/>
  <c r="HQ34" i="19"/>
  <c r="HQ28" i="20"/>
  <c r="HQ7" i="20"/>
  <c r="HS28" i="20"/>
  <c r="HS7" i="20"/>
  <c r="HS34" i="19"/>
  <c r="HV31" i="17"/>
  <c r="W32" i="32"/>
  <c r="HV35" i="17"/>
  <c r="W36" i="32"/>
  <c r="HV24" i="17"/>
  <c r="W25" i="32"/>
  <c r="HV29" i="17"/>
  <c r="W30" i="32"/>
  <c r="A237" i="37"/>
  <c r="B238" i="37"/>
  <c r="HV13" i="10"/>
  <c r="W13" i="32" s="1"/>
  <c r="T2" i="43" s="1"/>
  <c r="HW7" i="10"/>
  <c r="HV20" i="17"/>
  <c r="W21" i="32"/>
  <c r="T9" i="43" s="1"/>
  <c r="HW31" i="10"/>
  <c r="HW34" i="10"/>
  <c r="HW20" i="10"/>
  <c r="HW29" i="10"/>
  <c r="HW21" i="10"/>
  <c r="HW24" i="10"/>
  <c r="HW36" i="10"/>
  <c r="HX9" i="10"/>
  <c r="HW27" i="10"/>
  <c r="HW30" i="10"/>
  <c r="HW25" i="10"/>
  <c r="HW35" i="10"/>
  <c r="HW22" i="10"/>
  <c r="HW28" i="10"/>
  <c r="HW33" i="10"/>
  <c r="HW32" i="10"/>
  <c r="HW23" i="10"/>
  <c r="HV32" i="17"/>
  <c r="W33" i="32"/>
  <c r="HV23" i="17"/>
  <c r="W24" i="32"/>
  <c r="HV21" i="17"/>
  <c r="W22" i="32"/>
  <c r="HV26" i="17"/>
  <c r="W27" i="32"/>
  <c r="HV22" i="17"/>
  <c r="W23" i="32"/>
  <c r="HV34" i="17"/>
  <c r="W35" i="32"/>
  <c r="HV30" i="17"/>
  <c r="W31" i="32"/>
  <c r="HV27" i="11"/>
  <c r="HV44" i="11" s="1"/>
  <c r="HV31" i="11"/>
  <c r="HV48" i="11" s="1"/>
  <c r="HV35" i="11"/>
  <c r="HV52" i="11" s="1"/>
  <c r="HV10" i="17" s="1"/>
  <c r="HV24" i="11"/>
  <c r="HV41" i="11" s="1"/>
  <c r="HV28" i="11"/>
  <c r="HV45" i="11" s="1"/>
  <c r="HV32" i="11"/>
  <c r="HV49" i="11" s="1"/>
  <c r="HV36" i="11"/>
  <c r="HV53" i="11" s="1"/>
  <c r="HV11" i="17" s="1"/>
  <c r="HV25" i="11"/>
  <c r="HV42" i="11" s="1"/>
  <c r="HV29" i="11"/>
  <c r="HV46" i="11" s="1"/>
  <c r="HV33" i="11"/>
  <c r="HV50" i="11" s="1"/>
  <c r="HV8" i="17" s="1"/>
  <c r="HV37" i="11"/>
  <c r="HV54" i="11" s="1"/>
  <c r="HV12" i="17" s="1"/>
  <c r="HV30" i="11"/>
  <c r="HV47" i="11" s="1"/>
  <c r="HV34" i="11"/>
  <c r="HV51" i="11" s="1"/>
  <c r="HV9" i="17" s="1"/>
  <c r="HV26" i="11"/>
  <c r="HV43" i="11" s="1"/>
  <c r="HW20" i="11"/>
  <c r="HU40" i="11"/>
  <c r="HU7" i="17" s="1"/>
  <c r="HU13" i="17" s="1"/>
  <c r="HU55" i="11"/>
  <c r="HU14" i="10" s="1"/>
  <c r="HU15" i="10" s="1"/>
  <c r="HU16" i="10" s="1"/>
  <c r="HU15" i="17" s="1"/>
  <c r="HR16" i="17"/>
  <c r="HR19" i="19"/>
  <c r="HT9" i="19"/>
  <c r="HT9" i="20" s="1"/>
  <c r="HV27" i="17"/>
  <c r="W28" i="32"/>
  <c r="HV28" i="17"/>
  <c r="W29" i="32"/>
  <c r="HV18" i="10"/>
  <c r="HK38" i="10" s="1"/>
  <c r="W20" i="32"/>
  <c r="HV33" i="17"/>
  <c r="W34" i="32"/>
  <c r="HS17" i="17"/>
  <c r="HT16" i="17" l="1"/>
  <c r="HT39" i="17" s="1"/>
  <c r="HT42" i="17" s="1"/>
  <c r="HT43" i="17" s="1"/>
  <c r="HT44" i="17" s="1"/>
  <c r="HT34" i="19" s="1"/>
  <c r="W38" i="32"/>
  <c r="U15" i="30"/>
  <c r="T10" i="43"/>
  <c r="U29" i="30"/>
  <c r="T24" i="43"/>
  <c r="U17" i="30"/>
  <c r="T12" i="43"/>
  <c r="U13" i="30"/>
  <c r="T8" i="43"/>
  <c r="U27" i="30"/>
  <c r="T22" i="43"/>
  <c r="U16" i="30"/>
  <c r="T11" i="43"/>
  <c r="U26" i="30"/>
  <c r="T21" i="43"/>
  <c r="U23" i="30"/>
  <c r="T18" i="43"/>
  <c r="U20" i="30"/>
  <c r="T15" i="43"/>
  <c r="U24" i="30"/>
  <c r="T19" i="43"/>
  <c r="U21" i="30"/>
  <c r="T16" i="43"/>
  <c r="U28" i="30"/>
  <c r="T23" i="43"/>
  <c r="U25" i="30"/>
  <c r="T20" i="43"/>
  <c r="U22" i="30"/>
  <c r="T17" i="43"/>
  <c r="U18" i="30"/>
  <c r="T13" i="43"/>
  <c r="HU9" i="19"/>
  <c r="HU9" i="20" s="1"/>
  <c r="HW34" i="17"/>
  <c r="U14" i="30"/>
  <c r="HV40" i="11"/>
  <c r="HV7" i="17" s="1"/>
  <c r="HV13" i="17" s="1"/>
  <c r="HV55" i="11"/>
  <c r="HW32" i="17"/>
  <c r="HW24" i="17"/>
  <c r="HW35" i="17"/>
  <c r="HW18" i="10"/>
  <c r="A238" i="37"/>
  <c r="B239" i="37"/>
  <c r="HT7" i="20"/>
  <c r="HT28" i="20"/>
  <c r="HW31" i="17"/>
  <c r="HX31" i="10"/>
  <c r="HX30" i="17" s="1"/>
  <c r="HX34" i="10"/>
  <c r="HX33" i="17" s="1"/>
  <c r="HX27" i="10"/>
  <c r="HX26" i="17" s="1"/>
  <c r="HX30" i="10"/>
  <c r="HX29" i="17" s="1"/>
  <c r="HX22" i="10"/>
  <c r="HX21" i="17" s="1"/>
  <c r="HX25" i="10"/>
  <c r="HX24" i="17" s="1"/>
  <c r="HX35" i="10"/>
  <c r="HX34" i="17" s="1"/>
  <c r="HX29" i="10"/>
  <c r="HX28" i="17" s="1"/>
  <c r="HX24" i="10"/>
  <c r="HX23" i="17" s="1"/>
  <c r="HX36" i="10"/>
  <c r="HX35" i="17" s="1"/>
  <c r="HY9" i="10"/>
  <c r="HX20" i="10"/>
  <c r="HX21" i="10"/>
  <c r="HX20" i="17" s="1"/>
  <c r="HX28" i="10"/>
  <c r="HX27" i="17" s="1"/>
  <c r="HX33" i="10"/>
  <c r="HX32" i="17" s="1"/>
  <c r="HX32" i="10"/>
  <c r="HX31" i="17" s="1"/>
  <c r="HX23" i="10"/>
  <c r="HX22" i="17" s="1"/>
  <c r="U7" i="30"/>
  <c r="HW27" i="11"/>
  <c r="HW31" i="11"/>
  <c r="HW35" i="11"/>
  <c r="HW24" i="11"/>
  <c r="HW25" i="11"/>
  <c r="HW29" i="11"/>
  <c r="HW32" i="11"/>
  <c r="HW36" i="11"/>
  <c r="HW30" i="11"/>
  <c r="HW37" i="11"/>
  <c r="HW26" i="11"/>
  <c r="HW28" i="11"/>
  <c r="V19" i="38"/>
  <c r="HW33" i="11"/>
  <c r="HW34" i="11"/>
  <c r="HX20" i="11"/>
  <c r="HV37" i="17"/>
  <c r="HV21" i="19" s="1"/>
  <c r="HW27" i="17"/>
  <c r="HW29" i="17"/>
  <c r="HW23" i="17"/>
  <c r="HW33" i="17"/>
  <c r="HU16" i="17"/>
  <c r="HU39" i="17" s="1"/>
  <c r="HU42" i="17" s="1"/>
  <c r="HU19" i="19"/>
  <c r="HW28" i="17"/>
  <c r="HT17" i="17"/>
  <c r="HR39" i="17"/>
  <c r="HR42" i="17" s="1"/>
  <c r="HR43" i="17" s="1"/>
  <c r="HR44" i="17" s="1"/>
  <c r="HR17" i="17"/>
  <c r="HW22" i="17"/>
  <c r="HW21" i="17"/>
  <c r="HW26" i="17"/>
  <c r="HW20" i="17"/>
  <c r="HW30" i="17"/>
  <c r="HW13" i="10"/>
  <c r="HX7" i="10"/>
  <c r="U31" i="30" l="1"/>
  <c r="U67" i="30" s="1"/>
  <c r="T9" i="34" s="1"/>
  <c r="T26" i="43"/>
  <c r="HX37" i="17"/>
  <c r="HX21" i="19" s="1"/>
  <c r="HW37" i="17"/>
  <c r="HW21" i="19" s="1"/>
  <c r="V29" i="38"/>
  <c r="V47" i="38" s="1"/>
  <c r="HW47" i="11"/>
  <c r="V24" i="38"/>
  <c r="V42" i="38" s="1"/>
  <c r="HW42" i="11"/>
  <c r="V26" i="38"/>
  <c r="V44" i="38" s="1"/>
  <c r="HW44" i="11"/>
  <c r="HX18" i="10"/>
  <c r="HV14" i="10"/>
  <c r="HK56" i="11"/>
  <c r="W6" i="32" s="1"/>
  <c r="W7" i="32" s="1"/>
  <c r="V32" i="38"/>
  <c r="V50" i="38" s="1"/>
  <c r="HW50" i="11"/>
  <c r="HW8" i="17" s="1"/>
  <c r="V36" i="38"/>
  <c r="V54" i="38" s="1"/>
  <c r="HW54" i="11"/>
  <c r="HW12" i="17" s="1"/>
  <c r="V30" i="38"/>
  <c r="V48" i="38" s="1"/>
  <c r="HW48" i="11"/>
  <c r="HX25" i="11"/>
  <c r="HX42" i="11" s="1"/>
  <c r="HX29" i="11"/>
  <c r="HX46" i="11" s="1"/>
  <c r="HX33" i="11"/>
  <c r="HX50" i="11" s="1"/>
  <c r="HX8" i="17" s="1"/>
  <c r="HX37" i="11"/>
  <c r="HX54" i="11" s="1"/>
  <c r="HX12" i="17" s="1"/>
  <c r="HX26" i="11"/>
  <c r="HX43" i="11" s="1"/>
  <c r="HX30" i="11"/>
  <c r="HX47" i="11" s="1"/>
  <c r="HX34" i="11"/>
  <c r="HX51" i="11" s="1"/>
  <c r="HX9" i="17" s="1"/>
  <c r="HX27" i="11"/>
  <c r="HX44" i="11" s="1"/>
  <c r="HX31" i="11"/>
  <c r="HX48" i="11" s="1"/>
  <c r="HX35" i="11"/>
  <c r="HX52" i="11" s="1"/>
  <c r="HX10" i="17" s="1"/>
  <c r="HX28" i="11"/>
  <c r="HX45" i="11" s="1"/>
  <c r="HX32" i="11"/>
  <c r="HX49" i="11" s="1"/>
  <c r="HX36" i="11"/>
  <c r="HX53" i="11" s="1"/>
  <c r="HX11" i="17" s="1"/>
  <c r="HX24" i="11"/>
  <c r="HX41" i="11" s="1"/>
  <c r="HY20" i="11"/>
  <c r="V35" i="38"/>
  <c r="V53" i="38" s="1"/>
  <c r="HW53" i="11"/>
  <c r="HW11" i="17" s="1"/>
  <c r="HV9" i="19"/>
  <c r="HV9" i="20" s="1"/>
  <c r="HU43" i="17"/>
  <c r="HU44" i="17" s="1"/>
  <c r="V28" i="38"/>
  <c r="V46" i="38" s="1"/>
  <c r="HW46" i="11"/>
  <c r="HX13" i="10"/>
  <c r="HY7" i="10"/>
  <c r="V27" i="38"/>
  <c r="V45" i="38" s="1"/>
  <c r="HW45" i="11"/>
  <c r="V23" i="38"/>
  <c r="V41" i="38" s="1"/>
  <c r="HW41" i="11"/>
  <c r="HY34" i="10"/>
  <c r="HY31" i="10"/>
  <c r="HZ9" i="10"/>
  <c r="HY21" i="10"/>
  <c r="HY20" i="17" s="1"/>
  <c r="HY24" i="10"/>
  <c r="HY27" i="10"/>
  <c r="HY26" i="17" s="1"/>
  <c r="HY30" i="10"/>
  <c r="HY36" i="10"/>
  <c r="HY35" i="17" s="1"/>
  <c r="HY20" i="10"/>
  <c r="HY22" i="10"/>
  <c r="HY21" i="17" s="1"/>
  <c r="HY25" i="10"/>
  <c r="HY24" i="17" s="1"/>
  <c r="HY35" i="10"/>
  <c r="HY34" i="17" s="1"/>
  <c r="HY29" i="10"/>
  <c r="HY33" i="10"/>
  <c r="HY32" i="17" s="1"/>
  <c r="HY28" i="10"/>
  <c r="HY32" i="10"/>
  <c r="HY31" i="17" s="1"/>
  <c r="HY23" i="10"/>
  <c r="A239" i="37"/>
  <c r="B240" i="37"/>
  <c r="HR34" i="19"/>
  <c r="HR7" i="20"/>
  <c r="HR28" i="20"/>
  <c r="V33" i="38"/>
  <c r="V51" i="38" s="1"/>
  <c r="HW51" i="11"/>
  <c r="HW9" i="17" s="1"/>
  <c r="V25" i="38"/>
  <c r="V43" i="38" s="1"/>
  <c r="HW43" i="11"/>
  <c r="V31" i="38"/>
  <c r="V49" i="38" s="1"/>
  <c r="HW49" i="11"/>
  <c r="V34" i="38"/>
  <c r="V52" i="38" s="1"/>
  <c r="HW52" i="11"/>
  <c r="HW10" i="17" s="1"/>
  <c r="HU17" i="17"/>
  <c r="HY28" i="17" l="1"/>
  <c r="HY23" i="17"/>
  <c r="HY33" i="17"/>
  <c r="HW55" i="11"/>
  <c r="HW40" i="11"/>
  <c r="HW7" i="17" s="1"/>
  <c r="HW13" i="17" s="1"/>
  <c r="HY13" i="10"/>
  <c r="HZ7" i="10"/>
  <c r="HU7" i="20"/>
  <c r="HU34" i="19"/>
  <c r="HU28" i="20"/>
  <c r="HY27" i="11"/>
  <c r="HY44" i="11" s="1"/>
  <c r="HY30" i="11"/>
  <c r="HY47" i="11" s="1"/>
  <c r="HY34" i="11"/>
  <c r="HY51" i="11" s="1"/>
  <c r="HY9" i="17" s="1"/>
  <c r="HY24" i="11"/>
  <c r="HY41" i="11" s="1"/>
  <c r="HY28" i="11"/>
  <c r="HY45" i="11" s="1"/>
  <c r="HY31" i="11"/>
  <c r="HY48" i="11" s="1"/>
  <c r="HY35" i="11"/>
  <c r="HY52" i="11" s="1"/>
  <c r="HY10" i="17" s="1"/>
  <c r="HY25" i="11"/>
  <c r="HY42" i="11" s="1"/>
  <c r="HY29" i="11"/>
  <c r="HY46" i="11" s="1"/>
  <c r="HY32" i="11"/>
  <c r="HY49" i="11" s="1"/>
  <c r="HY36" i="11"/>
  <c r="HY53" i="11" s="1"/>
  <c r="HY11" i="17" s="1"/>
  <c r="HY33" i="11"/>
  <c r="HY50" i="11" s="1"/>
  <c r="HY8" i="17" s="1"/>
  <c r="HY37" i="11"/>
  <c r="HY54" i="11" s="1"/>
  <c r="HY12" i="17" s="1"/>
  <c r="HY26" i="11"/>
  <c r="HY43" i="11" s="1"/>
  <c r="HZ20" i="11"/>
  <c r="HY18" i="10"/>
  <c r="A240" i="37"/>
  <c r="B241" i="37"/>
  <c r="HY27" i="17"/>
  <c r="HY29" i="17"/>
  <c r="HZ31" i="10"/>
  <c r="HZ30" i="17" s="1"/>
  <c r="HZ34" i="10"/>
  <c r="HZ33" i="17" s="1"/>
  <c r="HZ21" i="10"/>
  <c r="HZ24" i="10"/>
  <c r="HZ23" i="17" s="1"/>
  <c r="HZ35" i="10"/>
  <c r="HZ34" i="17" s="1"/>
  <c r="IA9" i="10"/>
  <c r="HZ20" i="10"/>
  <c r="HZ27" i="10"/>
  <c r="HZ26" i="17" s="1"/>
  <c r="HZ30" i="10"/>
  <c r="HZ29" i="17" s="1"/>
  <c r="HZ22" i="10"/>
  <c r="HZ25" i="10"/>
  <c r="HZ36" i="10"/>
  <c r="HZ29" i="10"/>
  <c r="HZ28" i="17" s="1"/>
  <c r="HZ28" i="10"/>
  <c r="HZ27" i="17" s="1"/>
  <c r="HZ33" i="10"/>
  <c r="HZ32" i="10"/>
  <c r="HZ31" i="17" s="1"/>
  <c r="HZ23" i="10"/>
  <c r="HZ22" i="17" s="1"/>
  <c r="V55" i="38"/>
  <c r="HX40" i="11"/>
  <c r="HX7" i="17" s="1"/>
  <c r="HX13" i="17" s="1"/>
  <c r="HX55" i="11"/>
  <c r="HX14" i="10" s="1"/>
  <c r="HX15" i="10" s="1"/>
  <c r="U5" i="30"/>
  <c r="W9" i="32"/>
  <c r="U6" i="30" s="1"/>
  <c r="HY22" i="17"/>
  <c r="HY30" i="17"/>
  <c r="HV15" i="10"/>
  <c r="W14" i="32"/>
  <c r="T3" i="43" s="1"/>
  <c r="HY37" i="17" l="1"/>
  <c r="HY21" i="19" s="1"/>
  <c r="HW9" i="19"/>
  <c r="HW9" i="20" s="1"/>
  <c r="U8" i="30"/>
  <c r="HX16" i="10"/>
  <c r="HX15" i="17" s="1"/>
  <c r="HX19" i="19" s="1"/>
  <c r="HZ24" i="17"/>
  <c r="HZ18" i="10"/>
  <c r="HZ20" i="17"/>
  <c r="HZ13" i="10"/>
  <c r="IA7" i="10"/>
  <c r="HX9" i="19"/>
  <c r="HZ35" i="17"/>
  <c r="A241" i="37"/>
  <c r="B242" i="37"/>
  <c r="HW14" i="10"/>
  <c r="U64" i="30"/>
  <c r="HZ32" i="17"/>
  <c r="HV16" i="10"/>
  <c r="HV15" i="17" s="1"/>
  <c r="W15" i="32"/>
  <c r="U43" i="30"/>
  <c r="U41" i="30"/>
  <c r="U50" i="30"/>
  <c r="U56" i="30"/>
  <c r="U53" i="30"/>
  <c r="U51" i="30"/>
  <c r="U44" i="30"/>
  <c r="U60" i="30"/>
  <c r="U42" i="30"/>
  <c r="U40" i="30"/>
  <c r="U45" i="30"/>
  <c r="U54" i="30"/>
  <c r="U59" i="30"/>
  <c r="U49" i="30"/>
  <c r="U58" i="30"/>
  <c r="U55" i="30"/>
  <c r="U66" i="30"/>
  <c r="T8" i="34" s="1"/>
  <c r="U52" i="30"/>
  <c r="U57" i="30"/>
  <c r="U47" i="30"/>
  <c r="U48" i="30"/>
  <c r="U46" i="30"/>
  <c r="U3" i="30"/>
  <c r="HZ21" i="17"/>
  <c r="IA31" i="10"/>
  <c r="IA34" i="10"/>
  <c r="IA33" i="17" s="1"/>
  <c r="IA20" i="10"/>
  <c r="IA22" i="10"/>
  <c r="IA21" i="17" s="1"/>
  <c r="IA25" i="10"/>
  <c r="IA24" i="17" s="1"/>
  <c r="IA35" i="10"/>
  <c r="IA29" i="10"/>
  <c r="IA28" i="17" s="1"/>
  <c r="IB9" i="10"/>
  <c r="IA21" i="10"/>
  <c r="IA20" i="17" s="1"/>
  <c r="IA24" i="10"/>
  <c r="IA23" i="17" s="1"/>
  <c r="IA36" i="10"/>
  <c r="IA35" i="17" s="1"/>
  <c r="IA27" i="10"/>
  <c r="IA30" i="10"/>
  <c r="IA33" i="10"/>
  <c r="IA32" i="17" s="1"/>
  <c r="IA28" i="10"/>
  <c r="IA27" i="17" s="1"/>
  <c r="IA32" i="10"/>
  <c r="IA23" i="10"/>
  <c r="IA22" i="17" s="1"/>
  <c r="HY40" i="11"/>
  <c r="HY7" i="17" s="1"/>
  <c r="HY13" i="17" s="1"/>
  <c r="HY55" i="11"/>
  <c r="HY14" i="10" s="1"/>
  <c r="HY15" i="10" s="1"/>
  <c r="HY16" i="10" s="1"/>
  <c r="HY15" i="17" s="1"/>
  <c r="HZ24" i="11"/>
  <c r="HZ41" i="11" s="1"/>
  <c r="HZ28" i="11"/>
  <c r="HZ45" i="11" s="1"/>
  <c r="HZ32" i="11"/>
  <c r="HZ49" i="11" s="1"/>
  <c r="HZ36" i="11"/>
  <c r="HZ53" i="11" s="1"/>
  <c r="HZ11" i="17" s="1"/>
  <c r="HZ25" i="11"/>
  <c r="HZ42" i="11" s="1"/>
  <c r="HZ29" i="11"/>
  <c r="HZ46" i="11" s="1"/>
  <c r="HZ33" i="11"/>
  <c r="HZ50" i="11" s="1"/>
  <c r="HZ8" i="17" s="1"/>
  <c r="HZ37" i="11"/>
  <c r="HZ54" i="11" s="1"/>
  <c r="HZ12" i="17" s="1"/>
  <c r="HZ26" i="11"/>
  <c r="HZ43" i="11" s="1"/>
  <c r="HZ30" i="11"/>
  <c r="HZ47" i="11" s="1"/>
  <c r="HZ34" i="11"/>
  <c r="HZ51" i="11" s="1"/>
  <c r="HZ9" i="17" s="1"/>
  <c r="HZ31" i="11"/>
  <c r="HZ48" i="11" s="1"/>
  <c r="HZ35" i="11"/>
  <c r="HZ52" i="11" s="1"/>
  <c r="HZ10" i="17" s="1"/>
  <c r="HZ27" i="11"/>
  <c r="HZ44" i="11" s="1"/>
  <c r="IA20" i="11"/>
  <c r="U9" i="30" l="1"/>
  <c r="U10" i="30" s="1"/>
  <c r="U39" i="30" s="1"/>
  <c r="T4" i="43"/>
  <c r="HY19" i="19"/>
  <c r="HZ37" i="17"/>
  <c r="HZ21" i="19" s="1"/>
  <c r="HX16" i="17"/>
  <c r="HX39" i="17" s="1"/>
  <c r="HX42" i="17" s="1"/>
  <c r="HX43" i="17" s="1"/>
  <c r="HX44" i="17" s="1"/>
  <c r="HY9" i="19"/>
  <c r="HY9" i="20" s="1"/>
  <c r="HY16" i="17"/>
  <c r="HY39" i="17" s="1"/>
  <c r="HY42" i="17" s="1"/>
  <c r="HY43" i="17" s="1"/>
  <c r="HY44" i="17" s="1"/>
  <c r="IB31" i="10"/>
  <c r="IB30" i="17" s="1"/>
  <c r="IB34" i="10"/>
  <c r="IB21" i="10"/>
  <c r="IB20" i="17" s="1"/>
  <c r="IB24" i="10"/>
  <c r="IB23" i="17" s="1"/>
  <c r="IB36" i="10"/>
  <c r="IB35" i="17" s="1"/>
  <c r="IB27" i="10"/>
  <c r="IB26" i="17" s="1"/>
  <c r="IB30" i="10"/>
  <c r="IB29" i="17" s="1"/>
  <c r="IB22" i="10"/>
  <c r="IB21" i="17" s="1"/>
  <c r="IB25" i="10"/>
  <c r="IB35" i="10"/>
  <c r="IB34" i="17" s="1"/>
  <c r="IB20" i="10"/>
  <c r="IC9" i="10"/>
  <c r="IB29" i="10"/>
  <c r="IB28" i="10"/>
  <c r="IB27" i="17" s="1"/>
  <c r="IB33" i="10"/>
  <c r="IB32" i="17" s="1"/>
  <c r="IB32" i="10"/>
  <c r="IB31" i="17" s="1"/>
  <c r="IB23" i="10"/>
  <c r="IA18" i="10"/>
  <c r="A242" i="37"/>
  <c r="B243" i="37"/>
  <c r="HX9" i="20"/>
  <c r="IA26" i="11"/>
  <c r="IA43" i="11" s="1"/>
  <c r="IA30" i="11"/>
  <c r="IA47" i="11" s="1"/>
  <c r="IA34" i="11"/>
  <c r="IA51" i="11" s="1"/>
  <c r="IA9" i="17" s="1"/>
  <c r="IA27" i="11"/>
  <c r="IA44" i="11" s="1"/>
  <c r="IA31" i="11"/>
  <c r="IA48" i="11" s="1"/>
  <c r="IA35" i="11"/>
  <c r="IA52" i="11" s="1"/>
  <c r="IA10" i="17" s="1"/>
  <c r="IA24" i="11"/>
  <c r="IA41" i="11" s="1"/>
  <c r="IA28" i="11"/>
  <c r="IA45" i="11" s="1"/>
  <c r="IA32" i="11"/>
  <c r="IA49" i="11" s="1"/>
  <c r="IA36" i="11"/>
  <c r="IA53" i="11" s="1"/>
  <c r="IA11" i="17" s="1"/>
  <c r="IA33" i="11"/>
  <c r="IA50" i="11" s="1"/>
  <c r="IA8" i="17" s="1"/>
  <c r="IA37" i="11"/>
  <c r="IA54" i="11" s="1"/>
  <c r="IA12" i="17" s="1"/>
  <c r="IA25" i="11"/>
  <c r="IA42" i="11" s="1"/>
  <c r="IA29" i="11"/>
  <c r="IA46" i="11" s="1"/>
  <c r="IB20" i="11"/>
  <c r="IA31" i="17"/>
  <c r="IA26" i="17"/>
  <c r="HW15" i="10"/>
  <c r="HZ40" i="11"/>
  <c r="HZ7" i="17" s="1"/>
  <c r="HZ13" i="17" s="1"/>
  <c r="HZ55" i="11"/>
  <c r="HZ14" i="10" s="1"/>
  <c r="HZ15" i="10" s="1"/>
  <c r="IA34" i="17"/>
  <c r="HV19" i="19"/>
  <c r="HV16" i="17"/>
  <c r="T6" i="34"/>
  <c r="U68" i="30"/>
  <c r="IA29" i="17"/>
  <c r="IA30" i="17"/>
  <c r="IA13" i="10"/>
  <c r="IB7" i="10"/>
  <c r="W16" i="32"/>
  <c r="W17" i="32" l="1"/>
  <c r="T5" i="43"/>
  <c r="IA37" i="17"/>
  <c r="IA21" i="19" s="1"/>
  <c r="HX17" i="17"/>
  <c r="HY17" i="17"/>
  <c r="U32" i="30"/>
  <c r="IA40" i="11"/>
  <c r="IA7" i="17" s="1"/>
  <c r="IA13" i="17" s="1"/>
  <c r="IA55" i="11"/>
  <c r="IA14" i="10" s="1"/>
  <c r="IA15" i="10" s="1"/>
  <c r="IA16" i="10" s="1"/>
  <c r="IA15" i="17" s="1"/>
  <c r="HX28" i="20"/>
  <c r="HX7" i="20"/>
  <c r="HX34" i="19"/>
  <c r="IB18" i="10"/>
  <c r="IC34" i="10"/>
  <c r="IC33" i="17" s="1"/>
  <c r="IC31" i="10"/>
  <c r="ID9" i="10"/>
  <c r="IC29" i="10"/>
  <c r="IC28" i="17" s="1"/>
  <c r="IC35" i="10"/>
  <c r="IC21" i="10"/>
  <c r="IC24" i="10"/>
  <c r="IC23" i="17" s="1"/>
  <c r="IC20" i="10"/>
  <c r="IC27" i="10"/>
  <c r="IC30" i="10"/>
  <c r="IC36" i="10"/>
  <c r="IC25" i="10"/>
  <c r="IC24" i="17" s="1"/>
  <c r="IC22" i="10"/>
  <c r="IC21" i="17" s="1"/>
  <c r="IC28" i="10"/>
  <c r="IC33" i="10"/>
  <c r="IC32" i="10"/>
  <c r="IC31" i="17" s="1"/>
  <c r="IC23" i="10"/>
  <c r="IC22" i="17" s="1"/>
  <c r="HV39" i="17"/>
  <c r="HV42" i="17" s="1"/>
  <c r="HV43" i="17" s="1"/>
  <c r="HV44" i="17" s="1"/>
  <c r="HV17" i="17"/>
  <c r="HW16" i="10"/>
  <c r="HW15" i="17" s="1"/>
  <c r="A243" i="37"/>
  <c r="B244" i="37"/>
  <c r="HZ16" i="10"/>
  <c r="HZ15" i="17" s="1"/>
  <c r="HZ19" i="19" s="1"/>
  <c r="IB33" i="17"/>
  <c r="HZ9" i="19"/>
  <c r="HZ9" i="20" s="1"/>
  <c r="IB24" i="11"/>
  <c r="IB41" i="11" s="1"/>
  <c r="IB28" i="11"/>
  <c r="IB45" i="11" s="1"/>
  <c r="IB31" i="11"/>
  <c r="IB48" i="11" s="1"/>
  <c r="IB35" i="11"/>
  <c r="IB52" i="11" s="1"/>
  <c r="IB10" i="17" s="1"/>
  <c r="IB25" i="11"/>
  <c r="IB42" i="11" s="1"/>
  <c r="IB29" i="11"/>
  <c r="IB46" i="11" s="1"/>
  <c r="IB32" i="11"/>
  <c r="IB49" i="11" s="1"/>
  <c r="IB36" i="11"/>
  <c r="IB53" i="11" s="1"/>
  <c r="IB11" i="17" s="1"/>
  <c r="IB26" i="11"/>
  <c r="IB43" i="11" s="1"/>
  <c r="IB33" i="11"/>
  <c r="IB50" i="11" s="1"/>
  <c r="IB8" i="17" s="1"/>
  <c r="IB37" i="11"/>
  <c r="IB54" i="11" s="1"/>
  <c r="IB12" i="17" s="1"/>
  <c r="IB34" i="11"/>
  <c r="IB51" i="11" s="1"/>
  <c r="IB9" i="17" s="1"/>
  <c r="IB27" i="11"/>
  <c r="IB44" i="11" s="1"/>
  <c r="IB30" i="11"/>
  <c r="IB47" i="11" s="1"/>
  <c r="IC20" i="11"/>
  <c r="IB13" i="10"/>
  <c r="IC7" i="10"/>
  <c r="U75" i="30"/>
  <c r="U81" i="30"/>
  <c r="F23" i="35" s="1"/>
  <c r="IB22" i="17"/>
  <c r="IB28" i="17"/>
  <c r="IB24" i="17"/>
  <c r="HY34" i="19"/>
  <c r="HY28" i="20"/>
  <c r="HY7" i="20"/>
  <c r="IA19" i="19" l="1"/>
  <c r="HZ16" i="17"/>
  <c r="HZ39" i="17" s="1"/>
  <c r="HZ42" i="17" s="1"/>
  <c r="HZ43" i="17" s="1"/>
  <c r="HZ44" i="17" s="1"/>
  <c r="HZ28" i="20" s="1"/>
  <c r="HV7" i="20"/>
  <c r="HV28" i="20"/>
  <c r="HV34" i="19"/>
  <c r="IC29" i="17"/>
  <c r="IC30" i="17"/>
  <c r="IC13" i="10"/>
  <c r="ID7" i="10"/>
  <c r="IB40" i="11"/>
  <c r="IB7" i="17" s="1"/>
  <c r="IB13" i="17" s="1"/>
  <c r="IB55" i="11"/>
  <c r="IC26" i="17"/>
  <c r="IC34" i="17"/>
  <c r="A244" i="37"/>
  <c r="B245" i="37"/>
  <c r="IC27" i="17"/>
  <c r="IC20" i="17"/>
  <c r="IA9" i="19"/>
  <c r="IA9" i="20" s="1"/>
  <c r="IA16" i="17"/>
  <c r="IA39" i="17" s="1"/>
  <c r="IA42" i="17" s="1"/>
  <c r="IA43" i="17" s="1"/>
  <c r="IA44" i="17" s="1"/>
  <c r="HW19" i="19"/>
  <c r="HW16" i="17"/>
  <c r="IC18" i="10"/>
  <c r="IB37" i="17"/>
  <c r="IB21" i="19" s="1"/>
  <c r="IC25" i="11"/>
  <c r="IC42" i="11" s="1"/>
  <c r="IC29" i="11"/>
  <c r="IC46" i="11" s="1"/>
  <c r="IC32" i="11"/>
  <c r="IC49" i="11" s="1"/>
  <c r="IC36" i="11"/>
  <c r="IC53" i="11" s="1"/>
  <c r="IC11" i="17" s="1"/>
  <c r="IC26" i="11"/>
  <c r="IC43" i="11" s="1"/>
  <c r="IC33" i="11"/>
  <c r="IC50" i="11" s="1"/>
  <c r="IC8" i="17" s="1"/>
  <c r="IC37" i="11"/>
  <c r="IC54" i="11" s="1"/>
  <c r="IC12" i="17" s="1"/>
  <c r="IC27" i="11"/>
  <c r="IC44" i="11" s="1"/>
  <c r="IC30" i="11"/>
  <c r="IC47" i="11" s="1"/>
  <c r="IC34" i="11"/>
  <c r="IC51" i="11" s="1"/>
  <c r="IC9" i="17" s="1"/>
  <c r="IC35" i="11"/>
  <c r="IC52" i="11" s="1"/>
  <c r="IC10" i="17" s="1"/>
  <c r="IC24" i="11"/>
  <c r="IC41" i="11" s="1"/>
  <c r="IC28" i="11"/>
  <c r="IC45" i="11" s="1"/>
  <c r="IC31" i="11"/>
  <c r="IC48" i="11" s="1"/>
  <c r="ID20" i="11"/>
  <c r="IC32" i="17"/>
  <c r="IC35" i="17"/>
  <c r="ID31" i="10"/>
  <c r="ID30" i="17" s="1"/>
  <c r="ID34" i="10"/>
  <c r="ID22" i="10"/>
  <c r="ID21" i="17" s="1"/>
  <c r="ID25" i="10"/>
  <c r="IE9" i="10"/>
  <c r="ID20" i="10"/>
  <c r="ID29" i="10"/>
  <c r="ID35" i="10"/>
  <c r="ID34" i="17" s="1"/>
  <c r="ID21" i="10"/>
  <c r="ID20" i="17" s="1"/>
  <c r="ID24" i="10"/>
  <c r="ID23" i="17" s="1"/>
  <c r="ID28" i="10"/>
  <c r="ID27" i="17" s="1"/>
  <c r="ID27" i="10"/>
  <c r="ID26" i="17" s="1"/>
  <c r="ID30" i="10"/>
  <c r="ID29" i="17" s="1"/>
  <c r="ID36" i="10"/>
  <c r="ID35" i="17" s="1"/>
  <c r="ID33" i="10"/>
  <c r="ID32" i="17" s="1"/>
  <c r="ID32" i="10"/>
  <c r="ID31" i="17" s="1"/>
  <c r="ID23" i="10"/>
  <c r="IC37" i="17" l="1"/>
  <c r="IC21" i="19" s="1"/>
  <c r="HZ34" i="19"/>
  <c r="HZ7" i="20"/>
  <c r="HZ17" i="17"/>
  <c r="IA17" i="17"/>
  <c r="ID24" i="17"/>
  <c r="HW39" i="17"/>
  <c r="HW42" i="17" s="1"/>
  <c r="HW17" i="17"/>
  <c r="IA34" i="19"/>
  <c r="IA7" i="20"/>
  <c r="IA28" i="20"/>
  <c r="ID13" i="10"/>
  <c r="IE7" i="10"/>
  <c r="ID28" i="17"/>
  <c r="IB14" i="10"/>
  <c r="ID22" i="17"/>
  <c r="IE31" i="10"/>
  <c r="IE30" i="17" s="1"/>
  <c r="IE34" i="10"/>
  <c r="IE33" i="17" s="1"/>
  <c r="IE20" i="10"/>
  <c r="IE21" i="10"/>
  <c r="IE20" i="17" s="1"/>
  <c r="IE24" i="10"/>
  <c r="IE23" i="17" s="1"/>
  <c r="IE36" i="10"/>
  <c r="IE35" i="17" s="1"/>
  <c r="IE27" i="10"/>
  <c r="IE26" i="17" s="1"/>
  <c r="IE30" i="10"/>
  <c r="IE29" i="17" s="1"/>
  <c r="IF9" i="10"/>
  <c r="IE22" i="10"/>
  <c r="IE21" i="17" s="1"/>
  <c r="IE25" i="10"/>
  <c r="IE24" i="17" s="1"/>
  <c r="IE35" i="10"/>
  <c r="IE34" i="17" s="1"/>
  <c r="IE29" i="10"/>
  <c r="IE28" i="17" s="1"/>
  <c r="IE33" i="10"/>
  <c r="IE32" i="17" s="1"/>
  <c r="IE28" i="10"/>
  <c r="IE27" i="17" s="1"/>
  <c r="IE32" i="10"/>
  <c r="IE31" i="17" s="1"/>
  <c r="IE23" i="10"/>
  <c r="IE22" i="17" s="1"/>
  <c r="ID26" i="11"/>
  <c r="ID43" i="11" s="1"/>
  <c r="ID30" i="11"/>
  <c r="ID47" i="11" s="1"/>
  <c r="ID34" i="11"/>
  <c r="ID51" i="11" s="1"/>
  <c r="ID9" i="17" s="1"/>
  <c r="ID27" i="11"/>
  <c r="ID44" i="11" s="1"/>
  <c r="ID31" i="11"/>
  <c r="ID48" i="11" s="1"/>
  <c r="ID35" i="11"/>
  <c r="ID52" i="11" s="1"/>
  <c r="ID10" i="17" s="1"/>
  <c r="ID24" i="11"/>
  <c r="ID41" i="11" s="1"/>
  <c r="ID28" i="11"/>
  <c r="ID45" i="11" s="1"/>
  <c r="ID32" i="11"/>
  <c r="ID49" i="11" s="1"/>
  <c r="ID36" i="11"/>
  <c r="ID53" i="11" s="1"/>
  <c r="ID11" i="17" s="1"/>
  <c r="ID37" i="11"/>
  <c r="ID54" i="11" s="1"/>
  <c r="ID12" i="17" s="1"/>
  <c r="ID25" i="11"/>
  <c r="ID42" i="11" s="1"/>
  <c r="ID29" i="11"/>
  <c r="ID46" i="11" s="1"/>
  <c r="ID33" i="11"/>
  <c r="ID50" i="11" s="1"/>
  <c r="ID8" i="17" s="1"/>
  <c r="IE20" i="11"/>
  <c r="ID18" i="10"/>
  <c r="ID33" i="17"/>
  <c r="IC40" i="11"/>
  <c r="IC7" i="17" s="1"/>
  <c r="IC13" i="17" s="1"/>
  <c r="IC55" i="11"/>
  <c r="IC14" i="10" s="1"/>
  <c r="IC15" i="10" s="1"/>
  <c r="IC16" i="10" s="1"/>
  <c r="IC15" i="17" s="1"/>
  <c r="A245" i="37"/>
  <c r="B246" i="37"/>
  <c r="IB9" i="19"/>
  <c r="IB9" i="20" s="1"/>
  <c r="ID37" i="17" l="1"/>
  <c r="ID21" i="19" s="1"/>
  <c r="IC19" i="19"/>
  <c r="IC9" i="19"/>
  <c r="IC9" i="20" s="1"/>
  <c r="IC16" i="17"/>
  <c r="IC39" i="17" s="1"/>
  <c r="IC42" i="17" s="1"/>
  <c r="IC43" i="17" s="1"/>
  <c r="IC44" i="17" s="1"/>
  <c r="HW43" i="17"/>
  <c r="HW44" i="17" s="1"/>
  <c r="A246" i="37"/>
  <c r="B247" i="37"/>
  <c r="IE18" i="10"/>
  <c r="IE37" i="17"/>
  <c r="IE21" i="19" s="1"/>
  <c r="IF31" i="10"/>
  <c r="IF30" i="17" s="1"/>
  <c r="IF34" i="10"/>
  <c r="IF33" i="17" s="1"/>
  <c r="IF22" i="10"/>
  <c r="IF21" i="17" s="1"/>
  <c r="IF25" i="10"/>
  <c r="IF24" i="17" s="1"/>
  <c r="IF35" i="10"/>
  <c r="IF34" i="17" s="1"/>
  <c r="IF29" i="10"/>
  <c r="IF28" i="17" s="1"/>
  <c r="IF21" i="10"/>
  <c r="IF20" i="17" s="1"/>
  <c r="IF24" i="10"/>
  <c r="IF23" i="17" s="1"/>
  <c r="IF36" i="10"/>
  <c r="IF35" i="17" s="1"/>
  <c r="IF20" i="10"/>
  <c r="IF27" i="10"/>
  <c r="IF26" i="17" s="1"/>
  <c r="IF30" i="10"/>
  <c r="IF29" i="17" s="1"/>
  <c r="IG9" i="10"/>
  <c r="IF33" i="10"/>
  <c r="IF32" i="17" s="1"/>
  <c r="IF28" i="10"/>
  <c r="IF27" i="17" s="1"/>
  <c r="IF32" i="10"/>
  <c r="IF31" i="17" s="1"/>
  <c r="IF23" i="10"/>
  <c r="IF22" i="17" s="1"/>
  <c r="IE24" i="11"/>
  <c r="IE41" i="11" s="1"/>
  <c r="IE28" i="11"/>
  <c r="IE45" i="11" s="1"/>
  <c r="IE32" i="11"/>
  <c r="IE49" i="11" s="1"/>
  <c r="IE36" i="11"/>
  <c r="IE53" i="11" s="1"/>
  <c r="IE11" i="17" s="1"/>
  <c r="IE25" i="11"/>
  <c r="IE42" i="11" s="1"/>
  <c r="IE29" i="11"/>
  <c r="IE46" i="11" s="1"/>
  <c r="IE33" i="11"/>
  <c r="IE50" i="11" s="1"/>
  <c r="IE8" i="17" s="1"/>
  <c r="IE37" i="11"/>
  <c r="IE54" i="11" s="1"/>
  <c r="IE12" i="17" s="1"/>
  <c r="IE26" i="11"/>
  <c r="IE43" i="11" s="1"/>
  <c r="IE30" i="11"/>
  <c r="IE47" i="11" s="1"/>
  <c r="IE34" i="11"/>
  <c r="IE51" i="11" s="1"/>
  <c r="IE9" i="17" s="1"/>
  <c r="IE27" i="11"/>
  <c r="IE44" i="11" s="1"/>
  <c r="IE31" i="11"/>
  <c r="IE48" i="11" s="1"/>
  <c r="IE35" i="11"/>
  <c r="IE52" i="11" s="1"/>
  <c r="IE10" i="17" s="1"/>
  <c r="IF20" i="11"/>
  <c r="ID40" i="11"/>
  <c r="ID7" i="17" s="1"/>
  <c r="ID13" i="17" s="1"/>
  <c r="ID55" i="11"/>
  <c r="ID14" i="10" s="1"/>
  <c r="ID15" i="10" s="1"/>
  <c r="ID16" i="10" s="1"/>
  <c r="ID15" i="17" s="1"/>
  <c r="ID19" i="19" s="1"/>
  <c r="IB15" i="10"/>
  <c r="IE13" i="10"/>
  <c r="IF7" i="10"/>
  <c r="IC17" i="17" l="1"/>
  <c r="IF13" i="10"/>
  <c r="IG7" i="10"/>
  <c r="HW34" i="19"/>
  <c r="HW28" i="20"/>
  <c r="HW7" i="20"/>
  <c r="IE40" i="11"/>
  <c r="IE7" i="17" s="1"/>
  <c r="IE13" i="17" s="1"/>
  <c r="IE55" i="11"/>
  <c r="IE14" i="10" s="1"/>
  <c r="IE15" i="10" s="1"/>
  <c r="IF18" i="10"/>
  <c r="A247" i="37"/>
  <c r="B248" i="37"/>
  <c r="ID9" i="19"/>
  <c r="ID9" i="20" s="1"/>
  <c r="ID16" i="17"/>
  <c r="ID39" i="17" s="1"/>
  <c r="ID42" i="17" s="1"/>
  <c r="ID43" i="17" s="1"/>
  <c r="ID44" i="17" s="1"/>
  <c r="IB16" i="10"/>
  <c r="IB15" i="17" s="1"/>
  <c r="IF26" i="11"/>
  <c r="IF43" i="11" s="1"/>
  <c r="IF30" i="11"/>
  <c r="IF47" i="11" s="1"/>
  <c r="IF34" i="11"/>
  <c r="IF51" i="11" s="1"/>
  <c r="IF9" i="17" s="1"/>
  <c r="IF27" i="11"/>
  <c r="IF44" i="11" s="1"/>
  <c r="IF31" i="11"/>
  <c r="IF48" i="11" s="1"/>
  <c r="IF35" i="11"/>
  <c r="IF52" i="11" s="1"/>
  <c r="IF10" i="17" s="1"/>
  <c r="IF24" i="11"/>
  <c r="IF41" i="11" s="1"/>
  <c r="IF28" i="11"/>
  <c r="IF45" i="11" s="1"/>
  <c r="IF32" i="11"/>
  <c r="IF49" i="11" s="1"/>
  <c r="IF36" i="11"/>
  <c r="IF53" i="11" s="1"/>
  <c r="IF11" i="17" s="1"/>
  <c r="IF25" i="11"/>
  <c r="IF42" i="11" s="1"/>
  <c r="IF29" i="11"/>
  <c r="IF46" i="11" s="1"/>
  <c r="IF33" i="11"/>
  <c r="IF50" i="11" s="1"/>
  <c r="IF8" i="17" s="1"/>
  <c r="IF37" i="11"/>
  <c r="IF54" i="11" s="1"/>
  <c r="IF12" i="17" s="1"/>
  <c r="IG20" i="11"/>
  <c r="IF37" i="17"/>
  <c r="IF21" i="19" s="1"/>
  <c r="IG31" i="10"/>
  <c r="IG30" i="17" s="1"/>
  <c r="IG34" i="10"/>
  <c r="IG33" i="17" s="1"/>
  <c r="IH9" i="10"/>
  <c r="IG22" i="10"/>
  <c r="IG21" i="17" s="1"/>
  <c r="IG25" i="10"/>
  <c r="IG24" i="17" s="1"/>
  <c r="IG36" i="10"/>
  <c r="IG35" i="17" s="1"/>
  <c r="IG29" i="10"/>
  <c r="IG28" i="17" s="1"/>
  <c r="IG20" i="10"/>
  <c r="IG21" i="10"/>
  <c r="IG20" i="17" s="1"/>
  <c r="IG24" i="10"/>
  <c r="IG23" i="17" s="1"/>
  <c r="IG35" i="10"/>
  <c r="IG34" i="17" s="1"/>
  <c r="IG27" i="10"/>
  <c r="IG26" i="17" s="1"/>
  <c r="IG30" i="10"/>
  <c r="IG29" i="17" s="1"/>
  <c r="IG28" i="10"/>
  <c r="IG27" i="17" s="1"/>
  <c r="IG33" i="10"/>
  <c r="IG32" i="17" s="1"/>
  <c r="IG32" i="10"/>
  <c r="IG31" i="17" s="1"/>
  <c r="IG23" i="10"/>
  <c r="IG22" i="17" s="1"/>
  <c r="IC28" i="20"/>
  <c r="IC34" i="19"/>
  <c r="IC7" i="20"/>
  <c r="IG24" i="11" l="1"/>
  <c r="IG41" i="11" s="1"/>
  <c r="IG28" i="11"/>
  <c r="IG45" i="11" s="1"/>
  <c r="IG31" i="11"/>
  <c r="IG48" i="11" s="1"/>
  <c r="IG35" i="11"/>
  <c r="IG52" i="11" s="1"/>
  <c r="IG10" i="17" s="1"/>
  <c r="IG25" i="11"/>
  <c r="IG42" i="11" s="1"/>
  <c r="IG29" i="11"/>
  <c r="IG46" i="11" s="1"/>
  <c r="IG32" i="11"/>
  <c r="IG49" i="11" s="1"/>
  <c r="IG36" i="11"/>
  <c r="IG53" i="11" s="1"/>
  <c r="IG11" i="17" s="1"/>
  <c r="IG26" i="11"/>
  <c r="IG43" i="11" s="1"/>
  <c r="IG33" i="11"/>
  <c r="IG50" i="11" s="1"/>
  <c r="IG8" i="17" s="1"/>
  <c r="IG37" i="11"/>
  <c r="IG54" i="11" s="1"/>
  <c r="IG12" i="17" s="1"/>
  <c r="IG27" i="11"/>
  <c r="IG44" i="11" s="1"/>
  <c r="IG30" i="11"/>
  <c r="IG47" i="11" s="1"/>
  <c r="IG34" i="11"/>
  <c r="IG51" i="11" s="1"/>
  <c r="IG9" i="17" s="1"/>
  <c r="IH20" i="11"/>
  <c r="IF40" i="11"/>
  <c r="IF7" i="17" s="1"/>
  <c r="IF13" i="17" s="1"/>
  <c r="IF55" i="11"/>
  <c r="IF14" i="10" s="1"/>
  <c r="IB19" i="19"/>
  <c r="IB16" i="17"/>
  <c r="A248" i="37"/>
  <c r="B249" i="37"/>
  <c r="IH31" i="10"/>
  <c r="II31" i="10" s="1"/>
  <c r="IH34" i="10"/>
  <c r="II34" i="10" s="1"/>
  <c r="IH22" i="10"/>
  <c r="II22" i="10" s="1"/>
  <c r="IH25" i="10"/>
  <c r="II25" i="10" s="1"/>
  <c r="IH36" i="10"/>
  <c r="II36" i="10" s="1"/>
  <c r="IH20" i="10"/>
  <c r="II20" i="10" s="1"/>
  <c r="IH29" i="10"/>
  <c r="II29" i="10" s="1"/>
  <c r="IH21" i="10"/>
  <c r="II21" i="10" s="1"/>
  <c r="IH24" i="10"/>
  <c r="II24" i="10" s="1"/>
  <c r="IH35" i="10"/>
  <c r="II35" i="10" s="1"/>
  <c r="IH30" i="10"/>
  <c r="II30" i="10" s="1"/>
  <c r="IH28" i="10"/>
  <c r="II28" i="10" s="1"/>
  <c r="IH27" i="10"/>
  <c r="II27" i="10" s="1"/>
  <c r="IH33" i="10"/>
  <c r="II33" i="10" s="1"/>
  <c r="IH32" i="10"/>
  <c r="II32" i="10" s="1"/>
  <c r="IH23" i="10"/>
  <c r="II23" i="10" s="1"/>
  <c r="IE9" i="19"/>
  <c r="IE9" i="20" s="1"/>
  <c r="IG37" i="17"/>
  <c r="IG21" i="19" s="1"/>
  <c r="ID17" i="17"/>
  <c r="IG18" i="10"/>
  <c r="ID28" i="20"/>
  <c r="ID34" i="19"/>
  <c r="ID7" i="20"/>
  <c r="IE16" i="10"/>
  <c r="IE15" i="17" s="1"/>
  <c r="IG13" i="10"/>
  <c r="IH7" i="10"/>
  <c r="IH13" i="10" s="1"/>
  <c r="II13" i="10" l="1"/>
  <c r="X13" i="32"/>
  <c r="U2" i="43" s="1"/>
  <c r="IH31" i="17"/>
  <c r="X32" i="32"/>
  <c r="IH28" i="17"/>
  <c r="X29" i="32"/>
  <c r="IF15" i="10"/>
  <c r="IH32" i="17"/>
  <c r="X33" i="32"/>
  <c r="IH34" i="17"/>
  <c r="X35" i="32"/>
  <c r="IH18" i="10"/>
  <c r="X20" i="32"/>
  <c r="IH33" i="17"/>
  <c r="X34" i="32"/>
  <c r="IB39" i="17"/>
  <c r="IB42" i="17" s="1"/>
  <c r="IB43" i="17" s="1"/>
  <c r="IB44" i="17" s="1"/>
  <c r="IB17" i="17"/>
  <c r="IE16" i="17"/>
  <c r="IE19" i="19"/>
  <c r="IH26" i="17"/>
  <c r="X27" i="32"/>
  <c r="IH23" i="17"/>
  <c r="X24" i="32"/>
  <c r="IH35" i="17"/>
  <c r="X36" i="32"/>
  <c r="IH30" i="17"/>
  <c r="X31" i="32"/>
  <c r="IH25" i="11"/>
  <c r="IH42" i="11" s="1"/>
  <c r="II42" i="11" s="1"/>
  <c r="IH29" i="11"/>
  <c r="IH46" i="11" s="1"/>
  <c r="II46" i="11" s="1"/>
  <c r="IH33" i="11"/>
  <c r="IH50" i="11" s="1"/>
  <c r="IH37" i="11"/>
  <c r="IH54" i="11" s="1"/>
  <c r="IH26" i="11"/>
  <c r="IH43" i="11" s="1"/>
  <c r="II43" i="11" s="1"/>
  <c r="IH30" i="11"/>
  <c r="IH47" i="11" s="1"/>
  <c r="II47" i="11" s="1"/>
  <c r="IH34" i="11"/>
  <c r="IH51" i="11" s="1"/>
  <c r="IH27" i="11"/>
  <c r="IH44" i="11" s="1"/>
  <c r="II44" i="11" s="1"/>
  <c r="IH31" i="11"/>
  <c r="IH48" i="11" s="1"/>
  <c r="II48" i="11" s="1"/>
  <c r="IH35" i="11"/>
  <c r="IH52" i="11" s="1"/>
  <c r="IH28" i="11"/>
  <c r="IH45" i="11" s="1"/>
  <c r="II45" i="11" s="1"/>
  <c r="IH32" i="11"/>
  <c r="IH49" i="11" s="1"/>
  <c r="IH36" i="11"/>
  <c r="IH53" i="11" s="1"/>
  <c r="IH24" i="11"/>
  <c r="IH41" i="11" s="1"/>
  <c r="IH29" i="17"/>
  <c r="X30" i="32"/>
  <c r="IH21" i="17"/>
  <c r="X22" i="32"/>
  <c r="IG40" i="11"/>
  <c r="IG7" i="17" s="1"/>
  <c r="IG13" i="17" s="1"/>
  <c r="IG55" i="11"/>
  <c r="IG14" i="10" s="1"/>
  <c r="IG15" i="10" s="1"/>
  <c r="IG16" i="10" s="1"/>
  <c r="IG15" i="17" s="1"/>
  <c r="IG19" i="19" s="1"/>
  <c r="IH22" i="17"/>
  <c r="X23" i="32"/>
  <c r="IH27" i="17"/>
  <c r="X28" i="32"/>
  <c r="IH20" i="17"/>
  <c r="X21" i="32"/>
  <c r="U9" i="43" s="1"/>
  <c r="IH24" i="17"/>
  <c r="X25" i="32"/>
  <c r="B250" i="37"/>
  <c r="A249" i="37"/>
  <c r="IF9" i="19"/>
  <c r="IF9" i="20" s="1"/>
  <c r="HW38" i="10" l="1"/>
  <c r="II38" i="10" s="1"/>
  <c r="II18" i="10"/>
  <c r="X38" i="32"/>
  <c r="V23" i="30"/>
  <c r="U18" i="43"/>
  <c r="V28" i="30"/>
  <c r="U23" i="43"/>
  <c r="V16" i="30"/>
  <c r="U11" i="43"/>
  <c r="V26" i="30"/>
  <c r="U21" i="43"/>
  <c r="V18" i="30"/>
  <c r="U13" i="43"/>
  <c r="V25" i="30"/>
  <c r="U20" i="43"/>
  <c r="V21" i="30"/>
  <c r="U16" i="43"/>
  <c r="V24" i="30"/>
  <c r="U19" i="43"/>
  <c r="V29" i="30"/>
  <c r="U24" i="43"/>
  <c r="V17" i="30"/>
  <c r="U12" i="43"/>
  <c r="V27" i="30"/>
  <c r="U22" i="43"/>
  <c r="V22" i="30"/>
  <c r="U17" i="43"/>
  <c r="V15" i="30"/>
  <c r="U10" i="43"/>
  <c r="V20" i="30"/>
  <c r="U15" i="43"/>
  <c r="V13" i="30"/>
  <c r="U8" i="43"/>
  <c r="A250" i="37"/>
  <c r="B251" i="37"/>
  <c r="IB7" i="20"/>
  <c r="IB34" i="19"/>
  <c r="IB28" i="20"/>
  <c r="IH12" i="17"/>
  <c r="II54" i="11"/>
  <c r="IH9" i="17"/>
  <c r="II51" i="11"/>
  <c r="IH8" i="17"/>
  <c r="II50" i="11"/>
  <c r="IE39" i="17"/>
  <c r="IE42" i="17" s="1"/>
  <c r="IE43" i="17" s="1"/>
  <c r="IE44" i="17" s="1"/>
  <c r="IE17" i="17"/>
  <c r="IF16" i="10"/>
  <c r="IF15" i="17" s="1"/>
  <c r="IH37" i="17"/>
  <c r="IH21" i="19" s="1"/>
  <c r="IH11" i="17"/>
  <c r="II53" i="11"/>
  <c r="IG9" i="19"/>
  <c r="IG9" i="20" s="1"/>
  <c r="IG16" i="17"/>
  <c r="IG39" i="17" s="1"/>
  <c r="IG42" i="17" s="1"/>
  <c r="IG43" i="17" s="1"/>
  <c r="IG44" i="17" s="1"/>
  <c r="V14" i="30"/>
  <c r="IH55" i="11"/>
  <c r="IH40" i="11"/>
  <c r="II41" i="11"/>
  <c r="IH10" i="17"/>
  <c r="II52" i="11"/>
  <c r="V7" i="30"/>
  <c r="V31" i="30" l="1"/>
  <c r="V67" i="30" s="1"/>
  <c r="U9" i="34" s="1"/>
  <c r="U26" i="43"/>
  <c r="IG17" i="17"/>
  <c r="IG28" i="20"/>
  <c r="IG7" i="20"/>
  <c r="IG34" i="19"/>
  <c r="IE28" i="20"/>
  <c r="IE34" i="19"/>
  <c r="IE7" i="20"/>
  <c r="IH14" i="10"/>
  <c r="II55" i="11"/>
  <c r="HW56" i="11"/>
  <c r="IH7" i="17"/>
  <c r="IH13" i="17" s="1"/>
  <c r="II40" i="11"/>
  <c r="IF19" i="19"/>
  <c r="IF16" i="17"/>
  <c r="A251" i="37"/>
  <c r="B252" i="37"/>
  <c r="IH9" i="19" l="1"/>
  <c r="IH9" i="20" s="1"/>
  <c r="IH15" i="10"/>
  <c r="II14" i="10"/>
  <c r="X14" i="32"/>
  <c r="U3" i="43" s="1"/>
  <c r="A252" i="37"/>
  <c r="B253" i="37"/>
  <c r="IF39" i="17"/>
  <c r="IF42" i="17" s="1"/>
  <c r="IF17" i="17"/>
  <c r="X6" i="32"/>
  <c r="X7" i="32" s="1"/>
  <c r="II56" i="11"/>
  <c r="B254" i="37" l="1"/>
  <c r="A253" i="37"/>
  <c r="IH16" i="10"/>
  <c r="II15" i="10"/>
  <c r="X15" i="32"/>
  <c r="IF43" i="17"/>
  <c r="IF44" i="17" s="1"/>
  <c r="V5" i="30"/>
  <c r="X9" i="32"/>
  <c r="V6" i="30" s="1"/>
  <c r="V8" i="30"/>
  <c r="V9" i="30" l="1"/>
  <c r="U4" i="43"/>
  <c r="V10" i="30"/>
  <c r="V32" i="30" s="1"/>
  <c r="IF7" i="20"/>
  <c r="IF28" i="20"/>
  <c r="IF34" i="19"/>
  <c r="B255" i="37"/>
  <c r="A254" i="37"/>
  <c r="V40" i="30"/>
  <c r="V51" i="30"/>
  <c r="V46" i="30"/>
  <c r="V64" i="30"/>
  <c r="V47" i="30"/>
  <c r="V45" i="30"/>
  <c r="V66" i="30"/>
  <c r="U8" i="34" s="1"/>
  <c r="V60" i="30"/>
  <c r="V48" i="30"/>
  <c r="V59" i="30"/>
  <c r="V54" i="30"/>
  <c r="V44" i="30"/>
  <c r="V55" i="30"/>
  <c r="V50" i="30"/>
  <c r="V56" i="30"/>
  <c r="V49" i="30"/>
  <c r="V41" i="30"/>
  <c r="V52" i="30"/>
  <c r="V42" i="30"/>
  <c r="V53" i="30"/>
  <c r="V43" i="30"/>
  <c r="V57" i="30"/>
  <c r="V58" i="30"/>
  <c r="V3" i="30"/>
  <c r="X16" i="32"/>
  <c r="IH15" i="17"/>
  <c r="II16" i="10"/>
  <c r="X17" i="32" l="1"/>
  <c r="U5" i="43"/>
  <c r="V39" i="30"/>
  <c r="U6" i="34"/>
  <c r="V68" i="30"/>
  <c r="V75" i="30" s="1"/>
  <c r="A255" i="37"/>
  <c r="B256" i="37"/>
  <c r="IH19" i="19"/>
  <c r="IH16" i="17"/>
  <c r="A256" i="37" l="1"/>
  <c r="B257" i="37"/>
  <c r="IH39" i="17"/>
  <c r="IH42" i="17" s="1"/>
  <c r="IH43" i="17" s="1"/>
  <c r="IH44" i="17" s="1"/>
  <c r="IH17" i="17"/>
  <c r="IH7" i="20" l="1"/>
  <c r="IH34" i="19"/>
  <c r="IH28" i="20"/>
  <c r="A257" i="37"/>
  <c r="B258" i="37"/>
  <c r="A258" i="37" l="1"/>
  <c r="B259" i="37"/>
  <c r="A259" i="37" l="1"/>
  <c r="B260" i="37"/>
  <c r="B261" i="37" l="1"/>
  <c r="A260" i="37"/>
  <c r="B262" i="37" l="1"/>
  <c r="A261" i="37"/>
  <c r="B263" i="37" l="1"/>
  <c r="A262" i="37"/>
  <c r="A263" i="37" l="1"/>
  <c r="B264" i="37"/>
  <c r="A264" i="37" l="1"/>
  <c r="B265" i="37"/>
  <c r="A265" i="37" l="1"/>
  <c r="B266" i="37"/>
  <c r="B267" i="37" l="1"/>
  <c r="A266" i="37"/>
  <c r="B268" i="37" l="1"/>
  <c r="A267" i="37"/>
  <c r="B269" i="37" l="1"/>
  <c r="A268" i="37"/>
  <c r="B270" i="37" l="1"/>
  <c r="A269" i="37"/>
  <c r="B271" i="37" l="1"/>
  <c r="A270" i="37"/>
  <c r="A271" i="37" l="1"/>
  <c r="B272" i="37"/>
  <c r="A272" i="37" l="1"/>
  <c r="B273" i="37"/>
  <c r="A273" i="37" l="1"/>
  <c r="B274" i="37"/>
  <c r="B275" i="37" l="1"/>
  <c r="A274" i="37"/>
  <c r="A275" i="37" l="1"/>
  <c r="B276" i="37"/>
  <c r="A276" i="37" l="1"/>
  <c r="B277" i="37"/>
  <c r="B278" i="37" l="1"/>
  <c r="A277" i="37"/>
  <c r="B279" i="37" l="1"/>
  <c r="A278" i="37"/>
  <c r="B280" i="37" l="1"/>
  <c r="A279" i="37"/>
  <c r="A280" i="37" l="1"/>
  <c r="B281" i="37"/>
  <c r="A281" i="37" l="1"/>
  <c r="B282" i="37"/>
  <c r="B283" i="37" l="1"/>
  <c r="A282" i="37"/>
  <c r="A283" i="37" l="1"/>
  <c r="B284" i="37"/>
  <c r="A284" i="37" l="1"/>
  <c r="B285" i="37"/>
  <c r="B286" i="37" l="1"/>
  <c r="A285" i="37"/>
  <c r="B287" i="37" l="1"/>
  <c r="A286" i="37"/>
  <c r="B288" i="37" l="1"/>
  <c r="A287" i="37"/>
  <c r="B289" i="37" l="1"/>
  <c r="A288" i="37"/>
  <c r="B290" i="37" l="1"/>
  <c r="A289" i="37"/>
  <c r="A290" i="37" l="1"/>
  <c r="B291" i="37"/>
  <c r="A291" i="37" l="1"/>
  <c r="B292" i="37"/>
  <c r="A292" i="37" l="1"/>
  <c r="B293" i="37"/>
  <c r="A293" i="37" l="1"/>
  <c r="B294" i="37"/>
  <c r="A294" i="37" l="1"/>
  <c r="B295" i="37"/>
  <c r="A295" i="37" l="1"/>
  <c r="B296" i="37"/>
  <c r="B297" i="37" l="1"/>
  <c r="A296" i="37"/>
  <c r="B298" i="37" l="1"/>
  <c r="A297" i="37"/>
  <c r="A298" i="37" l="1"/>
  <c r="B299" i="37"/>
  <c r="B300" i="37" l="1"/>
  <c r="A299" i="37"/>
  <c r="A300" i="37" l="1"/>
  <c r="B301" i="37"/>
  <c r="B302" i="37" l="1"/>
  <c r="A301" i="37"/>
  <c r="B303" i="37" l="1"/>
  <c r="A302" i="37"/>
  <c r="A303" i="37" l="1"/>
  <c r="B304" i="37"/>
  <c r="A304" i="37" l="1"/>
  <c r="B305" i="37"/>
  <c r="B306" i="37" l="1"/>
  <c r="A305" i="37"/>
  <c r="B307" i="37" l="1"/>
  <c r="A307" i="37" s="1"/>
  <c r="A306" i="37"/>
  <c r="D16" i="36" l="1"/>
  <c r="E16" i="36"/>
  <c r="K12" i="33"/>
  <c r="E11" i="33"/>
  <c r="AA11" i="33"/>
  <c r="X9" i="33"/>
  <c r="N9" i="33"/>
  <c r="E20" i="36"/>
  <c r="C25" i="34" s="1"/>
  <c r="AA12" i="33"/>
  <c r="U5" i="33"/>
  <c r="U8" i="33" s="1"/>
  <c r="X5" i="33"/>
  <c r="X8" i="33" s="1"/>
  <c r="Z11" i="33"/>
  <c r="I12" i="33"/>
  <c r="T11" i="33"/>
  <c r="T5" i="33"/>
  <c r="T8" i="33" s="1"/>
  <c r="P12" i="33"/>
  <c r="J9" i="33"/>
  <c r="V5" i="33"/>
  <c r="V8" i="33" s="1"/>
  <c r="Y5" i="33"/>
  <c r="Y8" i="33" s="1"/>
  <c r="U12" i="33"/>
  <c r="G9" i="33"/>
  <c r="X10" i="33"/>
  <c r="D20" i="36"/>
  <c r="Y10" i="33"/>
  <c r="E9" i="36"/>
  <c r="N5" i="33"/>
  <c r="N8" i="33" s="1"/>
  <c r="G5" i="33"/>
  <c r="G8" i="33" s="1"/>
  <c r="D10" i="36"/>
  <c r="O10" i="33"/>
  <c r="Y11" i="33"/>
  <c r="H12" i="33"/>
  <c r="T10" i="33"/>
  <c r="E13" i="36"/>
  <c r="I10" i="33"/>
  <c r="X11" i="33"/>
  <c r="R10" i="33"/>
  <c r="AC11" i="33"/>
  <c r="D10" i="33"/>
  <c r="S9" i="33"/>
  <c r="Q12" i="33"/>
  <c r="U11" i="33"/>
  <c r="L9" i="33"/>
  <c r="U10" i="33"/>
  <c r="AA9" i="33"/>
  <c r="AC9" i="33"/>
  <c r="Q5" i="33"/>
  <c r="Q8" i="33" s="1"/>
  <c r="M10" i="33"/>
  <c r="E9" i="33"/>
  <c r="M11" i="33"/>
  <c r="S10" i="33"/>
  <c r="I9" i="33"/>
  <c r="V10" i="33"/>
  <c r="I5" i="33"/>
  <c r="I8" i="33" s="1"/>
  <c r="G12" i="33"/>
  <c r="D8" i="36"/>
  <c r="K11" i="33"/>
  <c r="AC5" i="33"/>
  <c r="AC8" i="33" s="1"/>
  <c r="AC10" i="33"/>
  <c r="S12" i="33"/>
  <c r="U9" i="33"/>
  <c r="L11" i="33"/>
  <c r="L10" i="33"/>
  <c r="O5" i="33"/>
  <c r="O8" i="33" s="1"/>
  <c r="E5" i="33"/>
  <c r="H11" i="33"/>
  <c r="AB5" i="33"/>
  <c r="AB8" i="33" s="1"/>
  <c r="D13" i="36"/>
  <c r="Z5" i="33"/>
  <c r="Z8" i="33" s="1"/>
  <c r="K10" i="33"/>
  <c r="R12" i="33"/>
  <c r="Z9" i="33"/>
  <c r="D12" i="33"/>
  <c r="E10" i="36"/>
  <c r="P9" i="33"/>
  <c r="J10" i="33"/>
  <c r="T12" i="33"/>
  <c r="D14" i="36"/>
  <c r="W11" i="33"/>
  <c r="V9" i="33"/>
  <c r="M12" i="33"/>
  <c r="E7" i="33"/>
  <c r="M5" i="33"/>
  <c r="M8" i="33" s="1"/>
  <c r="J12" i="33"/>
  <c r="AA10" i="33"/>
  <c r="K9" i="33"/>
  <c r="G10" i="33"/>
  <c r="Z10" i="33"/>
  <c r="Y12" i="33"/>
  <c r="N10" i="33"/>
  <c r="D9" i="36"/>
  <c r="AB12" i="33"/>
  <c r="R11" i="33"/>
  <c r="V11" i="33"/>
  <c r="O9" i="33"/>
  <c r="AA5" i="33"/>
  <c r="AA8" i="33" s="1"/>
  <c r="D5" i="33"/>
  <c r="W12" i="33"/>
  <c r="Q9" i="33"/>
  <c r="Q11" i="33"/>
  <c r="X12" i="33"/>
  <c r="Q10" i="33"/>
  <c r="AB10" i="33"/>
  <c r="E14" i="36"/>
  <c r="P5" i="33"/>
  <c r="P8" i="33" s="1"/>
  <c r="O11" i="33"/>
  <c r="AC12" i="33"/>
  <c r="AB9" i="33"/>
  <c r="L12" i="33"/>
  <c r="H9" i="33"/>
  <c r="P11" i="33"/>
  <c r="D7" i="33"/>
  <c r="S5" i="33"/>
  <c r="S8" i="33" s="1"/>
  <c r="L5" i="33"/>
  <c r="L8" i="33" s="1"/>
  <c r="K5" i="33"/>
  <c r="K8" i="33" s="1"/>
  <c r="O12" i="33"/>
  <c r="N11" i="33"/>
  <c r="Y9" i="33"/>
  <c r="D11" i="33"/>
  <c r="Z12" i="33"/>
  <c r="M9" i="33"/>
  <c r="R9" i="33"/>
  <c r="V12" i="33"/>
  <c r="W5" i="33"/>
  <c r="W8" i="33" s="1"/>
  <c r="N12" i="33"/>
  <c r="E10" i="33"/>
  <c r="P10" i="33"/>
  <c r="R5" i="33"/>
  <c r="R8" i="33" s="1"/>
  <c r="I11" i="33"/>
  <c r="D9" i="33"/>
  <c r="E12" i="33"/>
  <c r="S11" i="33"/>
  <c r="J5" i="33"/>
  <c r="J8" i="33" s="1"/>
  <c r="AB11" i="33"/>
  <c r="J11" i="33"/>
  <c r="W9" i="33"/>
  <c r="E8" i="36"/>
  <c r="G11" i="33"/>
  <c r="W10" i="33"/>
  <c r="H10" i="33"/>
  <c r="H5" i="33"/>
  <c r="H8" i="33" s="1"/>
  <c r="P13" i="33" l="1"/>
  <c r="P20" i="33" s="1"/>
  <c r="N80" i="30" s="1"/>
  <c r="E16" i="35" s="1"/>
  <c r="F11" i="33"/>
  <c r="M13" i="33"/>
  <c r="M20" i="33" s="1"/>
  <c r="K80" i="30" s="1"/>
  <c r="E13" i="35" s="1"/>
  <c r="K13" i="33"/>
  <c r="K20" i="33" s="1"/>
  <c r="I80" i="30" s="1"/>
  <c r="E11" i="35" s="1"/>
  <c r="AC13" i="33"/>
  <c r="AC20" i="33" s="1"/>
  <c r="J13" i="33"/>
  <c r="J20" i="33" s="1"/>
  <c r="H80" i="30" s="1"/>
  <c r="E10" i="35" s="1"/>
  <c r="F16" i="36"/>
  <c r="F5" i="33"/>
  <c r="D8" i="33"/>
  <c r="E11" i="36"/>
  <c r="G13" i="33"/>
  <c r="F7" i="33"/>
  <c r="F12" i="33"/>
  <c r="E8" i="33"/>
  <c r="U13" i="33"/>
  <c r="U20" i="33" s="1"/>
  <c r="S80" i="30" s="1"/>
  <c r="E21" i="35" s="1"/>
  <c r="E13" i="33"/>
  <c r="AA13" i="33"/>
  <c r="AA20" i="33" s="1"/>
  <c r="F10" i="36"/>
  <c r="F14" i="36"/>
  <c r="C16" i="34"/>
  <c r="B16" i="34"/>
  <c r="B19" i="34" s="1"/>
  <c r="E19" i="36"/>
  <c r="E15" i="36"/>
  <c r="E17" i="36" s="1"/>
  <c r="W13" i="33"/>
  <c r="AB13" i="33"/>
  <c r="AB20" i="33" s="1"/>
  <c r="Q13" i="33"/>
  <c r="O13" i="33"/>
  <c r="O20" i="33" s="1"/>
  <c r="M80" i="30" s="1"/>
  <c r="E15" i="35" s="1"/>
  <c r="F9" i="36"/>
  <c r="V13" i="33"/>
  <c r="Z13" i="33"/>
  <c r="D15" i="36"/>
  <c r="D17" i="36" s="1"/>
  <c r="D19" i="36"/>
  <c r="F13" i="36"/>
  <c r="D11" i="36"/>
  <c r="F8" i="36"/>
  <c r="I13" i="33"/>
  <c r="I20" i="33" s="1"/>
  <c r="G80" i="30" s="1"/>
  <c r="E9" i="35" s="1"/>
  <c r="S13" i="33"/>
  <c r="F20" i="36"/>
  <c r="B25" i="34"/>
  <c r="N13" i="33"/>
  <c r="N20" i="33" s="1"/>
  <c r="L80" i="30" s="1"/>
  <c r="E14" i="35" s="1"/>
  <c r="F9" i="33"/>
  <c r="D13" i="33"/>
  <c r="R13" i="33"/>
  <c r="R20" i="33" s="1"/>
  <c r="P80" i="30" s="1"/>
  <c r="E18" i="35" s="1"/>
  <c r="Y13" i="33"/>
  <c r="H13" i="33"/>
  <c r="L13" i="33"/>
  <c r="F10" i="33"/>
  <c r="X13" i="33"/>
  <c r="E20" i="33" l="1"/>
  <c r="D80" i="30" s="1"/>
  <c r="D82" i="30" s="1"/>
  <c r="P35" i="33"/>
  <c r="F15" i="36"/>
  <c r="F17" i="36" s="1"/>
  <c r="AA35" i="33"/>
  <c r="O35" i="33"/>
  <c r="F13" i="33"/>
  <c r="F23" i="33" s="1"/>
  <c r="F29" i="33" s="1"/>
  <c r="R35" i="33"/>
  <c r="D21" i="36"/>
  <c r="F19" i="36"/>
  <c r="F21" i="36" s="1"/>
  <c r="C24" i="36" s="1"/>
  <c r="F24" i="36" s="1"/>
  <c r="B24" i="34"/>
  <c r="B27" i="34" s="1"/>
  <c r="D16" i="34"/>
  <c r="E16" i="34" s="1"/>
  <c r="F16" i="34" s="1"/>
  <c r="G16" i="34" s="1"/>
  <c r="H16" i="34" s="1"/>
  <c r="I16" i="34" s="1"/>
  <c r="J16" i="34" s="1"/>
  <c r="K16" i="34" s="1"/>
  <c r="L16" i="34" s="1"/>
  <c r="M16" i="34" s="1"/>
  <c r="N16" i="34" s="1"/>
  <c r="O16" i="34" s="1"/>
  <c r="P16" i="34" s="1"/>
  <c r="Q16" i="34" s="1"/>
  <c r="R16" i="34" s="1"/>
  <c r="S16" i="34" s="1"/>
  <c r="T16" i="34" s="1"/>
  <c r="U16" i="34" s="1"/>
  <c r="C19" i="34"/>
  <c r="S20" i="33"/>
  <c r="Q80" i="30" s="1"/>
  <c r="E19" i="35" s="1"/>
  <c r="V20" i="33"/>
  <c r="T80" i="30" s="1"/>
  <c r="E22" i="35" s="1"/>
  <c r="Z35" i="33"/>
  <c r="C24" i="34"/>
  <c r="E21" i="36"/>
  <c r="Q20" i="33"/>
  <c r="O80" i="30" s="1"/>
  <c r="E17" i="35" s="1"/>
  <c r="L35" i="33"/>
  <c r="AC35" i="33"/>
  <c r="Y20" i="33"/>
  <c r="M35" i="33"/>
  <c r="N35" i="33"/>
  <c r="Q35" i="33"/>
  <c r="G20" i="33"/>
  <c r="E80" i="30" s="1"/>
  <c r="E7" i="35" s="1"/>
  <c r="D20" i="33"/>
  <c r="AB35" i="33"/>
  <c r="L20" i="33"/>
  <c r="J80" i="30" s="1"/>
  <c r="E12" i="35" s="1"/>
  <c r="S35" i="33"/>
  <c r="X20" i="33"/>
  <c r="V80" i="30" s="1"/>
  <c r="E24" i="35" s="1"/>
  <c r="F11" i="36"/>
  <c r="Z20" i="33"/>
  <c r="W20" i="33"/>
  <c r="U80" i="30" s="1"/>
  <c r="E23" i="35" s="1"/>
  <c r="Y35" i="33"/>
  <c r="F8" i="33"/>
  <c r="H20" i="33"/>
  <c r="F80" i="30" s="1"/>
  <c r="E8" i="35" s="1"/>
  <c r="J35" i="33" l="1"/>
  <c r="H35" i="33"/>
  <c r="G23" i="33"/>
  <c r="H23" i="33" s="1"/>
  <c r="G14" i="36"/>
  <c r="AB34" i="33"/>
  <c r="AB38" i="33" s="1"/>
  <c r="Z34" i="33"/>
  <c r="Z38" i="33" s="1"/>
  <c r="AC34" i="33"/>
  <c r="AC38" i="33" s="1"/>
  <c r="X34" i="33"/>
  <c r="AA34" i="33"/>
  <c r="AA38" i="33" s="1"/>
  <c r="W34" i="33"/>
  <c r="Y34" i="33"/>
  <c r="Y38" i="33" s="1"/>
  <c r="V34" i="33"/>
  <c r="G35" i="33"/>
  <c r="G41" i="33" s="1"/>
  <c r="H41" i="33" s="1"/>
  <c r="K35" i="33"/>
  <c r="I35" i="33"/>
  <c r="G13" i="36"/>
  <c r="D87" i="30"/>
  <c r="D6" i="31"/>
  <c r="D84" i="30"/>
  <c r="C23" i="34"/>
  <c r="C27" i="34" s="1"/>
  <c r="B13" i="34"/>
  <c r="B15" i="34" s="1"/>
  <c r="B20" i="34" s="1"/>
  <c r="B5" i="34"/>
  <c r="B11" i="34" s="1"/>
  <c r="C80" i="30"/>
  <c r="F22" i="33"/>
  <c r="F20" i="33"/>
  <c r="S34" i="33"/>
  <c r="S38" i="33" s="1"/>
  <c r="Q79" i="30" s="1"/>
  <c r="T34" i="33"/>
  <c r="M34" i="33"/>
  <c r="M38" i="33" s="1"/>
  <c r="K79" i="30" s="1"/>
  <c r="L34" i="33"/>
  <c r="L38" i="33" s="1"/>
  <c r="J79" i="30" s="1"/>
  <c r="O34" i="33"/>
  <c r="O38" i="33" s="1"/>
  <c r="M79" i="30" s="1"/>
  <c r="J34" i="33"/>
  <c r="J38" i="33" s="1"/>
  <c r="H79" i="30" s="1"/>
  <c r="U34" i="33"/>
  <c r="I34" i="33"/>
  <c r="P34" i="33"/>
  <c r="P38" i="33" s="1"/>
  <c r="N79" i="30" s="1"/>
  <c r="N34" i="33"/>
  <c r="N38" i="33" s="1"/>
  <c r="L79" i="30" s="1"/>
  <c r="R34" i="33"/>
  <c r="R38" i="33" s="1"/>
  <c r="P79" i="30" s="1"/>
  <c r="Q34" i="33"/>
  <c r="Q38" i="33" s="1"/>
  <c r="O79" i="30" s="1"/>
  <c r="H34" i="33"/>
  <c r="H38" i="33" s="1"/>
  <c r="F79" i="30" s="1"/>
  <c r="G34" i="33"/>
  <c r="K34" i="33"/>
  <c r="C5" i="34"/>
  <c r="C11" i="34" s="1"/>
  <c r="I38" i="33" l="1"/>
  <c r="G79" i="30" s="1"/>
  <c r="D9" i="35" s="1"/>
  <c r="G29" i="33"/>
  <c r="K38" i="33"/>
  <c r="I79" i="30" s="1"/>
  <c r="D11" i="35" s="1"/>
  <c r="I41" i="33"/>
  <c r="J41" i="33" s="1"/>
  <c r="K41" i="33" s="1"/>
  <c r="L41" i="33" s="1"/>
  <c r="M41" i="33" s="1"/>
  <c r="N41" i="33" s="1"/>
  <c r="O41" i="33" s="1"/>
  <c r="P41" i="33" s="1"/>
  <c r="Q41" i="33" s="1"/>
  <c r="R41" i="33" s="1"/>
  <c r="S41" i="33" s="1"/>
  <c r="B21" i="34"/>
  <c r="H29" i="33"/>
  <c r="I23" i="33"/>
  <c r="J33" i="30"/>
  <c r="J34" i="30" s="1"/>
  <c r="D12" i="35"/>
  <c r="D23" i="34"/>
  <c r="C13" i="34"/>
  <c r="C15" i="34" s="1"/>
  <c r="C20" i="34" s="1"/>
  <c r="C21" i="34" s="1"/>
  <c r="D18" i="35"/>
  <c r="P33" i="30"/>
  <c r="P34" i="30" s="1"/>
  <c r="K33" i="30"/>
  <c r="K34" i="30" s="1"/>
  <c r="D13" i="35"/>
  <c r="F28" i="33"/>
  <c r="F32" i="33" s="1"/>
  <c r="F26" i="33"/>
  <c r="G22" i="33"/>
  <c r="C69" i="30"/>
  <c r="C82" i="30"/>
  <c r="B8" i="29" s="1"/>
  <c r="C8" i="29" s="1"/>
  <c r="D8" i="29" s="1"/>
  <c r="E8" i="29" s="1"/>
  <c r="F8" i="29" s="1"/>
  <c r="G8" i="29" s="1"/>
  <c r="D17" i="35"/>
  <c r="O33" i="30"/>
  <c r="O34" i="30" s="1"/>
  <c r="G40" i="33"/>
  <c r="G38" i="33"/>
  <c r="E79" i="30" s="1"/>
  <c r="D14" i="35"/>
  <c r="L33" i="30"/>
  <c r="L34" i="30" s="1"/>
  <c r="D10" i="35"/>
  <c r="H33" i="30"/>
  <c r="H34" i="30" s="1"/>
  <c r="F33" i="30"/>
  <c r="F34" i="30" s="1"/>
  <c r="D8" i="35"/>
  <c r="D16" i="35"/>
  <c r="N33" i="30"/>
  <c r="N34" i="30" s="1"/>
  <c r="M33" i="30"/>
  <c r="M34" i="30" s="1"/>
  <c r="D15" i="35"/>
  <c r="D19" i="35"/>
  <c r="Q33" i="30"/>
  <c r="Q34" i="30" s="1"/>
  <c r="G33" i="30" l="1"/>
  <c r="G34" i="30" s="1"/>
  <c r="G61" i="30" s="1"/>
  <c r="I33" i="30"/>
  <c r="I34" i="30" s="1"/>
  <c r="I78" i="30" s="1"/>
  <c r="H78" i="30"/>
  <c r="H36" i="30"/>
  <c r="G36" i="34" s="1"/>
  <c r="H61" i="30"/>
  <c r="D5" i="34"/>
  <c r="E5" i="34" s="1"/>
  <c r="F5" i="34" s="1"/>
  <c r="G5" i="34" s="1"/>
  <c r="H5" i="34" s="1"/>
  <c r="I5" i="34" s="1"/>
  <c r="J5" i="34" s="1"/>
  <c r="K5" i="34" s="1"/>
  <c r="L5" i="34" s="1"/>
  <c r="M5" i="34" s="1"/>
  <c r="N5" i="34" s="1"/>
  <c r="O5" i="34" s="1"/>
  <c r="P5" i="34" s="1"/>
  <c r="D7" i="35"/>
  <c r="E33" i="30"/>
  <c r="E34" i="30" s="1"/>
  <c r="O78" i="30"/>
  <c r="O36" i="30"/>
  <c r="N36" i="34" s="1"/>
  <c r="O61" i="30"/>
  <c r="C70" i="30"/>
  <c r="C76" i="30" s="1"/>
  <c r="D69" i="30"/>
  <c r="P78" i="30"/>
  <c r="P36" i="30"/>
  <c r="O36" i="34" s="1"/>
  <c r="P61" i="30"/>
  <c r="C89" i="30"/>
  <c r="C87" i="30"/>
  <c r="C6" i="31"/>
  <c r="M36" i="30"/>
  <c r="L36" i="34" s="1"/>
  <c r="M78" i="30"/>
  <c r="M61" i="30"/>
  <c r="F78" i="30"/>
  <c r="F61" i="30"/>
  <c r="F36" i="30"/>
  <c r="E36" i="34" s="1"/>
  <c r="H40" i="33"/>
  <c r="G44" i="33"/>
  <c r="G28" i="33"/>
  <c r="G32" i="33" s="1"/>
  <c r="G26" i="33"/>
  <c r="H22" i="33"/>
  <c r="K78" i="30"/>
  <c r="K36" i="30"/>
  <c r="J36" i="34" s="1"/>
  <c r="K61" i="30"/>
  <c r="J36" i="30"/>
  <c r="I36" i="34" s="1"/>
  <c r="J78" i="30"/>
  <c r="J61" i="30"/>
  <c r="Q78" i="30"/>
  <c r="Q36" i="30"/>
  <c r="P36" i="34" s="1"/>
  <c r="Q61" i="30"/>
  <c r="N78" i="30"/>
  <c r="N36" i="30"/>
  <c r="M36" i="34" s="1"/>
  <c r="N61" i="30"/>
  <c r="L36" i="30"/>
  <c r="K36" i="34" s="1"/>
  <c r="L78" i="30"/>
  <c r="L61" i="30"/>
  <c r="D85" i="30"/>
  <c r="I29" i="33"/>
  <c r="J23" i="33"/>
  <c r="G36" i="30" l="1"/>
  <c r="F36" i="34" s="1"/>
  <c r="G78" i="30"/>
  <c r="C9" i="35" s="1"/>
  <c r="G9" i="35" s="1"/>
  <c r="I36" i="30"/>
  <c r="H36" i="34" s="1"/>
  <c r="I61" i="30"/>
  <c r="Q82" i="30"/>
  <c r="C19" i="35"/>
  <c r="G19" i="35" s="1"/>
  <c r="M82" i="30"/>
  <c r="C15" i="35"/>
  <c r="G15" i="35" s="1"/>
  <c r="D88" i="30"/>
  <c r="C88" i="30"/>
  <c r="C18" i="35"/>
  <c r="G18" i="35" s="1"/>
  <c r="P82" i="30"/>
  <c r="C10" i="35"/>
  <c r="G10" i="35" s="1"/>
  <c r="H82" i="30"/>
  <c r="N82" i="30"/>
  <c r="C16" i="35"/>
  <c r="G16" i="35" s="1"/>
  <c r="D89" i="30"/>
  <c r="E89" i="30" s="1"/>
  <c r="F89" i="30" s="1"/>
  <c r="G89" i="30" s="1"/>
  <c r="E69" i="30"/>
  <c r="D70" i="30"/>
  <c r="D76" i="30" s="1"/>
  <c r="D90" i="30"/>
  <c r="C11" i="35"/>
  <c r="G11" i="35" s="1"/>
  <c r="I82" i="30"/>
  <c r="J29" i="33"/>
  <c r="K23" i="33"/>
  <c r="C14" i="35"/>
  <c r="G14" i="35" s="1"/>
  <c r="L82" i="30"/>
  <c r="J82" i="30"/>
  <c r="C12" i="35"/>
  <c r="G12" i="35" s="1"/>
  <c r="C13" i="35"/>
  <c r="G13" i="35" s="1"/>
  <c r="K82" i="30"/>
  <c r="F82" i="30"/>
  <c r="C8" i="35"/>
  <c r="G8" i="35" s="1"/>
  <c r="H28" i="33"/>
  <c r="H32" i="33" s="1"/>
  <c r="H26" i="33"/>
  <c r="I22" i="33"/>
  <c r="H44" i="33"/>
  <c r="I40" i="33"/>
  <c r="C17" i="35"/>
  <c r="G17" i="35" s="1"/>
  <c r="O82" i="30"/>
  <c r="E61" i="30"/>
  <c r="E36" i="30"/>
  <c r="D36" i="34" s="1"/>
  <c r="E78" i="30"/>
  <c r="G82" i="30" l="1"/>
  <c r="H89" i="30"/>
  <c r="I89" i="30" s="1"/>
  <c r="J42" i="34"/>
  <c r="K6" i="31"/>
  <c r="K87" i="30"/>
  <c r="G87" i="30"/>
  <c r="F42" i="34"/>
  <c r="G6" i="31"/>
  <c r="I87" i="30"/>
  <c r="I6" i="31"/>
  <c r="H42" i="34"/>
  <c r="H6" i="31"/>
  <c r="H87" i="30"/>
  <c r="G42" i="34"/>
  <c r="O42" i="34"/>
  <c r="P87" i="30"/>
  <c r="Q87" i="30"/>
  <c r="P42" i="34"/>
  <c r="O87" i="30"/>
  <c r="N42" i="34"/>
  <c r="J40" i="33"/>
  <c r="I44" i="33"/>
  <c r="F69" i="30"/>
  <c r="E70" i="30"/>
  <c r="E76" i="30" s="1"/>
  <c r="M42" i="34"/>
  <c r="N87" i="30"/>
  <c r="K42" i="34"/>
  <c r="L6" i="31"/>
  <c r="L87" i="30"/>
  <c r="M6" i="31"/>
  <c r="L42" i="34"/>
  <c r="M87" i="30"/>
  <c r="E82" i="30"/>
  <c r="C7" i="35"/>
  <c r="G7" i="35" s="1"/>
  <c r="D24" i="36" s="1"/>
  <c r="E24" i="36" s="1"/>
  <c r="K29" i="33"/>
  <c r="L23" i="33"/>
  <c r="I26" i="33"/>
  <c r="I28" i="33"/>
  <c r="I32" i="33" s="1"/>
  <c r="J22" i="33"/>
  <c r="E42" i="34"/>
  <c r="F6" i="31"/>
  <c r="F87" i="30"/>
  <c r="J87" i="30"/>
  <c r="I42" i="34"/>
  <c r="J6" i="31"/>
  <c r="J89" i="30" l="1"/>
  <c r="K89" i="30" s="1"/>
  <c r="C25" i="36"/>
  <c r="F25" i="36" s="1"/>
  <c r="B25" i="36"/>
  <c r="A25" i="36" s="1"/>
  <c r="J28" i="33"/>
  <c r="J32" i="33" s="1"/>
  <c r="J26" i="33"/>
  <c r="K22" i="33"/>
  <c r="D42" i="34"/>
  <c r="E87" i="30"/>
  <c r="E6" i="31"/>
  <c r="E84" i="30"/>
  <c r="F84" i="30" s="1"/>
  <c r="G84" i="30" s="1"/>
  <c r="H84" i="30" s="1"/>
  <c r="I84" i="30" s="1"/>
  <c r="J84" i="30" s="1"/>
  <c r="K84" i="30" s="1"/>
  <c r="L84" i="30" s="1"/>
  <c r="M84" i="30" s="1"/>
  <c r="N84" i="30" s="1"/>
  <c r="O84" i="30" s="1"/>
  <c r="P84" i="30" s="1"/>
  <c r="Q84" i="30" s="1"/>
  <c r="E85" i="30"/>
  <c r="J44" i="33"/>
  <c r="K40" i="33"/>
  <c r="L29" i="33"/>
  <c r="M23" i="33"/>
  <c r="G69" i="30"/>
  <c r="F70" i="30"/>
  <c r="F76" i="30" s="1"/>
  <c r="D25" i="36" l="1"/>
  <c r="E25" i="36" s="1"/>
  <c r="B26" i="36" s="1"/>
  <c r="A26" i="36" s="1"/>
  <c r="L89" i="30"/>
  <c r="M89" i="30" s="1"/>
  <c r="B89" i="30" s="1"/>
  <c r="E92" i="30" s="1"/>
  <c r="N6" i="31" s="1"/>
  <c r="H69" i="30"/>
  <c r="G70" i="30"/>
  <c r="G76" i="30" s="1"/>
  <c r="K28" i="33"/>
  <c r="K32" i="33" s="1"/>
  <c r="K26" i="33"/>
  <c r="L22" i="33"/>
  <c r="M29" i="33"/>
  <c r="N23" i="33"/>
  <c r="F85" i="30"/>
  <c r="E90" i="30"/>
  <c r="L40" i="33"/>
  <c r="K44" i="33"/>
  <c r="J88" i="30"/>
  <c r="L88" i="30"/>
  <c r="M88" i="30"/>
  <c r="I88" i="30"/>
  <c r="Q88" i="30"/>
  <c r="N88" i="30"/>
  <c r="P88" i="30"/>
  <c r="F88" i="30"/>
  <c r="E88" i="30"/>
  <c r="H88" i="30"/>
  <c r="O88" i="30"/>
  <c r="K88" i="30"/>
  <c r="G88" i="30"/>
  <c r="C26" i="36" l="1"/>
  <c r="F26" i="36" s="1"/>
  <c r="N89" i="30"/>
  <c r="O89" i="30" s="1"/>
  <c r="P89" i="30" s="1"/>
  <c r="Q89" i="30" s="1"/>
  <c r="R89" i="30" s="1"/>
  <c r="S89" i="30" s="1"/>
  <c r="T89" i="30" s="1"/>
  <c r="U89" i="30" s="1"/>
  <c r="V89" i="30" s="1"/>
  <c r="F90" i="30"/>
  <c r="G85" i="30"/>
  <c r="I69" i="30"/>
  <c r="H70" i="30"/>
  <c r="H76" i="30" s="1"/>
  <c r="N29" i="33"/>
  <c r="O23" i="33"/>
  <c r="M40" i="33"/>
  <c r="L44" i="33"/>
  <c r="L28" i="33"/>
  <c r="L32" i="33" s="1"/>
  <c r="L26" i="33"/>
  <c r="M22" i="33"/>
  <c r="D26" i="36" l="1"/>
  <c r="E26" i="36" s="1"/>
  <c r="C27" i="36" s="1"/>
  <c r="F27" i="36" s="1"/>
  <c r="M28" i="33"/>
  <c r="M32" i="33" s="1"/>
  <c r="M26" i="33"/>
  <c r="N22" i="33"/>
  <c r="M44" i="33"/>
  <c r="N40" i="33"/>
  <c r="J69" i="30"/>
  <c r="I70" i="30"/>
  <c r="I76" i="30" s="1"/>
  <c r="O29" i="33"/>
  <c r="P23" i="33"/>
  <c r="H85" i="30"/>
  <c r="G90" i="30"/>
  <c r="B27" i="36" l="1"/>
  <c r="A27" i="36" s="1"/>
  <c r="D27" i="36" s="1"/>
  <c r="E27" i="36" s="1"/>
  <c r="B28" i="36" s="1"/>
  <c r="A28" i="36" s="1"/>
  <c r="P29" i="33"/>
  <c r="Q23" i="33"/>
  <c r="N28" i="33"/>
  <c r="N32" i="33" s="1"/>
  <c r="N26" i="33"/>
  <c r="O22" i="33"/>
  <c r="K69" i="30"/>
  <c r="J70" i="30"/>
  <c r="J76" i="30" s="1"/>
  <c r="O40" i="33"/>
  <c r="N44" i="33"/>
  <c r="H90" i="30"/>
  <c r="I85" i="30"/>
  <c r="C28" i="36" l="1"/>
  <c r="F28" i="36" s="1"/>
  <c r="J85" i="30"/>
  <c r="I90" i="30"/>
  <c r="L69" i="30"/>
  <c r="K70" i="30"/>
  <c r="K76" i="30" s="1"/>
  <c r="Q29" i="33"/>
  <c r="R23" i="33"/>
  <c r="P40" i="33"/>
  <c r="O44" i="33"/>
  <c r="O26" i="33"/>
  <c r="O28" i="33"/>
  <c r="O32" i="33" s="1"/>
  <c r="P22" i="33"/>
  <c r="D28" i="36" l="1"/>
  <c r="E28" i="36" s="1"/>
  <c r="C29" i="36" s="1"/>
  <c r="F29" i="36" s="1"/>
  <c r="P28" i="33"/>
  <c r="P32" i="33" s="1"/>
  <c r="P26" i="33"/>
  <c r="Q22" i="33"/>
  <c r="Q40" i="33"/>
  <c r="P44" i="33"/>
  <c r="M69" i="30"/>
  <c r="L70" i="30"/>
  <c r="L76" i="30" s="1"/>
  <c r="R29" i="33"/>
  <c r="S23" i="33"/>
  <c r="K85" i="30"/>
  <c r="J90" i="30"/>
  <c r="B29" i="36" l="1"/>
  <c r="A29" i="36" s="1"/>
  <c r="D29" i="36" s="1"/>
  <c r="E29" i="36" s="1"/>
  <c r="B30" i="36" s="1"/>
  <c r="A30" i="36" s="1"/>
  <c r="Q44" i="33"/>
  <c r="R40" i="33"/>
  <c r="S29" i="33"/>
  <c r="Q28" i="33"/>
  <c r="Q32" i="33" s="1"/>
  <c r="Q26" i="33"/>
  <c r="R22" i="33"/>
  <c r="N69" i="30"/>
  <c r="M70" i="30"/>
  <c r="M76" i="30" s="1"/>
  <c r="L85" i="30"/>
  <c r="K90" i="30"/>
  <c r="C30" i="36" l="1"/>
  <c r="F30" i="36" s="1"/>
  <c r="L90" i="30"/>
  <c r="M85" i="30"/>
  <c r="O69" i="30"/>
  <c r="N70" i="30"/>
  <c r="N76" i="30" s="1"/>
  <c r="R26" i="33"/>
  <c r="R28" i="33"/>
  <c r="R32" i="33" s="1"/>
  <c r="S22" i="33"/>
  <c r="S40" i="33"/>
  <c r="R44" i="33"/>
  <c r="D30" i="36" l="1"/>
  <c r="E30" i="36" s="1"/>
  <c r="C31" i="36" s="1"/>
  <c r="F31" i="36" s="1"/>
  <c r="S44" i="33"/>
  <c r="T40" i="33"/>
  <c r="P69" i="30"/>
  <c r="O70" i="30"/>
  <c r="O76" i="30" s="1"/>
  <c r="S28" i="33"/>
  <c r="S32" i="33" s="1"/>
  <c r="S26" i="33"/>
  <c r="T22" i="33"/>
  <c r="N85" i="30"/>
  <c r="M90" i="30"/>
  <c r="B31" i="36" l="1"/>
  <c r="A31" i="36" s="1"/>
  <c r="D31" i="36" s="1"/>
  <c r="E31" i="36" s="1"/>
  <c r="C32" i="36" s="1"/>
  <c r="F32" i="36" s="1"/>
  <c r="T28" i="33"/>
  <c r="U22" i="33"/>
  <c r="O85" i="30"/>
  <c r="N90" i="30"/>
  <c r="Q69" i="30"/>
  <c r="P70" i="30"/>
  <c r="P76" i="30" s="1"/>
  <c r="U40" i="33"/>
  <c r="B32" i="36" l="1"/>
  <c r="A32" i="36" s="1"/>
  <c r="D32" i="36" s="1"/>
  <c r="E32" i="36" s="1"/>
  <c r="C33" i="36" s="1"/>
  <c r="F33" i="36" s="1"/>
  <c r="Q70" i="30"/>
  <c r="Q76" i="30" s="1"/>
  <c r="P85" i="30"/>
  <c r="O90" i="30"/>
  <c r="V40" i="33"/>
  <c r="U28" i="33"/>
  <c r="V22" i="33"/>
  <c r="B33" i="36" l="1"/>
  <c r="A33" i="36" s="1"/>
  <c r="D33" i="36" s="1"/>
  <c r="E33" i="36" s="1"/>
  <c r="B34" i="36" s="1"/>
  <c r="A34" i="36" s="1"/>
  <c r="V28" i="33"/>
  <c r="W22" i="33"/>
  <c r="P90" i="30"/>
  <c r="Q85" i="30"/>
  <c r="W40" i="33"/>
  <c r="C34" i="36" l="1"/>
  <c r="F34" i="36" s="1"/>
  <c r="W28" i="33"/>
  <c r="X22" i="33"/>
  <c r="Q90" i="30"/>
  <c r="X40" i="33"/>
  <c r="D34" i="36" l="1"/>
  <c r="E34" i="36" s="1"/>
  <c r="B35" i="36" s="1"/>
  <c r="A35" i="36" s="1"/>
  <c r="Y40" i="33"/>
  <c r="E94" i="30"/>
  <c r="Q6" i="31" s="1"/>
  <c r="F94" i="30"/>
  <c r="R6" i="31" s="1"/>
  <c r="X28" i="33"/>
  <c r="Y22" i="33"/>
  <c r="C35" i="36" l="1"/>
  <c r="F35" i="36" s="1"/>
  <c r="Y28" i="33"/>
  <c r="Z22" i="33"/>
  <c r="Z40" i="33"/>
  <c r="D35" i="36" l="1"/>
  <c r="E35" i="36" s="1"/>
  <c r="B36" i="36" s="1"/>
  <c r="A36" i="36" s="1"/>
  <c r="AA40" i="33"/>
  <c r="Z28" i="33"/>
  <c r="AA22" i="33"/>
  <c r="C36" i="36" l="1"/>
  <c r="F36" i="36" s="1"/>
  <c r="AA28" i="33"/>
  <c r="AB22" i="33"/>
  <c r="AB40" i="33"/>
  <c r="D36" i="36" l="1"/>
  <c r="E36" i="36" s="1"/>
  <c r="C37" i="36" s="1"/>
  <c r="F37" i="36" s="1"/>
  <c r="AB28" i="33"/>
  <c r="AC22" i="33"/>
  <c r="AC40" i="33"/>
  <c r="B37" i="36" l="1"/>
  <c r="A37" i="36" s="1"/>
  <c r="D37" i="36" s="1"/>
  <c r="E37" i="36" s="1"/>
  <c r="B38" i="36" s="1"/>
  <c r="A38" i="36" s="1"/>
  <c r="AC28" i="33"/>
  <c r="C38" i="36" l="1"/>
  <c r="F38" i="36" s="1"/>
  <c r="D38" i="36" l="1"/>
  <c r="E38" i="36" s="1"/>
  <c r="B39" i="36" s="1"/>
  <c r="A39" i="36" s="1"/>
  <c r="C39" i="36" l="1"/>
  <c r="F39" i="36" s="1"/>
  <c r="D39" i="36" l="1"/>
  <c r="E39" i="36" s="1"/>
  <c r="B40" i="36" s="1"/>
  <c r="A40" i="36" s="1"/>
  <c r="C40" i="36" l="1"/>
  <c r="F40" i="36" s="1"/>
  <c r="D40" i="36" l="1"/>
  <c r="E40" i="36" s="1"/>
  <c r="C41" i="36" s="1"/>
  <c r="F41" i="36" s="1"/>
  <c r="B41" i="36" l="1"/>
  <c r="A41" i="36" s="1"/>
  <c r="D41" i="36" s="1"/>
  <c r="E41" i="36" s="1"/>
  <c r="C42" i="36" s="1"/>
  <c r="F42" i="36" s="1"/>
  <c r="B42" i="36" l="1"/>
  <c r="A42" i="36" s="1"/>
  <c r="D42" i="36" s="1"/>
  <c r="E42" i="36" s="1"/>
  <c r="C43" i="36" s="1"/>
  <c r="F43" i="36" s="1"/>
  <c r="B43" i="36" l="1"/>
  <c r="A43" i="36" s="1"/>
  <c r="D43" i="36" s="1"/>
  <c r="E43" i="36" s="1"/>
  <c r="C44" i="36" s="1"/>
  <c r="F44" i="36" s="1"/>
  <c r="B44" i="36" l="1"/>
  <c r="A44" i="36" s="1"/>
  <c r="D44" i="36" s="1"/>
  <c r="E44" i="36" s="1"/>
  <c r="B45" i="36" s="1"/>
  <c r="A45" i="36" s="1"/>
  <c r="C45" i="36" l="1"/>
  <c r="F45" i="36" s="1"/>
  <c r="D45" i="36" l="1"/>
  <c r="E45" i="36" s="1"/>
  <c r="C46" i="36" s="1"/>
  <c r="F46" i="36" s="1"/>
  <c r="B46" i="36" l="1"/>
  <c r="A46" i="36" s="1"/>
  <c r="D46" i="36" s="1"/>
  <c r="E46" i="36" s="1"/>
  <c r="B47" i="36" s="1"/>
  <c r="A47" i="36" s="1"/>
  <c r="C47" i="36" l="1"/>
  <c r="F47" i="36" s="1"/>
  <c r="D47" i="36" l="1"/>
  <c r="E47" i="36" s="1"/>
  <c r="C48" i="36" s="1"/>
  <c r="F48" i="36" s="1"/>
  <c r="B48" i="36" l="1"/>
  <c r="A48" i="36" s="1"/>
  <c r="D48" i="36" s="1"/>
  <c r="E48" i="36" s="1"/>
  <c r="C49" i="36" s="1"/>
  <c r="F49" i="36" s="1"/>
  <c r="B49" i="36" l="1"/>
  <c r="A49" i="36" s="1"/>
  <c r="D49" i="36" s="1"/>
  <c r="E49" i="36" s="1"/>
  <c r="B50" i="36" s="1"/>
  <c r="A50" i="36" s="1"/>
  <c r="C50" i="36" l="1"/>
  <c r="F50" i="36" s="1"/>
  <c r="D50" i="36" l="1"/>
  <c r="E50" i="36" s="1"/>
  <c r="C51" i="36" s="1"/>
  <c r="F51" i="36" s="1"/>
  <c r="B51" i="36" l="1"/>
  <c r="A51" i="36" s="1"/>
  <c r="D51" i="36" s="1"/>
  <c r="E51" i="36" s="1"/>
  <c r="C52" i="36" s="1"/>
  <c r="F52" i="36" s="1"/>
  <c r="B52" i="36" l="1"/>
  <c r="A52" i="36" s="1"/>
  <c r="D52" i="36" s="1"/>
  <c r="E52" i="36" s="1"/>
  <c r="B53" i="36" s="1"/>
  <c r="A53" i="36" s="1"/>
  <c r="C53" i="36" l="1"/>
  <c r="F53" i="36" l="1"/>
  <c r="D53" i="36"/>
  <c r="E53" i="36" s="1"/>
  <c r="B54" i="36" l="1"/>
  <c r="A54" i="36" s="1"/>
  <c r="C54" i="36"/>
  <c r="F54" i="36" s="1"/>
  <c r="D54" i="36" l="1"/>
  <c r="E54" i="36" s="1"/>
  <c r="C55" i="36" s="1"/>
  <c r="F55" i="36" s="1"/>
  <c r="B55" i="36" l="1"/>
  <c r="A55" i="36" s="1"/>
  <c r="D55" i="36" s="1"/>
  <c r="E55" i="36" s="1"/>
  <c r="C56" i="36" s="1"/>
  <c r="F56" i="36" s="1"/>
  <c r="B56" i="36" l="1"/>
  <c r="A56" i="36" s="1"/>
  <c r="D56" i="36" s="1"/>
  <c r="E56" i="36" s="1"/>
  <c r="B57" i="36" s="1"/>
  <c r="A57" i="36" s="1"/>
  <c r="C57" i="36" l="1"/>
  <c r="F57" i="36" s="1"/>
  <c r="D57" i="36" l="1"/>
  <c r="E57" i="36" s="1"/>
  <c r="B58" i="36" s="1"/>
  <c r="A58" i="36" s="1"/>
  <c r="C58" i="36" l="1"/>
  <c r="F58" i="36" s="1"/>
  <c r="D58" i="36" l="1"/>
  <c r="E58" i="36" s="1"/>
  <c r="C59" i="36" s="1"/>
  <c r="F59" i="36" s="1"/>
  <c r="B59" i="36" l="1"/>
  <c r="A59" i="36" s="1"/>
  <c r="D59" i="36" s="1"/>
  <c r="E59" i="36" s="1"/>
  <c r="B60" i="36" s="1"/>
  <c r="A60" i="36" s="1"/>
  <c r="C60" i="36" l="1"/>
  <c r="F60" i="36" s="1"/>
  <c r="D60" i="36" l="1"/>
  <c r="E60" i="36" s="1"/>
  <c r="B61" i="36" l="1"/>
  <c r="A61" i="36" s="1"/>
  <c r="C61" i="36"/>
  <c r="F61" i="36" s="1"/>
  <c r="D61" i="36" l="1"/>
  <c r="E61" i="36" s="1"/>
  <c r="B62" i="36" s="1"/>
  <c r="A62" i="36" s="1"/>
  <c r="C62" i="36" l="1"/>
  <c r="F62" i="36" s="1"/>
  <c r="D62" i="36" l="1"/>
  <c r="E62" i="36" s="1"/>
  <c r="B63" i="36" l="1"/>
  <c r="A63" i="36" s="1"/>
  <c r="C63" i="36"/>
  <c r="F63" i="36" s="1"/>
  <c r="D63" i="36" l="1"/>
  <c r="E63" i="36" s="1"/>
  <c r="C64" i="36" s="1"/>
  <c r="F64" i="36" s="1"/>
  <c r="B64" i="36" l="1"/>
  <c r="A64" i="36" s="1"/>
  <c r="D64" i="36" s="1"/>
  <c r="E64" i="36" s="1"/>
  <c r="C65" i="36" s="1"/>
  <c r="F65" i="36" s="1"/>
  <c r="B65" i="36" l="1"/>
  <c r="A65" i="36" s="1"/>
  <c r="D65" i="36" s="1"/>
  <c r="E65" i="36" s="1"/>
  <c r="C66" i="36" s="1"/>
  <c r="F66" i="36" s="1"/>
  <c r="B66" i="36" l="1"/>
  <c r="A66" i="36" s="1"/>
  <c r="D66" i="36" s="1"/>
  <c r="E66" i="36" s="1"/>
  <c r="C67" i="36" s="1"/>
  <c r="F67" i="36" s="1"/>
  <c r="B67" i="36" l="1"/>
  <c r="A67" i="36" s="1"/>
  <c r="D67" i="36" s="1"/>
  <c r="E67" i="36" s="1"/>
  <c r="B68" i="36" s="1"/>
  <c r="A68" i="36" s="1"/>
  <c r="C68" i="36" l="1"/>
  <c r="F68" i="36" s="1"/>
  <c r="D68" i="36" l="1"/>
  <c r="E68" i="36" s="1"/>
  <c r="C69" i="36" l="1"/>
  <c r="F69" i="36" s="1"/>
  <c r="B69" i="36"/>
  <c r="A69" i="36" s="1"/>
  <c r="D69" i="36" l="1"/>
  <c r="E69" i="36" s="1"/>
  <c r="C70" i="36" s="1"/>
  <c r="F70" i="36" s="1"/>
  <c r="B70" i="36" l="1"/>
  <c r="A70" i="36" s="1"/>
  <c r="D70" i="36" s="1"/>
  <c r="E70" i="36" s="1"/>
  <c r="B71" i="36" s="1"/>
  <c r="A71" i="36" s="1"/>
  <c r="C71" i="36" l="1"/>
  <c r="F71" i="36" s="1"/>
  <c r="D71" i="36" l="1"/>
  <c r="E71" i="36" s="1"/>
  <c r="C72" i="36" s="1"/>
  <c r="F72" i="36" s="1"/>
  <c r="B72" i="36" l="1"/>
  <c r="A72" i="36" s="1"/>
  <c r="D72" i="36" s="1"/>
  <c r="E72" i="36" s="1"/>
  <c r="B73" i="36" s="1"/>
  <c r="A73" i="36" s="1"/>
  <c r="C73" i="36" l="1"/>
  <c r="F73" i="36" s="1"/>
  <c r="D73" i="36" l="1"/>
  <c r="E73" i="36" s="1"/>
  <c r="C74" i="36" s="1"/>
  <c r="F74" i="36" s="1"/>
  <c r="B74" i="36" l="1"/>
  <c r="A74" i="36" s="1"/>
  <c r="D74" i="36" s="1"/>
  <c r="E74" i="36" s="1"/>
  <c r="B75" i="36" s="1"/>
  <c r="A75" i="36" s="1"/>
  <c r="C75" i="36" l="1"/>
  <c r="F75" i="36" s="1"/>
  <c r="D75" i="36" l="1"/>
  <c r="E75" i="36" s="1"/>
  <c r="B76" i="36" s="1"/>
  <c r="A76" i="36" s="1"/>
  <c r="C76" i="36" l="1"/>
  <c r="F76" i="36" s="1"/>
  <c r="D76" i="36" l="1"/>
  <c r="E76" i="36" s="1"/>
  <c r="C77" i="36" s="1"/>
  <c r="F77" i="36" s="1"/>
  <c r="B77" i="36" l="1"/>
  <c r="A77" i="36" s="1"/>
  <c r="D77" i="36" s="1"/>
  <c r="E77" i="36" s="1"/>
  <c r="C78" i="36" s="1"/>
  <c r="F78" i="36" s="1"/>
  <c r="B78" i="36" l="1"/>
  <c r="A78" i="36" s="1"/>
  <c r="D78" i="36" s="1"/>
  <c r="E78" i="36" s="1"/>
  <c r="B79" i="36" s="1"/>
  <c r="A79" i="36" s="1"/>
  <c r="C79" i="36" l="1"/>
  <c r="F79" i="36" s="1"/>
  <c r="D79" i="36" l="1"/>
  <c r="E79" i="36" s="1"/>
  <c r="B80" i="36" s="1"/>
  <c r="A80" i="36" s="1"/>
  <c r="C80" i="36" l="1"/>
  <c r="F80" i="36" s="1"/>
  <c r="D80" i="36" l="1"/>
  <c r="E80" i="36" s="1"/>
  <c r="B81" i="36" s="1"/>
  <c r="A81" i="36" s="1"/>
  <c r="C81" i="36" l="1"/>
  <c r="F81" i="36" s="1"/>
  <c r="D81" i="36" l="1"/>
  <c r="E81" i="36" s="1"/>
  <c r="B82" i="36" s="1"/>
  <c r="A82" i="36" s="1"/>
  <c r="C82" i="36" l="1"/>
  <c r="F82" i="36" s="1"/>
  <c r="D82" i="36" l="1"/>
  <c r="E82" i="36" s="1"/>
  <c r="B83" i="36" s="1"/>
  <c r="A83" i="36" s="1"/>
  <c r="C83" i="36" l="1"/>
  <c r="F83" i="36" s="1"/>
  <c r="D83" i="36" l="1"/>
  <c r="E83" i="36" s="1"/>
  <c r="C84" i="36" s="1"/>
  <c r="F84" i="36" s="1"/>
  <c r="B84" i="36" l="1"/>
  <c r="A84" i="36" s="1"/>
  <c r="D84" i="36" s="1"/>
  <c r="E84" i="36" s="1"/>
  <c r="B85" i="36" s="1"/>
  <c r="A85" i="36" s="1"/>
  <c r="C85" i="36" l="1"/>
  <c r="F85" i="36" s="1"/>
  <c r="D85" i="36" l="1"/>
  <c r="E85" i="36" s="1"/>
  <c r="C86" i="36" s="1"/>
  <c r="F86" i="36" s="1"/>
  <c r="B86" i="36" l="1"/>
  <c r="A86" i="36" s="1"/>
  <c r="D86" i="36" s="1"/>
  <c r="E86" i="36" s="1"/>
  <c r="B87" i="36" s="1"/>
  <c r="A87" i="36" s="1"/>
  <c r="C87" i="36" l="1"/>
  <c r="F87" i="36" s="1"/>
  <c r="D87" i="36" l="1"/>
  <c r="E87" i="36" s="1"/>
  <c r="C88" i="36" s="1"/>
  <c r="F88" i="36" s="1"/>
  <c r="B88" i="36" l="1"/>
  <c r="A88" i="36" s="1"/>
  <c r="D88" i="36" s="1"/>
  <c r="E88" i="36" s="1"/>
  <c r="B89" i="36" s="1"/>
  <c r="A89" i="36" s="1"/>
  <c r="C89" i="36" l="1"/>
  <c r="F89" i="36" s="1"/>
  <c r="I7" i="35"/>
  <c r="I8" i="35"/>
  <c r="E37" i="34" s="1"/>
  <c r="I9" i="35"/>
  <c r="F37" i="34" s="1"/>
  <c r="I10" i="35"/>
  <c r="G37" i="34" s="1"/>
  <c r="I11" i="35"/>
  <c r="H37" i="34" s="1"/>
  <c r="T37" i="34"/>
  <c r="J25" i="35"/>
  <c r="K25" i="35" s="1"/>
  <c r="U31" i="34"/>
  <c r="J28" i="35"/>
  <c r="K28" i="35" s="1"/>
  <c r="J26" i="35"/>
  <c r="K26" i="35" s="1"/>
  <c r="U37" i="34"/>
  <c r="J27" i="35"/>
  <c r="K27" i="35" s="1"/>
  <c r="T32" i="34"/>
  <c r="H9" i="35"/>
  <c r="F26" i="34" s="1"/>
  <c r="H10" i="35"/>
  <c r="G26" i="34" s="1"/>
  <c r="H11" i="35"/>
  <c r="H26" i="34" s="1"/>
  <c r="T31" i="34"/>
  <c r="U32" i="34"/>
  <c r="T26" i="34"/>
  <c r="AE54" i="34"/>
  <c r="J23" i="35"/>
  <c r="U26" i="34"/>
  <c r="AE55" i="34"/>
  <c r="AE57" i="34"/>
  <c r="AE56" i="34"/>
  <c r="AE58" i="34"/>
  <c r="J29" i="35"/>
  <c r="K29" i="35" s="1"/>
  <c r="AE60" i="34"/>
  <c r="AE59" i="34"/>
  <c r="D89" i="36" l="1"/>
  <c r="E89" i="36" s="1"/>
  <c r="B90" i="36" s="1"/>
  <c r="A90" i="36" s="1"/>
  <c r="H7" i="35"/>
  <c r="D26" i="34" s="1"/>
  <c r="D27" i="34" s="1"/>
  <c r="E23" i="34" s="1"/>
  <c r="H8" i="35"/>
  <c r="AE39" i="34" s="1"/>
  <c r="AE41" i="34"/>
  <c r="J24" i="35"/>
  <c r="U43" i="34" s="1"/>
  <c r="O27" i="35"/>
  <c r="D37" i="34"/>
  <c r="O26" i="35"/>
  <c r="T38" i="34"/>
  <c r="U37" i="30" s="1"/>
  <c r="AE42" i="34"/>
  <c r="J9" i="35"/>
  <c r="K9" i="35" s="1"/>
  <c r="T45" i="34"/>
  <c r="O29" i="35"/>
  <c r="O24" i="35"/>
  <c r="J11" i="35"/>
  <c r="H43" i="34" s="1"/>
  <c r="H44" i="34" s="1"/>
  <c r="J10" i="35"/>
  <c r="K10" i="35" s="1"/>
  <c r="U45" i="34"/>
  <c r="U38" i="34"/>
  <c r="O28" i="35"/>
  <c r="AE40" i="34"/>
  <c r="O23" i="35"/>
  <c r="O25" i="35"/>
  <c r="T43" i="34"/>
  <c r="C90" i="36" l="1"/>
  <c r="F90" i="36" s="1"/>
  <c r="G43" i="34"/>
  <c r="G44" i="34" s="1"/>
  <c r="E26" i="34"/>
  <c r="E27" i="34" s="1"/>
  <c r="F23" i="34" s="1"/>
  <c r="F27" i="34" s="1"/>
  <c r="D13" i="34"/>
  <c r="J8" i="35"/>
  <c r="K8" i="35" s="1"/>
  <c r="AE38" i="34"/>
  <c r="J7" i="35"/>
  <c r="D43" i="34" s="1"/>
  <c r="D44" i="34" s="1"/>
  <c r="F43" i="34"/>
  <c r="F44" i="34" s="1"/>
  <c r="V37" i="30"/>
  <c r="K11" i="35"/>
  <c r="D90" i="36" l="1"/>
  <c r="E90" i="36" s="1"/>
  <c r="B91" i="36" s="1"/>
  <c r="A91" i="36" s="1"/>
  <c r="K7" i="35"/>
  <c r="K24" i="36" s="1"/>
  <c r="L24" i="36" s="1"/>
  <c r="I25" i="36" s="1"/>
  <c r="J25" i="36" s="1"/>
  <c r="E43" i="34"/>
  <c r="E44" i="34" s="1"/>
  <c r="E13" i="34"/>
  <c r="G23" i="34"/>
  <c r="G27" i="34" s="1"/>
  <c r="F13" i="34"/>
  <c r="C91" i="36" l="1"/>
  <c r="D91" i="36" s="1"/>
  <c r="E91" i="36" s="1"/>
  <c r="B92" i="36" s="1"/>
  <c r="A92" i="36" s="1"/>
  <c r="K25" i="36"/>
  <c r="H23" i="34"/>
  <c r="H27" i="34" s="1"/>
  <c r="G13" i="34"/>
  <c r="C92" i="36" l="1"/>
  <c r="F92" i="36" s="1"/>
  <c r="F91" i="36"/>
  <c r="L25" i="36"/>
  <c r="I26" i="36" s="1"/>
  <c r="J26" i="36" s="1"/>
  <c r="I23" i="34"/>
  <c r="H13" i="34"/>
  <c r="D92" i="36" l="1"/>
  <c r="E92" i="36" s="1"/>
  <c r="K26" i="36"/>
  <c r="L26" i="36" s="1"/>
  <c r="I27" i="36" s="1"/>
  <c r="J27" i="36" s="1"/>
  <c r="B93" i="36" l="1"/>
  <c r="A93" i="36" s="1"/>
  <c r="C93" i="36"/>
  <c r="F93" i="36" s="1"/>
  <c r="K27" i="36"/>
  <c r="L27" i="36" s="1"/>
  <c r="I28" i="36" s="1"/>
  <c r="J28" i="36" s="1"/>
  <c r="D93" i="36" l="1"/>
  <c r="E93" i="36" s="1"/>
  <c r="B94" i="36" s="1"/>
  <c r="A94" i="36" s="1"/>
  <c r="K28" i="36"/>
  <c r="L28" i="36" s="1"/>
  <c r="I29" i="36" s="1"/>
  <c r="C94" i="36" l="1"/>
  <c r="F94" i="36" s="1"/>
  <c r="J29" i="36"/>
  <c r="K29" i="36" s="1"/>
  <c r="D94" i="36" l="1"/>
  <c r="E94" i="36" s="1"/>
  <c r="B95" i="36" s="1"/>
  <c r="A95" i="36" s="1"/>
  <c r="L29" i="36"/>
  <c r="I30" i="36" s="1"/>
  <c r="J30" i="36" s="1"/>
  <c r="C95" i="36" l="1"/>
  <c r="F95" i="36" s="1"/>
  <c r="I12" i="35" s="1"/>
  <c r="I37" i="34" s="1"/>
  <c r="K30" i="36"/>
  <c r="L30" i="36" s="1"/>
  <c r="I31" i="36" s="1"/>
  <c r="J31" i="36" s="1"/>
  <c r="D95" i="36" l="1"/>
  <c r="H12" i="35" s="1"/>
  <c r="I26" i="34" s="1"/>
  <c r="I27" i="34" s="1"/>
  <c r="J23" i="34" s="1"/>
  <c r="K31" i="36"/>
  <c r="L31" i="36" s="1"/>
  <c r="I32" i="36" s="1"/>
  <c r="J12" i="35" l="1"/>
  <c r="AE43" i="34" s="1"/>
  <c r="I13" i="34"/>
  <c r="E95" i="36"/>
  <c r="B96" i="36" s="1"/>
  <c r="A96" i="36" s="1"/>
  <c r="J32" i="36"/>
  <c r="K32" i="36" s="1"/>
  <c r="L32" i="36" s="1"/>
  <c r="I33" i="36" s="1"/>
  <c r="J33" i="36" s="1"/>
  <c r="K12" i="35" l="1"/>
  <c r="I43" i="34"/>
  <c r="I44" i="34" s="1"/>
  <c r="C96" i="36"/>
  <c r="F96" i="36" s="1"/>
  <c r="D96" i="36"/>
  <c r="K33" i="36"/>
  <c r="L33" i="36" s="1"/>
  <c r="I34" i="36" s="1"/>
  <c r="E96" i="36" l="1"/>
  <c r="B97" i="36" s="1"/>
  <c r="A97" i="36" s="1"/>
  <c r="J34" i="36"/>
  <c r="C97" i="36" l="1"/>
  <c r="F97" i="36" s="1"/>
  <c r="K34" i="36"/>
  <c r="L34" i="36" s="1"/>
  <c r="I35" i="36" s="1"/>
  <c r="D97" i="36" l="1"/>
  <c r="E97" i="36" s="1"/>
  <c r="C98" i="36" s="1"/>
  <c r="F98" i="36" s="1"/>
  <c r="J35" i="36"/>
  <c r="B98" i="36" l="1"/>
  <c r="A98" i="36" s="1"/>
  <c r="D98" i="36" s="1"/>
  <c r="E98" i="36" s="1"/>
  <c r="B99" i="36" s="1"/>
  <c r="A99" i="36" s="1"/>
  <c r="K35" i="36"/>
  <c r="L35" i="36" s="1"/>
  <c r="I36" i="36" s="1"/>
  <c r="C99" i="36" l="1"/>
  <c r="J36" i="36"/>
  <c r="D99" i="36" l="1"/>
  <c r="E99" i="36" s="1"/>
  <c r="F99" i="36"/>
  <c r="K36" i="36"/>
  <c r="L36" i="36" s="1"/>
  <c r="I37" i="36" s="1"/>
  <c r="J37" i="36" s="1"/>
  <c r="C100" i="36" l="1"/>
  <c r="F100" i="36" s="1"/>
  <c r="B100" i="36"/>
  <c r="A100" i="36" s="1"/>
  <c r="D100" i="36" s="1"/>
  <c r="K37" i="36"/>
  <c r="L37" i="36" s="1"/>
  <c r="I38" i="36" s="1"/>
  <c r="J38" i="36" s="1"/>
  <c r="E100" i="36" l="1"/>
  <c r="K38" i="36"/>
  <c r="L38" i="36" s="1"/>
  <c r="I39" i="36" s="1"/>
  <c r="J39" i="36" s="1"/>
  <c r="B101" i="36" l="1"/>
  <c r="A101" i="36" s="1"/>
  <c r="C101" i="36"/>
  <c r="K39" i="36"/>
  <c r="L39" i="36" s="1"/>
  <c r="I40" i="36" s="1"/>
  <c r="J40" i="36" s="1"/>
  <c r="D101" i="36" l="1"/>
  <c r="E101" i="36" s="1"/>
  <c r="F101" i="36"/>
  <c r="K40" i="36"/>
  <c r="L40" i="36" s="1"/>
  <c r="I41" i="36" s="1"/>
  <c r="J41" i="36" s="1"/>
  <c r="B102" i="36" l="1"/>
  <c r="A102" i="36" s="1"/>
  <c r="C102" i="36"/>
  <c r="K41" i="36"/>
  <c r="L41" i="36" s="1"/>
  <c r="I42" i="36" s="1"/>
  <c r="D102" i="36" l="1"/>
  <c r="E102" i="36" s="1"/>
  <c r="F102" i="36"/>
  <c r="J42" i="36"/>
  <c r="C103" i="36" l="1"/>
  <c r="B103" i="36"/>
  <c r="A103" i="36" s="1"/>
  <c r="K42" i="36"/>
  <c r="L42" i="36" s="1"/>
  <c r="I43" i="36" s="1"/>
  <c r="D103" i="36" l="1"/>
  <c r="E103" i="36" s="1"/>
  <c r="F103" i="36"/>
  <c r="J43" i="36"/>
  <c r="K43" i="36" s="1"/>
  <c r="L43" i="36" s="1"/>
  <c r="I44" i="36" s="1"/>
  <c r="C104" i="36" l="1"/>
  <c r="B104" i="36"/>
  <c r="A104" i="36" s="1"/>
  <c r="D104" i="36" s="1"/>
  <c r="J44" i="36"/>
  <c r="K44" i="36" s="1"/>
  <c r="L44" i="36" s="1"/>
  <c r="I45" i="36" s="1"/>
  <c r="F104" i="36" l="1"/>
  <c r="E104" i="36"/>
  <c r="J45" i="36"/>
  <c r="K45" i="36" s="1"/>
  <c r="L45" i="36" s="1"/>
  <c r="I46" i="36" s="1"/>
  <c r="C105" i="36" l="1"/>
  <c r="B105" i="36"/>
  <c r="A105" i="36" s="1"/>
  <c r="D105" i="36" s="1"/>
  <c r="J46" i="36"/>
  <c r="K46" i="36" s="1"/>
  <c r="E105" i="36" l="1"/>
  <c r="F105" i="36"/>
  <c r="L46" i="36"/>
  <c r="I47" i="36" s="1"/>
  <c r="B106" i="36" l="1"/>
  <c r="A106" i="36" s="1"/>
  <c r="C106" i="36"/>
  <c r="J47" i="36"/>
  <c r="K47" i="36" s="1"/>
  <c r="D106" i="36" l="1"/>
  <c r="E106" i="36"/>
  <c r="F106" i="36"/>
  <c r="L47" i="36"/>
  <c r="I48" i="36" s="1"/>
  <c r="J48" i="36" s="1"/>
  <c r="C107" i="36" l="1"/>
  <c r="B107" i="36"/>
  <c r="A107" i="36" s="1"/>
  <c r="D107" i="36" s="1"/>
  <c r="K48" i="36"/>
  <c r="L48" i="36" s="1"/>
  <c r="I49" i="36" s="1"/>
  <c r="J49" i="36" s="1"/>
  <c r="E107" i="36" l="1"/>
  <c r="F107" i="36"/>
  <c r="K49" i="36"/>
  <c r="C108" i="36" l="1"/>
  <c r="B108" i="36"/>
  <c r="A108" i="36" s="1"/>
  <c r="D108" i="36" s="1"/>
  <c r="L49" i="36"/>
  <c r="I50" i="36" s="1"/>
  <c r="J50" i="36" s="1"/>
  <c r="E108" i="36" l="1"/>
  <c r="F108" i="36"/>
  <c r="K50" i="36"/>
  <c r="B109" i="36" l="1"/>
  <c r="A109" i="36" s="1"/>
  <c r="C109" i="36"/>
  <c r="L50" i="36"/>
  <c r="I51" i="36" s="1"/>
  <c r="D109" i="36" l="1"/>
  <c r="E109" i="36" s="1"/>
  <c r="F109" i="36"/>
  <c r="J51" i="36"/>
  <c r="K51" i="36" s="1"/>
  <c r="B110" i="36" l="1"/>
  <c r="A110" i="36" s="1"/>
  <c r="C110" i="36"/>
  <c r="L51" i="36"/>
  <c r="I52" i="36" s="1"/>
  <c r="D110" i="36" l="1"/>
  <c r="F110" i="36"/>
  <c r="E110" i="36"/>
  <c r="J52" i="36"/>
  <c r="K52" i="36" s="1"/>
  <c r="L52" i="36" s="1"/>
  <c r="I53" i="36" s="1"/>
  <c r="B111" i="36" l="1"/>
  <c r="A111" i="36" s="1"/>
  <c r="C111" i="36"/>
  <c r="J53" i="36"/>
  <c r="K53" i="36" s="1"/>
  <c r="D111" i="36" l="1"/>
  <c r="E111" i="36" s="1"/>
  <c r="F111" i="36"/>
  <c r="L53" i="36"/>
  <c r="I54" i="36" s="1"/>
  <c r="B112" i="36" l="1"/>
  <c r="A112" i="36" s="1"/>
  <c r="C112" i="36"/>
  <c r="J54" i="36"/>
  <c r="K54" i="36" s="1"/>
  <c r="L54" i="36" s="1"/>
  <c r="I55" i="36" s="1"/>
  <c r="D112" i="36" l="1"/>
  <c r="E112" i="36"/>
  <c r="F112" i="36"/>
  <c r="J55" i="36"/>
  <c r="K55" i="36" s="1"/>
  <c r="L55" i="36" s="1"/>
  <c r="I56" i="36" s="1"/>
  <c r="J56" i="36" s="1"/>
  <c r="K56" i="36" s="1"/>
  <c r="B113" i="36" l="1"/>
  <c r="A113" i="36" s="1"/>
  <c r="C113" i="36"/>
  <c r="L56" i="36"/>
  <c r="I57" i="36" s="1"/>
  <c r="J57" i="36" s="1"/>
  <c r="D113" i="36" l="1"/>
  <c r="F113" i="36"/>
  <c r="E113" i="36"/>
  <c r="K57" i="36"/>
  <c r="L57" i="36" s="1"/>
  <c r="I58" i="36" s="1"/>
  <c r="J58" i="36" s="1"/>
  <c r="K58" i="36" s="1"/>
  <c r="B114" i="36" l="1"/>
  <c r="A114" i="36" s="1"/>
  <c r="C114" i="36"/>
  <c r="L58" i="36"/>
  <c r="I59" i="36" s="1"/>
  <c r="D114" i="36" l="1"/>
  <c r="E114" i="36"/>
  <c r="F114" i="36"/>
  <c r="J59" i="36"/>
  <c r="K59" i="36" s="1"/>
  <c r="C115" i="36" l="1"/>
  <c r="B115" i="36"/>
  <c r="A115" i="36" s="1"/>
  <c r="D115" i="36" s="1"/>
  <c r="L59" i="36"/>
  <c r="I60" i="36" s="1"/>
  <c r="F115" i="36" l="1"/>
  <c r="E115" i="36"/>
  <c r="J60" i="36"/>
  <c r="K60" i="36" s="1"/>
  <c r="B116" i="36" l="1"/>
  <c r="A116" i="36" s="1"/>
  <c r="C116" i="36"/>
  <c r="L60" i="36"/>
  <c r="I61" i="36" s="1"/>
  <c r="D116" i="36" l="1"/>
  <c r="F116" i="36"/>
  <c r="E116" i="36"/>
  <c r="J61" i="36"/>
  <c r="B117" i="36" l="1"/>
  <c r="A117" i="36" s="1"/>
  <c r="C117" i="36"/>
  <c r="K61" i="36"/>
  <c r="D117" i="36" l="1"/>
  <c r="E117" i="36" s="1"/>
  <c r="F117" i="36"/>
  <c r="L61" i="36"/>
  <c r="I62" i="36" s="1"/>
  <c r="J62" i="36" s="1"/>
  <c r="C118" i="36" l="1"/>
  <c r="B118" i="36"/>
  <c r="A118" i="36" s="1"/>
  <c r="D118" i="36" s="1"/>
  <c r="K62" i="36"/>
  <c r="E118" i="36" l="1"/>
  <c r="F118" i="36"/>
  <c r="L62" i="36"/>
  <c r="I63" i="36" s="1"/>
  <c r="B119" i="36" l="1"/>
  <c r="A119" i="36" s="1"/>
  <c r="C119" i="36"/>
  <c r="J63" i="36"/>
  <c r="K63" i="36" s="1"/>
  <c r="L63" i="36" s="1"/>
  <c r="I64" i="36" s="1"/>
  <c r="J64" i="36" s="1"/>
  <c r="K64" i="36" s="1"/>
  <c r="D119" i="36" l="1"/>
  <c r="F119" i="36"/>
  <c r="E119" i="36"/>
  <c r="L64" i="36"/>
  <c r="I65" i="36" s="1"/>
  <c r="C120" i="36" l="1"/>
  <c r="B120" i="36"/>
  <c r="A120" i="36" s="1"/>
  <c r="D120" i="36" s="1"/>
  <c r="J65" i="36"/>
  <c r="K65" i="36" s="1"/>
  <c r="F120" i="36" l="1"/>
  <c r="E120" i="36"/>
  <c r="L65" i="36"/>
  <c r="I66" i="36" s="1"/>
  <c r="B121" i="36" l="1"/>
  <c r="A121" i="36" s="1"/>
  <c r="C121" i="36"/>
  <c r="J66" i="36"/>
  <c r="K66" i="36" s="1"/>
  <c r="D121" i="36" l="1"/>
  <c r="F121" i="36"/>
  <c r="E121" i="36"/>
  <c r="L66" i="36"/>
  <c r="I67" i="36" s="1"/>
  <c r="J67" i="36" s="1"/>
  <c r="B122" i="36" l="1"/>
  <c r="A122" i="36" s="1"/>
  <c r="C122" i="36"/>
  <c r="K67" i="36"/>
  <c r="L67" i="36" s="1"/>
  <c r="I68" i="36" s="1"/>
  <c r="D122" i="36" l="1"/>
  <c r="E122" i="36"/>
  <c r="F122" i="36"/>
  <c r="J68" i="36"/>
  <c r="K68" i="36" s="1"/>
  <c r="C123" i="36" l="1"/>
  <c r="B123" i="36"/>
  <c r="A123" i="36" s="1"/>
  <c r="D123" i="36" s="1"/>
  <c r="L68" i="36"/>
  <c r="I69" i="36" s="1"/>
  <c r="J69" i="36" s="1"/>
  <c r="F123" i="36" l="1"/>
  <c r="E123" i="36"/>
  <c r="K69" i="36"/>
  <c r="L69" i="36" s="1"/>
  <c r="I70" i="36" s="1"/>
  <c r="C124" i="36" l="1"/>
  <c r="B124" i="36"/>
  <c r="A124" i="36" s="1"/>
  <c r="D124" i="36" s="1"/>
  <c r="J70" i="36"/>
  <c r="K70" i="36" s="1"/>
  <c r="E124" i="36" l="1"/>
  <c r="F124" i="36"/>
  <c r="L70" i="36"/>
  <c r="I71" i="36" s="1"/>
  <c r="J71" i="36" s="1"/>
  <c r="C125" i="36" l="1"/>
  <c r="B125" i="36"/>
  <c r="A125" i="36" s="1"/>
  <c r="D125" i="36" s="1"/>
  <c r="K71" i="36"/>
  <c r="L71" i="36" s="1"/>
  <c r="I72" i="36" s="1"/>
  <c r="E125" i="36" l="1"/>
  <c r="F125" i="36"/>
  <c r="J72" i="36"/>
  <c r="K72" i="36" s="1"/>
  <c r="B126" i="36" l="1"/>
  <c r="A126" i="36" s="1"/>
  <c r="C126" i="36"/>
  <c r="L72" i="36"/>
  <c r="I73" i="36" s="1"/>
  <c r="D126" i="36" l="1"/>
  <c r="F126" i="36"/>
  <c r="E126" i="36"/>
  <c r="J73" i="36"/>
  <c r="B127" i="36" l="1"/>
  <c r="A127" i="36" s="1"/>
  <c r="C127" i="36"/>
  <c r="K73" i="36"/>
  <c r="D127" i="36" l="1"/>
  <c r="E127" i="36"/>
  <c r="F127" i="36"/>
  <c r="L73" i="36"/>
  <c r="I74" i="36" s="1"/>
  <c r="J74" i="36" s="1"/>
  <c r="B128" i="36" l="1"/>
  <c r="A128" i="36" s="1"/>
  <c r="C128" i="36"/>
  <c r="K74" i="36"/>
  <c r="D128" i="36" l="1"/>
  <c r="E128" i="36"/>
  <c r="F128" i="36"/>
  <c r="L74" i="36"/>
  <c r="I75" i="36" s="1"/>
  <c r="C129" i="36" l="1"/>
  <c r="B129" i="36"/>
  <c r="A129" i="36" s="1"/>
  <c r="D129" i="36" s="1"/>
  <c r="J75" i="36"/>
  <c r="K75" i="36" s="1"/>
  <c r="L75" i="36" s="1"/>
  <c r="I76" i="36" s="1"/>
  <c r="E129" i="36" l="1"/>
  <c r="F129" i="36"/>
  <c r="J76" i="36"/>
  <c r="K76" i="36" s="1"/>
  <c r="L76" i="36" s="1"/>
  <c r="I77" i="36" s="1"/>
  <c r="J77" i="36" s="1"/>
  <c r="C130" i="36" l="1"/>
  <c r="B130" i="36"/>
  <c r="A130" i="36" s="1"/>
  <c r="D130" i="36" s="1"/>
  <c r="K77" i="36"/>
  <c r="L77" i="36" s="1"/>
  <c r="I78" i="36" s="1"/>
  <c r="E130" i="36" l="1"/>
  <c r="F130" i="36"/>
  <c r="J78" i="36"/>
  <c r="K78" i="36" s="1"/>
  <c r="L78" i="36" s="1"/>
  <c r="I79" i="36" s="1"/>
  <c r="C131" i="36" l="1"/>
  <c r="B131" i="36"/>
  <c r="A131" i="36" s="1"/>
  <c r="D131" i="36" s="1"/>
  <c r="J79" i="36"/>
  <c r="K79" i="36" s="1"/>
  <c r="L79" i="36" s="1"/>
  <c r="I80" i="36" s="1"/>
  <c r="E131" i="36" l="1"/>
  <c r="F131" i="36"/>
  <c r="J80" i="36"/>
  <c r="K80" i="36" s="1"/>
  <c r="C132" i="36" l="1"/>
  <c r="B132" i="36"/>
  <c r="A132" i="36" s="1"/>
  <c r="D132" i="36" s="1"/>
  <c r="L80" i="36"/>
  <c r="I81" i="36" s="1"/>
  <c r="F132" i="36" l="1"/>
  <c r="E132" i="36"/>
  <c r="J81" i="36"/>
  <c r="K81" i="36" s="1"/>
  <c r="C133" i="36" l="1"/>
  <c r="B133" i="36"/>
  <c r="A133" i="36" s="1"/>
  <c r="D133" i="36" s="1"/>
  <c r="L81" i="36"/>
  <c r="I82" i="36" s="1"/>
  <c r="F133" i="36" l="1"/>
  <c r="E133" i="36"/>
  <c r="J82" i="36"/>
  <c r="K82" i="36" s="1"/>
  <c r="C134" i="36" l="1"/>
  <c r="B134" i="36"/>
  <c r="A134" i="36" s="1"/>
  <c r="D134" i="36" s="1"/>
  <c r="L82" i="36"/>
  <c r="I83" i="36" s="1"/>
  <c r="E134" i="36" l="1"/>
  <c r="F134" i="36"/>
  <c r="J83" i="36"/>
  <c r="K83" i="36" s="1"/>
  <c r="C135" i="36" l="1"/>
  <c r="B135" i="36"/>
  <c r="A135" i="36" s="1"/>
  <c r="D135" i="36" s="1"/>
  <c r="L83" i="36"/>
  <c r="I84" i="36" s="1"/>
  <c r="F135" i="36" l="1"/>
  <c r="E135" i="36"/>
  <c r="J84" i="36"/>
  <c r="K84" i="36" s="1"/>
  <c r="C136" i="36" l="1"/>
  <c r="B136" i="36"/>
  <c r="A136" i="36" s="1"/>
  <c r="D136" i="36" s="1"/>
  <c r="L84" i="36"/>
  <c r="I85" i="36" s="1"/>
  <c r="F136" i="36" l="1"/>
  <c r="E136" i="36"/>
  <c r="J85" i="36"/>
  <c r="K85" i="36" s="1"/>
  <c r="C137" i="36" l="1"/>
  <c r="B137" i="36"/>
  <c r="A137" i="36" s="1"/>
  <c r="D137" i="36" s="1"/>
  <c r="L85" i="36"/>
  <c r="I86" i="36" s="1"/>
  <c r="E137" i="36" l="1"/>
  <c r="F137" i="36"/>
  <c r="J86" i="36"/>
  <c r="K86" i="36" s="1"/>
  <c r="C138" i="36" l="1"/>
  <c r="B138" i="36"/>
  <c r="A138" i="36" s="1"/>
  <c r="D138" i="36" s="1"/>
  <c r="L86" i="36"/>
  <c r="I87" i="36" s="1"/>
  <c r="E138" i="36" l="1"/>
  <c r="F138" i="36"/>
  <c r="J87" i="36"/>
  <c r="K87" i="36" s="1"/>
  <c r="C139" i="36" l="1"/>
  <c r="B139" i="36"/>
  <c r="A139" i="36" s="1"/>
  <c r="D139" i="36" s="1"/>
  <c r="L87" i="36"/>
  <c r="I88" i="36" s="1"/>
  <c r="E139" i="36" l="1"/>
  <c r="F139" i="36"/>
  <c r="J88" i="36"/>
  <c r="K88" i="36" s="1"/>
  <c r="C140" i="36" l="1"/>
  <c r="B140" i="36"/>
  <c r="A140" i="36" s="1"/>
  <c r="D140" i="36" s="1"/>
  <c r="L88" i="36"/>
  <c r="I89" i="36" s="1"/>
  <c r="J89" i="36" s="1"/>
  <c r="K89" i="36" s="1"/>
  <c r="F140" i="36" l="1"/>
  <c r="E140" i="36"/>
  <c r="L89" i="36"/>
  <c r="I90" i="36" s="1"/>
  <c r="B141" i="36" l="1"/>
  <c r="A141" i="36" s="1"/>
  <c r="C141" i="36"/>
  <c r="J90" i="36"/>
  <c r="K90" i="36" s="1"/>
  <c r="D141" i="36" l="1"/>
  <c r="F141" i="36"/>
  <c r="E141" i="36"/>
  <c r="L90" i="36"/>
  <c r="I91" i="36" s="1"/>
  <c r="B142" i="36" l="1"/>
  <c r="A142" i="36" s="1"/>
  <c r="C142" i="36"/>
  <c r="J91" i="36"/>
  <c r="K91" i="36" s="1"/>
  <c r="D142" i="36" l="1"/>
  <c r="E142" i="36"/>
  <c r="F142" i="36"/>
  <c r="L91" i="36"/>
  <c r="I92" i="36" s="1"/>
  <c r="J92" i="36" s="1"/>
  <c r="B143" i="36" l="1"/>
  <c r="A143" i="36" s="1"/>
  <c r="C143" i="36"/>
  <c r="K92" i="36"/>
  <c r="L92" i="36" s="1"/>
  <c r="I93" i="36" s="1"/>
  <c r="D143" i="36" l="1"/>
  <c r="E143" i="36"/>
  <c r="F143" i="36"/>
  <c r="J93" i="36"/>
  <c r="K93" i="36" s="1"/>
  <c r="C144" i="36" l="1"/>
  <c r="B144" i="36"/>
  <c r="A144" i="36" s="1"/>
  <c r="D144" i="36" s="1"/>
  <c r="L93" i="36"/>
  <c r="I94" i="36" s="1"/>
  <c r="E144" i="36" l="1"/>
  <c r="F144" i="36"/>
  <c r="J94" i="36"/>
  <c r="K94" i="36" s="1"/>
  <c r="C145" i="36" l="1"/>
  <c r="B145" i="36"/>
  <c r="A145" i="36" s="1"/>
  <c r="D145" i="36" s="1"/>
  <c r="L94" i="36"/>
  <c r="I95" i="36" s="1"/>
  <c r="F145" i="36" l="1"/>
  <c r="E145" i="36"/>
  <c r="J95" i="36"/>
  <c r="K95" i="36" s="1"/>
  <c r="L95" i="36" s="1"/>
  <c r="I96" i="36" s="1"/>
  <c r="C146" i="36" l="1"/>
  <c r="B146" i="36"/>
  <c r="A146" i="36" s="1"/>
  <c r="D146" i="36" s="1"/>
  <c r="J96" i="36"/>
  <c r="E146" i="36" l="1"/>
  <c r="F146" i="36"/>
  <c r="B147" i="36" l="1"/>
  <c r="A147" i="36" s="1"/>
  <c r="C147" i="36"/>
  <c r="D147" i="36" l="1"/>
  <c r="F147" i="36"/>
  <c r="E147" i="36"/>
  <c r="C148" i="36" l="1"/>
  <c r="B148" i="36"/>
  <c r="A148" i="36" s="1"/>
  <c r="D148" i="36" s="1"/>
  <c r="E148" i="36" l="1"/>
  <c r="F148" i="36"/>
  <c r="B149" i="36" l="1"/>
  <c r="A149" i="36" s="1"/>
  <c r="C149" i="36"/>
  <c r="D149" i="36" l="1"/>
  <c r="F149" i="36"/>
  <c r="E149" i="36"/>
  <c r="C150" i="36" l="1"/>
  <c r="B150" i="36"/>
  <c r="A150" i="36" s="1"/>
  <c r="D150" i="36" s="1"/>
  <c r="F150" i="36" l="1"/>
  <c r="E150" i="36"/>
  <c r="B151" i="36" l="1"/>
  <c r="A151" i="36" s="1"/>
  <c r="C151" i="36"/>
  <c r="D151" i="36" l="1"/>
  <c r="F151" i="36"/>
  <c r="E151" i="36"/>
  <c r="C152" i="36" l="1"/>
  <c r="B152" i="36"/>
  <c r="A152" i="36" s="1"/>
  <c r="D152" i="36" s="1"/>
  <c r="F152" i="36" l="1"/>
  <c r="E152" i="36"/>
  <c r="C153" i="36" l="1"/>
  <c r="B153" i="36"/>
  <c r="A153" i="36" s="1"/>
  <c r="D153" i="36" s="1"/>
  <c r="F153" i="36" l="1"/>
  <c r="E153" i="36"/>
  <c r="C154" i="36" l="1"/>
  <c r="B154" i="36"/>
  <c r="A154" i="36" s="1"/>
  <c r="D154" i="36" s="1"/>
  <c r="F154" i="36" l="1"/>
  <c r="E154" i="36"/>
  <c r="C155" i="36" l="1"/>
  <c r="B155" i="36"/>
  <c r="A155" i="36" s="1"/>
  <c r="D155" i="36" s="1"/>
  <c r="E155" i="36" l="1"/>
  <c r="F155" i="36"/>
  <c r="C156" i="36" l="1"/>
  <c r="B156" i="36"/>
  <c r="A156" i="36" s="1"/>
  <c r="D156" i="36" s="1"/>
  <c r="E156" i="36" l="1"/>
  <c r="F156" i="36"/>
  <c r="B157" i="36" l="1"/>
  <c r="A157" i="36" s="1"/>
  <c r="C157" i="36"/>
  <c r="D157" i="36" l="1"/>
  <c r="E157" i="36" s="1"/>
  <c r="F157" i="36"/>
  <c r="C158" i="36" l="1"/>
  <c r="B158" i="36"/>
  <c r="A158" i="36" s="1"/>
  <c r="D158" i="36" s="1"/>
  <c r="F158" i="36" l="1"/>
  <c r="E158" i="36"/>
  <c r="C159" i="36" l="1"/>
  <c r="B159" i="36"/>
  <c r="A159" i="36" s="1"/>
  <c r="D159" i="36" s="1"/>
  <c r="F159" i="36" l="1"/>
  <c r="E159" i="36"/>
  <c r="B160" i="36" l="1"/>
  <c r="A160" i="36" s="1"/>
  <c r="C160" i="36"/>
  <c r="D160" i="36" l="1"/>
  <c r="F160" i="36"/>
  <c r="E160" i="36"/>
  <c r="C161" i="36" l="1"/>
  <c r="B161" i="36"/>
  <c r="A161" i="36" s="1"/>
  <c r="D161" i="36" s="1"/>
  <c r="E161" i="36" l="1"/>
  <c r="F161" i="36"/>
  <c r="C162" i="36" l="1"/>
  <c r="B162" i="36"/>
  <c r="A162" i="36" s="1"/>
  <c r="D162" i="36" s="1"/>
  <c r="E162" i="36" l="1"/>
  <c r="F162" i="36"/>
  <c r="C163" i="36" l="1"/>
  <c r="B163" i="36"/>
  <c r="A163" i="36" s="1"/>
  <c r="D163" i="36" s="1"/>
  <c r="F163" i="36" l="1"/>
  <c r="E163" i="36"/>
  <c r="C164" i="36" l="1"/>
  <c r="B164" i="36"/>
  <c r="A164" i="36" s="1"/>
  <c r="D164" i="36" s="1"/>
  <c r="E164" i="36" l="1"/>
  <c r="F164" i="36"/>
  <c r="C165" i="36" l="1"/>
  <c r="B165" i="36"/>
  <c r="A165" i="36" s="1"/>
  <c r="D165" i="36" s="1"/>
  <c r="F165" i="36" l="1"/>
  <c r="E165" i="36"/>
  <c r="C166" i="36" l="1"/>
  <c r="B166" i="36"/>
  <c r="A166" i="36" s="1"/>
  <c r="D166" i="36" s="1"/>
  <c r="F166" i="36" l="1"/>
  <c r="E166" i="36"/>
  <c r="C167" i="36" l="1"/>
  <c r="B167" i="36"/>
  <c r="A167" i="36" s="1"/>
  <c r="D167" i="36" s="1"/>
  <c r="E167" i="36" l="1"/>
  <c r="F167" i="36"/>
  <c r="B168" i="36" l="1"/>
  <c r="A168" i="36" s="1"/>
  <c r="C168" i="36"/>
  <c r="D168" i="36" l="1"/>
  <c r="E168" i="36"/>
  <c r="F168" i="36"/>
  <c r="C169" i="36" l="1"/>
  <c r="B169" i="36"/>
  <c r="A169" i="36" s="1"/>
  <c r="D169" i="36" s="1"/>
  <c r="F169" i="36" l="1"/>
  <c r="E169" i="36"/>
  <c r="B170" i="36" l="1"/>
  <c r="A170" i="36" s="1"/>
  <c r="C170" i="36"/>
  <c r="D170" i="36" l="1"/>
  <c r="E170" i="36" s="1"/>
  <c r="F170" i="36"/>
  <c r="C171" i="36" l="1"/>
  <c r="B171" i="36"/>
  <c r="A171" i="36" s="1"/>
  <c r="D171" i="36" s="1"/>
  <c r="F171" i="36" l="1"/>
  <c r="E171" i="36"/>
  <c r="C172" i="36" l="1"/>
  <c r="B172" i="36"/>
  <c r="A172" i="36" s="1"/>
  <c r="D172" i="36" s="1"/>
  <c r="F172" i="36" l="1"/>
  <c r="E172" i="36"/>
  <c r="B173" i="36" l="1"/>
  <c r="A173" i="36" s="1"/>
  <c r="C173" i="36"/>
  <c r="D173" i="36" l="1"/>
  <c r="E173" i="36" s="1"/>
  <c r="F173" i="36"/>
  <c r="B174" i="36" l="1"/>
  <c r="A174" i="36" s="1"/>
  <c r="C174" i="36"/>
  <c r="D174" i="36" l="1"/>
  <c r="E174" i="36" s="1"/>
  <c r="F174" i="36"/>
  <c r="B175" i="36" l="1"/>
  <c r="A175" i="36" s="1"/>
  <c r="C175" i="36"/>
  <c r="D175" i="36" l="1"/>
  <c r="E175" i="36"/>
  <c r="F175" i="36"/>
  <c r="C176" i="36" l="1"/>
  <c r="B176" i="36"/>
  <c r="A176" i="36" s="1"/>
  <c r="D176" i="36" s="1"/>
  <c r="E176" i="36" l="1"/>
  <c r="F176" i="36"/>
  <c r="B177" i="36" l="1"/>
  <c r="A177" i="36" s="1"/>
  <c r="C177" i="36"/>
  <c r="D177" i="36" l="1"/>
  <c r="F177" i="36"/>
  <c r="E177" i="36"/>
  <c r="C178" i="36" l="1"/>
  <c r="B178" i="36"/>
  <c r="A178" i="36" s="1"/>
  <c r="D178" i="36" s="1"/>
  <c r="E178" i="36" l="1"/>
  <c r="F178" i="36"/>
  <c r="B179" i="36" l="1"/>
  <c r="A179" i="36" s="1"/>
  <c r="C179" i="36"/>
  <c r="D179" i="36" l="1"/>
  <c r="F179" i="36"/>
  <c r="E179" i="36"/>
  <c r="C180" i="36" l="1"/>
  <c r="B180" i="36"/>
  <c r="A180" i="36" s="1"/>
  <c r="F180" i="36" l="1"/>
  <c r="H13" i="35" l="1"/>
  <c r="H14" i="35"/>
  <c r="H15" i="35"/>
  <c r="H16" i="35"/>
  <c r="H17" i="35"/>
  <c r="H18" i="35"/>
  <c r="H19" i="35"/>
  <c r="AE50" i="34" l="1"/>
  <c r="P26" i="34"/>
  <c r="AE46" i="34"/>
  <c r="L26" i="34"/>
  <c r="I13" i="35"/>
  <c r="J37" i="34" s="1"/>
  <c r="I14" i="35"/>
  <c r="K37" i="34" s="1"/>
  <c r="I15" i="35"/>
  <c r="L37" i="34" s="1"/>
  <c r="I16" i="35"/>
  <c r="M37" i="34" s="1"/>
  <c r="I17" i="35"/>
  <c r="N37" i="34" s="1"/>
  <c r="I18" i="35"/>
  <c r="O37" i="34" s="1"/>
  <c r="I19" i="35"/>
  <c r="P37" i="34" s="1"/>
  <c r="AE49" i="34"/>
  <c r="O26" i="34"/>
  <c r="K26" i="34"/>
  <c r="AE45" i="34"/>
  <c r="AE48" i="34"/>
  <c r="N26" i="34"/>
  <c r="AE44" i="34"/>
  <c r="J26" i="34"/>
  <c r="J27" i="34" s="1"/>
  <c r="M26" i="34"/>
  <c r="AE47" i="34"/>
  <c r="J14" i="35" l="1"/>
  <c r="K43" i="34" s="1"/>
  <c r="K44" i="34" s="1"/>
  <c r="J16" i="35"/>
  <c r="M43" i="34" s="1"/>
  <c r="M44" i="34" s="1"/>
  <c r="J17" i="35"/>
  <c r="K17" i="35" s="1"/>
  <c r="J13" i="34"/>
  <c r="K23" i="34"/>
  <c r="K27" i="34" s="1"/>
  <c r="J15" i="35"/>
  <c r="J19" i="35"/>
  <c r="J13" i="35"/>
  <c r="J18" i="35"/>
  <c r="K14" i="35" l="1"/>
  <c r="K16" i="35"/>
  <c r="N43" i="34"/>
  <c r="N44" i="34" s="1"/>
  <c r="K13" i="35"/>
  <c r="K96" i="36" s="1"/>
  <c r="L96" i="36" s="1"/>
  <c r="I97" i="36" s="1"/>
  <c r="J43" i="34"/>
  <c r="J44" i="34" s="1"/>
  <c r="P43" i="34"/>
  <c r="P44" i="34" s="1"/>
  <c r="K19" i="35"/>
  <c r="K15" i="35"/>
  <c r="L43" i="34"/>
  <c r="L44" i="34" s="1"/>
  <c r="K18" i="35"/>
  <c r="O43" i="34"/>
  <c r="O44" i="34" s="1"/>
  <c r="L23" i="34"/>
  <c r="L27" i="34" s="1"/>
  <c r="K13" i="34"/>
  <c r="J97" i="36" l="1"/>
  <c r="K97" i="36" s="1"/>
  <c r="L97" i="36" s="1"/>
  <c r="I98" i="36" s="1"/>
  <c r="L13" i="34"/>
  <c r="M23" i="34"/>
  <c r="M27" i="34" s="1"/>
  <c r="J98" i="36" l="1"/>
  <c r="K98" i="36" s="1"/>
  <c r="M13" i="34"/>
  <c r="N23" i="34"/>
  <c r="N27" i="34" s="1"/>
  <c r="N13" i="34" l="1"/>
  <c r="O23" i="34"/>
  <c r="O27" i="34" s="1"/>
  <c r="L98" i="36"/>
  <c r="I99" i="36" s="1"/>
  <c r="J99" i="36" l="1"/>
  <c r="K99" i="36" s="1"/>
  <c r="P23" i="34"/>
  <c r="P27" i="34" s="1"/>
  <c r="O13" i="34"/>
  <c r="P13" i="34" l="1"/>
  <c r="Q23" i="34"/>
  <c r="L99" i="36"/>
  <c r="I100" i="36" s="1"/>
  <c r="J100" i="36" l="1"/>
  <c r="K100" i="36" s="1"/>
  <c r="L100" i="36" s="1"/>
  <c r="I101" i="36" s="1"/>
  <c r="J101" i="36" l="1"/>
  <c r="K101" i="36" s="1"/>
  <c r="L101" i="36" s="1"/>
  <c r="I102" i="36" s="1"/>
  <c r="J102" i="36" l="1"/>
  <c r="K102" i="36" s="1"/>
  <c r="L102" i="36" s="1"/>
  <c r="I103" i="36" s="1"/>
  <c r="J103" i="36" l="1"/>
  <c r="K103" i="36" s="1"/>
  <c r="L103" i="36" l="1"/>
  <c r="I104" i="36" s="1"/>
  <c r="J104" i="36" l="1"/>
  <c r="K104" i="36" s="1"/>
  <c r="L104" i="36" s="1"/>
  <c r="I105" i="36" s="1"/>
  <c r="J105" i="36" l="1"/>
  <c r="K105" i="36" s="1"/>
  <c r="L105" i="36" l="1"/>
  <c r="I106" i="36" s="1"/>
  <c r="J106" i="36" l="1"/>
  <c r="K106" i="36" s="1"/>
  <c r="L106" i="36" s="1"/>
  <c r="I107" i="36" s="1"/>
  <c r="J107" i="36" l="1"/>
  <c r="K107" i="36" s="1"/>
  <c r="L107" i="36" l="1"/>
  <c r="I108" i="36" s="1"/>
  <c r="J108" i="36" l="1"/>
  <c r="K108" i="36" s="1"/>
  <c r="L108" i="36" l="1"/>
  <c r="I109" i="36" s="1"/>
  <c r="J109" i="36" l="1"/>
  <c r="K109" i="36" s="1"/>
  <c r="L109" i="36" s="1"/>
  <c r="I110" i="36" s="1"/>
  <c r="J110" i="36" l="1"/>
  <c r="K110" i="36" s="1"/>
  <c r="L110" i="36" s="1"/>
  <c r="I111" i="36" s="1"/>
  <c r="J111" i="36" l="1"/>
  <c r="K111" i="36" s="1"/>
  <c r="L111" i="36" s="1"/>
  <c r="I112" i="36" s="1"/>
  <c r="J112" i="36" s="1"/>
  <c r="K112" i="36" s="1"/>
  <c r="L112" i="36" s="1"/>
  <c r="I113" i="36" s="1"/>
  <c r="J113" i="36" l="1"/>
  <c r="K113" i="36" s="1"/>
  <c r="L113" i="36" l="1"/>
  <c r="I114" i="36" s="1"/>
  <c r="J114" i="36" l="1"/>
  <c r="K114" i="36" s="1"/>
  <c r="L114" i="36" s="1"/>
  <c r="I115" i="36" s="1"/>
  <c r="J115" i="36" l="1"/>
  <c r="K115" i="36" s="1"/>
  <c r="L115" i="36" s="1"/>
  <c r="I116" i="36" s="1"/>
  <c r="J116" i="36" l="1"/>
  <c r="K116" i="36" s="1"/>
  <c r="L116" i="36" l="1"/>
  <c r="I117" i="36" s="1"/>
  <c r="J117" i="36" l="1"/>
  <c r="K117" i="36" s="1"/>
  <c r="L117" i="36" l="1"/>
  <c r="I118" i="36" s="1"/>
  <c r="J118" i="36" s="1"/>
  <c r="K118" i="36" s="1"/>
  <c r="L118" i="36" s="1"/>
  <c r="I119" i="36" s="1"/>
  <c r="J119" i="36" s="1"/>
  <c r="K119" i="36" s="1"/>
  <c r="L119" i="36" s="1"/>
  <c r="I120" i="36" s="1"/>
  <c r="J120" i="36" l="1"/>
  <c r="K120" i="36" s="1"/>
  <c r="L120" i="36" l="1"/>
  <c r="I121" i="36" s="1"/>
  <c r="J121" i="36" s="1"/>
  <c r="K121" i="36" s="1"/>
  <c r="L121" i="36" l="1"/>
  <c r="I122" i="36" s="1"/>
  <c r="J122" i="36" s="1"/>
  <c r="K122" i="36" s="1"/>
  <c r="L122" i="36" s="1"/>
  <c r="I123" i="36" s="1"/>
  <c r="J123" i="36" l="1"/>
  <c r="K123" i="36" s="1"/>
  <c r="L123" i="36" s="1"/>
  <c r="I124" i="36" s="1"/>
  <c r="J124" i="36" l="1"/>
  <c r="K124" i="36" s="1"/>
  <c r="L124" i="36" s="1"/>
  <c r="I125" i="36" s="1"/>
  <c r="J125" i="36" l="1"/>
  <c r="K125" i="36" s="1"/>
  <c r="L125" i="36" l="1"/>
  <c r="I126" i="36" s="1"/>
  <c r="J126" i="36" s="1"/>
  <c r="K126" i="36" s="1"/>
  <c r="L126" i="36" s="1"/>
  <c r="I127" i="36" s="1"/>
  <c r="J127" i="36" l="1"/>
  <c r="K127" i="36" s="1"/>
  <c r="L127" i="36" s="1"/>
  <c r="I128" i="36" s="1"/>
  <c r="J128" i="36" s="1"/>
  <c r="K128" i="36" s="1"/>
  <c r="L128" i="36" s="1"/>
  <c r="I129" i="36" s="1"/>
  <c r="J129" i="36" l="1"/>
  <c r="K129" i="36" s="1"/>
  <c r="L129" i="36" l="1"/>
  <c r="I130" i="36" s="1"/>
  <c r="J130" i="36" s="1"/>
  <c r="K130" i="36" s="1"/>
  <c r="L130" i="36" s="1"/>
  <c r="I131" i="36" s="1"/>
  <c r="J131" i="36" s="1"/>
  <c r="K131" i="36" s="1"/>
  <c r="L131" i="36" s="1"/>
  <c r="I132" i="36" s="1"/>
  <c r="J132" i="36" l="1"/>
  <c r="K132" i="36" s="1"/>
  <c r="L132" i="36" s="1"/>
  <c r="I133" i="36" s="1"/>
  <c r="J133" i="36" l="1"/>
  <c r="K133" i="36" s="1"/>
  <c r="L133" i="36" s="1"/>
  <c r="I134" i="36" s="1"/>
  <c r="J134" i="36" l="1"/>
  <c r="K134" i="36" s="1"/>
  <c r="L134" i="36" s="1"/>
  <c r="I135" i="36" s="1"/>
  <c r="J135" i="36" l="1"/>
  <c r="K135" i="36" s="1"/>
  <c r="L135" i="36" s="1"/>
  <c r="I136" i="36" s="1"/>
  <c r="J136" i="36" s="1"/>
  <c r="K136" i="36" s="1"/>
  <c r="L136" i="36" s="1"/>
  <c r="I137" i="36" s="1"/>
  <c r="J137" i="36" l="1"/>
  <c r="K137" i="36" s="1"/>
  <c r="L137" i="36" s="1"/>
  <c r="I138" i="36" s="1"/>
  <c r="E26" i="39"/>
  <c r="F23" i="39" s="1"/>
  <c r="F24" i="39" s="1"/>
  <c r="F25" i="39" s="1"/>
  <c r="J138" i="36" l="1"/>
  <c r="K138" i="36" s="1"/>
  <c r="F26" i="39"/>
  <c r="G23" i="39" s="1"/>
  <c r="G21" i="39"/>
  <c r="L138" i="36" l="1"/>
  <c r="I139" i="36" s="1"/>
  <c r="G24" i="39"/>
  <c r="G25" i="39" s="1"/>
  <c r="J139" i="36" l="1"/>
  <c r="K139" i="36" s="1"/>
  <c r="L139" i="36" s="1"/>
  <c r="I140" i="36" s="1"/>
  <c r="G26" i="39"/>
  <c r="H23" i="39" s="1"/>
  <c r="H21" i="39"/>
  <c r="J140" i="36" l="1"/>
  <c r="K140" i="36" s="1"/>
  <c r="L140" i="36" s="1"/>
  <c r="I141" i="36" s="1"/>
  <c r="H24" i="39"/>
  <c r="H25" i="39" s="1"/>
  <c r="J141" i="36" l="1"/>
  <c r="K141" i="36" s="1"/>
  <c r="L141" i="36" s="1"/>
  <c r="I142" i="36" s="1"/>
  <c r="J142" i="36" s="1"/>
  <c r="K142" i="36" s="1"/>
  <c r="L142" i="36" s="1"/>
  <c r="I143" i="36" s="1"/>
  <c r="H26" i="39"/>
  <c r="I23" i="39" s="1"/>
  <c r="I21" i="39"/>
  <c r="J143" i="36" l="1"/>
  <c r="K143" i="36" s="1"/>
  <c r="I24" i="39"/>
  <c r="I25" i="39" s="1"/>
  <c r="L143" i="36" l="1"/>
  <c r="I144" i="36" s="1"/>
  <c r="J21" i="39"/>
  <c r="I26" i="39"/>
  <c r="J23" i="39" s="1"/>
  <c r="J144" i="36" l="1"/>
  <c r="K144" i="36" s="1"/>
  <c r="J24" i="39"/>
  <c r="J25" i="39" s="1"/>
  <c r="L144" i="36" l="1"/>
  <c r="I145" i="36" s="1"/>
  <c r="J26" i="39"/>
  <c r="K23" i="39" s="1"/>
  <c r="K21" i="39"/>
  <c r="J145" i="36" l="1"/>
  <c r="K145" i="36" s="1"/>
  <c r="L145" i="36" s="1"/>
  <c r="I146" i="36" s="1"/>
  <c r="K24" i="39"/>
  <c r="K25" i="39" s="1"/>
  <c r="J146" i="36" l="1"/>
  <c r="K146" i="36" s="1"/>
  <c r="L146" i="36" s="1"/>
  <c r="I147" i="36" s="1"/>
  <c r="K26" i="39"/>
  <c r="L23" i="39" s="1"/>
  <c r="L21" i="39"/>
  <c r="J147" i="36" l="1"/>
  <c r="K147" i="36" s="1"/>
  <c r="L147" i="36" s="1"/>
  <c r="I148" i="36" s="1"/>
  <c r="L24" i="39"/>
  <c r="L25" i="39" s="1"/>
  <c r="J148" i="36" l="1"/>
  <c r="K148" i="36" s="1"/>
  <c r="L148" i="36" s="1"/>
  <c r="I149" i="36" s="1"/>
  <c r="L26" i="39"/>
  <c r="M23" i="39" s="1"/>
  <c r="M21" i="39"/>
  <c r="J149" i="36" l="1"/>
  <c r="K149" i="36" s="1"/>
  <c r="L149" i="36" s="1"/>
  <c r="I150" i="36" s="1"/>
  <c r="M24" i="39"/>
  <c r="M25" i="39" s="1"/>
  <c r="J150" i="36" l="1"/>
  <c r="K150" i="36" s="1"/>
  <c r="N21" i="39"/>
  <c r="M26" i="39"/>
  <c r="N23" i="39" s="1"/>
  <c r="L150" i="36" l="1"/>
  <c r="I151" i="36" s="1"/>
  <c r="N24" i="39"/>
  <c r="N25" i="39" s="1"/>
  <c r="J151" i="36" l="1"/>
  <c r="K151" i="36" s="1"/>
  <c r="L151" i="36" s="1"/>
  <c r="I152" i="36" s="1"/>
  <c r="O21" i="39"/>
  <c r="N26" i="39"/>
  <c r="O23" i="39" s="1"/>
  <c r="J152" i="36" l="1"/>
  <c r="K152" i="36" s="1"/>
  <c r="L152" i="36" s="1"/>
  <c r="I153" i="36" s="1"/>
  <c r="O24" i="39"/>
  <c r="O25" i="39" s="1"/>
  <c r="J153" i="36" l="1"/>
  <c r="K153" i="36" s="1"/>
  <c r="L153" i="36" s="1"/>
  <c r="I154" i="36" s="1"/>
  <c r="O26" i="39"/>
  <c r="P23" i="39" s="1"/>
  <c r="P21" i="39"/>
  <c r="J154" i="36" l="1"/>
  <c r="K154" i="36" s="1"/>
  <c r="P24" i="39"/>
  <c r="P25" i="39" s="1"/>
  <c r="L154" i="36" l="1"/>
  <c r="I155" i="36" s="1"/>
  <c r="N8" i="35"/>
  <c r="N9" i="35"/>
  <c r="N10" i="35"/>
  <c r="N11" i="35"/>
  <c r="N12" i="35"/>
  <c r="N13" i="35"/>
  <c r="N14" i="35"/>
  <c r="N15" i="35"/>
  <c r="N16" i="35"/>
  <c r="N7" i="35"/>
  <c r="P26" i="39"/>
  <c r="Q23" i="39" s="1"/>
  <c r="Q21" i="39"/>
  <c r="J155" i="36" l="1"/>
  <c r="M38" i="34"/>
  <c r="M32" i="34"/>
  <c r="J32" i="34"/>
  <c r="J38" i="34"/>
  <c r="K32" i="34"/>
  <c r="K38" i="34"/>
  <c r="L32" i="34"/>
  <c r="L38" i="34"/>
  <c r="M8" i="35"/>
  <c r="M9" i="35"/>
  <c r="M10" i="35"/>
  <c r="M11" i="35"/>
  <c r="M12" i="35"/>
  <c r="M13" i="35"/>
  <c r="M14" i="35"/>
  <c r="M15" i="35"/>
  <c r="M16" i="35"/>
  <c r="M7" i="35"/>
  <c r="H32" i="34"/>
  <c r="H38" i="34"/>
  <c r="I32" i="34"/>
  <c r="I38" i="34"/>
  <c r="F38" i="34"/>
  <c r="F32" i="34"/>
  <c r="D32" i="34"/>
  <c r="D38" i="34"/>
  <c r="E32" i="34"/>
  <c r="E38" i="34"/>
  <c r="G32" i="34"/>
  <c r="G38" i="34"/>
  <c r="Q24" i="39"/>
  <c r="Q25" i="39" s="1"/>
  <c r="K155" i="36" l="1"/>
  <c r="M17" i="35" s="1"/>
  <c r="N45" i="34" s="1"/>
  <c r="N46" i="34" s="1"/>
  <c r="N47" i="34" s="1"/>
  <c r="N50" i="34" s="1"/>
  <c r="N17" i="35"/>
  <c r="K39" i="34"/>
  <c r="L37" i="30"/>
  <c r="L38" i="30" s="1"/>
  <c r="L62" i="30" s="1"/>
  <c r="J39" i="34"/>
  <c r="K37" i="30"/>
  <c r="K38" i="30" s="1"/>
  <c r="K62" i="30" s="1"/>
  <c r="M39" i="34"/>
  <c r="N37" i="30"/>
  <c r="N38" i="30" s="1"/>
  <c r="N62" i="30" s="1"/>
  <c r="M37" i="30"/>
  <c r="M38" i="30" s="1"/>
  <c r="M62" i="30" s="1"/>
  <c r="L39" i="34"/>
  <c r="M31" i="34"/>
  <c r="M45" i="34"/>
  <c r="M46" i="34" s="1"/>
  <c r="M47" i="34" s="1"/>
  <c r="M50" i="34" s="1"/>
  <c r="O16" i="35"/>
  <c r="K45" i="34"/>
  <c r="K46" i="34" s="1"/>
  <c r="K47" i="34" s="1"/>
  <c r="K50" i="34" s="1"/>
  <c r="K31" i="34"/>
  <c r="O14" i="35"/>
  <c r="L45" i="34"/>
  <c r="L46" i="34" s="1"/>
  <c r="L47" i="34" s="1"/>
  <c r="L50" i="34" s="1"/>
  <c r="O15" i="35"/>
  <c r="L31" i="34"/>
  <c r="J31" i="34"/>
  <c r="J45" i="34"/>
  <c r="J46" i="34" s="1"/>
  <c r="J47" i="34" s="1"/>
  <c r="J50" i="34" s="1"/>
  <c r="O13" i="35"/>
  <c r="F37" i="30"/>
  <c r="F38" i="30" s="1"/>
  <c r="F62" i="30" s="1"/>
  <c r="E39" i="34"/>
  <c r="H31" i="34"/>
  <c r="O11" i="35"/>
  <c r="H45" i="34"/>
  <c r="H46" i="34" s="1"/>
  <c r="I45" i="34"/>
  <c r="I46" i="34" s="1"/>
  <c r="I31" i="34"/>
  <c r="O12" i="35"/>
  <c r="O8" i="35"/>
  <c r="E31" i="34"/>
  <c r="E45" i="34"/>
  <c r="E46" i="34" s="1"/>
  <c r="G31" i="34"/>
  <c r="G45" i="34"/>
  <c r="G46" i="34" s="1"/>
  <c r="O10" i="35"/>
  <c r="O7" i="35"/>
  <c r="D45" i="34"/>
  <c r="D31" i="34"/>
  <c r="D33" i="34" s="1"/>
  <c r="H39" i="34"/>
  <c r="I37" i="30"/>
  <c r="I38" i="30" s="1"/>
  <c r="I62" i="30" s="1"/>
  <c r="G39" i="34"/>
  <c r="H37" i="30"/>
  <c r="H38" i="30" s="1"/>
  <c r="H62" i="30" s="1"/>
  <c r="D39" i="34"/>
  <c r="E37" i="30"/>
  <c r="E38" i="30" s="1"/>
  <c r="E62" i="30" s="1"/>
  <c r="F39" i="34"/>
  <c r="G37" i="30"/>
  <c r="G38" i="30" s="1"/>
  <c r="G62" i="30" s="1"/>
  <c r="F31" i="34"/>
  <c r="O9" i="35"/>
  <c r="F45" i="34"/>
  <c r="F46" i="34" s="1"/>
  <c r="J37" i="30"/>
  <c r="J38" i="30" s="1"/>
  <c r="J62" i="30" s="1"/>
  <c r="I39" i="34"/>
  <c r="R21" i="39"/>
  <c r="Q26" i="39"/>
  <c r="R23" i="39" s="1"/>
  <c r="N31" i="34" l="1"/>
  <c r="O17" i="35"/>
  <c r="L155" i="36"/>
  <c r="I156" i="36" s="1"/>
  <c r="J156" i="36" s="1"/>
  <c r="K156" i="36" s="1"/>
  <c r="N38" i="34"/>
  <c r="N32" i="34"/>
  <c r="G47" i="34"/>
  <c r="G50" i="34" s="1"/>
  <c r="G48" i="34"/>
  <c r="G18" i="34" s="1"/>
  <c r="H47" i="34"/>
  <c r="H50" i="34" s="1"/>
  <c r="H48" i="34"/>
  <c r="H18" i="34" s="1"/>
  <c r="E47" i="34"/>
  <c r="E50" i="34" s="1"/>
  <c r="E48" i="34"/>
  <c r="E18" i="34" s="1"/>
  <c r="E30" i="34"/>
  <c r="E33" i="34" s="1"/>
  <c r="D14" i="34"/>
  <c r="D15" i="34" s="1"/>
  <c r="F40" i="34"/>
  <c r="F17" i="34" s="1"/>
  <c r="G40" i="34"/>
  <c r="G17" i="34" s="1"/>
  <c r="K40" i="34"/>
  <c r="K17" i="34" s="1"/>
  <c r="L40" i="34"/>
  <c r="L17" i="34" s="1"/>
  <c r="H40" i="34"/>
  <c r="H17" i="34" s="1"/>
  <c r="I40" i="34"/>
  <c r="I17" i="34" s="1"/>
  <c r="E40" i="34"/>
  <c r="E17" i="34" s="1"/>
  <c r="D40" i="34"/>
  <c r="D17" i="34" s="1"/>
  <c r="M40" i="34"/>
  <c r="M17" i="34" s="1"/>
  <c r="J40" i="34"/>
  <c r="J17" i="34" s="1"/>
  <c r="I47" i="34"/>
  <c r="I50" i="34" s="1"/>
  <c r="F47" i="34"/>
  <c r="F50" i="34" s="1"/>
  <c r="F48" i="34"/>
  <c r="F18" i="34" s="1"/>
  <c r="D46" i="34"/>
  <c r="R24" i="39"/>
  <c r="R25" i="39" s="1"/>
  <c r="N39" i="34" l="1"/>
  <c r="O37" i="30"/>
  <c r="O38" i="30" s="1"/>
  <c r="O62" i="30" s="1"/>
  <c r="L156" i="36"/>
  <c r="I157" i="36" s="1"/>
  <c r="F19" i="34"/>
  <c r="E19" i="34"/>
  <c r="G19" i="34"/>
  <c r="D47" i="34"/>
  <c r="D50" i="34" s="1"/>
  <c r="F30" i="34"/>
  <c r="F33" i="34" s="1"/>
  <c r="E14" i="34"/>
  <c r="E15" i="34" s="1"/>
  <c r="H19" i="34"/>
  <c r="R26" i="39"/>
  <c r="S23" i="39" s="1"/>
  <c r="S21" i="39"/>
  <c r="J157" i="36" l="1"/>
  <c r="K157" i="36" s="1"/>
  <c r="N40" i="34"/>
  <c r="N17" i="34" s="1"/>
  <c r="D48" i="34"/>
  <c r="D18" i="34" s="1"/>
  <c r="D19" i="34" s="1"/>
  <c r="D20" i="34" s="1"/>
  <c r="H51" i="34"/>
  <c r="H10" i="34" s="1"/>
  <c r="H11" i="34" s="1"/>
  <c r="J51" i="34"/>
  <c r="J10" i="34" s="1"/>
  <c r="J11" i="34" s="1"/>
  <c r="I51" i="34"/>
  <c r="I10" i="34" s="1"/>
  <c r="I11" i="34" s="1"/>
  <c r="E51" i="34"/>
  <c r="E10" i="34" s="1"/>
  <c r="E11" i="34" s="1"/>
  <c r="M51" i="34"/>
  <c r="M10" i="34" s="1"/>
  <c r="M11" i="34" s="1"/>
  <c r="N51" i="34"/>
  <c r="N10" i="34" s="1"/>
  <c r="N11" i="34" s="1"/>
  <c r="F51" i="34"/>
  <c r="F10" i="34" s="1"/>
  <c r="F11" i="34" s="1"/>
  <c r="G51" i="34"/>
  <c r="G10" i="34" s="1"/>
  <c r="G11" i="34" s="1"/>
  <c r="K51" i="34"/>
  <c r="K10" i="34" s="1"/>
  <c r="K11" i="34" s="1"/>
  <c r="L51" i="34"/>
  <c r="L10" i="34" s="1"/>
  <c r="L11" i="34" s="1"/>
  <c r="D51" i="34"/>
  <c r="D10" i="34" s="1"/>
  <c r="D11" i="34" s="1"/>
  <c r="E20" i="34"/>
  <c r="G30" i="34"/>
  <c r="G33" i="34" s="1"/>
  <c r="F14" i="34"/>
  <c r="F15" i="34" s="1"/>
  <c r="F20" i="34" s="1"/>
  <c r="I48" i="34"/>
  <c r="I18" i="34" s="1"/>
  <c r="I19" i="34" s="1"/>
  <c r="L48" i="34"/>
  <c r="L18" i="34" s="1"/>
  <c r="L19" i="34" s="1"/>
  <c r="K48" i="34"/>
  <c r="K18" i="34" s="1"/>
  <c r="K19" i="34" s="1"/>
  <c r="N48" i="34"/>
  <c r="N18" i="34" s="1"/>
  <c r="J48" i="34"/>
  <c r="J18" i="34" s="1"/>
  <c r="J19" i="34" s="1"/>
  <c r="M48" i="34"/>
  <c r="M18" i="34" s="1"/>
  <c r="M19" i="34" s="1"/>
  <c r="S24" i="39"/>
  <c r="F21" i="34" l="1"/>
  <c r="L157" i="36"/>
  <c r="I158" i="36" s="1"/>
  <c r="N19" i="34"/>
  <c r="D21" i="34"/>
  <c r="E21" i="34"/>
  <c r="G14" i="34"/>
  <c r="G15" i="34" s="1"/>
  <c r="G20" i="34" s="1"/>
  <c r="G21" i="34" s="1"/>
  <c r="H30" i="34"/>
  <c r="H33" i="34" s="1"/>
  <c r="T21" i="39"/>
  <c r="S25" i="39"/>
  <c r="S26" i="39" s="1"/>
  <c r="T23" i="39" s="1"/>
  <c r="J158" i="36" l="1"/>
  <c r="K158" i="36" s="1"/>
  <c r="T24" i="39"/>
  <c r="T25" i="39" s="1"/>
  <c r="T26" i="39" s="1"/>
  <c r="U23" i="39" s="1"/>
  <c r="I30" i="34"/>
  <c r="I33" i="34" s="1"/>
  <c r="H14" i="34"/>
  <c r="H15" i="34" s="1"/>
  <c r="H20" i="34" s="1"/>
  <c r="H21" i="34" s="1"/>
  <c r="L158" i="36" l="1"/>
  <c r="I159" i="36" s="1"/>
  <c r="U21" i="39"/>
  <c r="U24" i="39" s="1"/>
  <c r="U25" i="39" s="1"/>
  <c r="J30" i="34"/>
  <c r="J33" i="34" s="1"/>
  <c r="I14" i="34"/>
  <c r="I15" i="34" s="1"/>
  <c r="I20" i="34" s="1"/>
  <c r="I21" i="34" s="1"/>
  <c r="J159" i="36" l="1"/>
  <c r="K159" i="36" s="1"/>
  <c r="K30" i="34"/>
  <c r="K33" i="34" s="1"/>
  <c r="J14" i="34"/>
  <c r="J15" i="34" s="1"/>
  <c r="J20" i="34" s="1"/>
  <c r="J21" i="34" s="1"/>
  <c r="V21" i="39"/>
  <c r="U26" i="39"/>
  <c r="V23" i="39" s="1"/>
  <c r="L159" i="36" l="1"/>
  <c r="I160" i="36" s="1"/>
  <c r="L30" i="34"/>
  <c r="L33" i="34" s="1"/>
  <c r="K14" i="34"/>
  <c r="K15" i="34" s="1"/>
  <c r="K20" i="34" s="1"/>
  <c r="K21" i="34" s="1"/>
  <c r="V24" i="39"/>
  <c r="J160" i="36" l="1"/>
  <c r="K160" i="36" s="1"/>
  <c r="L14" i="34"/>
  <c r="L15" i="34" s="1"/>
  <c r="L20" i="34" s="1"/>
  <c r="L21" i="34" s="1"/>
  <c r="M30" i="34"/>
  <c r="M33" i="34" s="1"/>
  <c r="W21" i="39"/>
  <c r="V25" i="39"/>
  <c r="V26" i="39" s="1"/>
  <c r="W23" i="39" s="1"/>
  <c r="W24" i="39" s="1"/>
  <c r="W25" i="39" s="1"/>
  <c r="L160" i="36" l="1"/>
  <c r="I161" i="36" s="1"/>
  <c r="M14" i="34"/>
  <c r="M15" i="34" s="1"/>
  <c r="M20" i="34" s="1"/>
  <c r="M21" i="34" s="1"/>
  <c r="N30" i="34"/>
  <c r="N33" i="34" s="1"/>
  <c r="W26" i="39"/>
  <c r="X23" i="39" s="1"/>
  <c r="X21" i="39"/>
  <c r="J161" i="36" l="1"/>
  <c r="K161" i="36" s="1"/>
  <c r="L161" i="36" s="1"/>
  <c r="I162" i="36" s="1"/>
  <c r="O30" i="34"/>
  <c r="N14" i="34"/>
  <c r="N15" i="34" s="1"/>
  <c r="N20" i="34" s="1"/>
  <c r="N21" i="34" s="1"/>
  <c r="X24" i="39"/>
  <c r="X25" i="39" s="1"/>
  <c r="J162" i="36" l="1"/>
  <c r="K162" i="36" s="1"/>
  <c r="L162" i="36" s="1"/>
  <c r="I163" i="36" s="1"/>
  <c r="X26" i="39"/>
  <c r="Y23" i="39" s="1"/>
  <c r="Y21" i="39"/>
  <c r="J163" i="36" l="1"/>
  <c r="K163" i="36" s="1"/>
  <c r="L163" i="36" s="1"/>
  <c r="I164" i="36" s="1"/>
  <c r="Y24" i="39"/>
  <c r="Y25" i="39" s="1"/>
  <c r="J164" i="36" l="1"/>
  <c r="K164" i="36" s="1"/>
  <c r="Y26" i="39"/>
  <c r="Z23" i="39" s="1"/>
  <c r="Z21" i="39"/>
  <c r="L164" i="36" l="1"/>
  <c r="I165" i="36" s="1"/>
  <c r="Z24" i="39"/>
  <c r="J165" i="36" l="1"/>
  <c r="K165" i="36" s="1"/>
  <c r="L165" i="36" s="1"/>
  <c r="I166" i="36" s="1"/>
  <c r="Z25" i="39"/>
  <c r="Z26" i="39" s="1"/>
  <c r="AA23" i="39" s="1"/>
  <c r="AA21" i="39"/>
  <c r="J166" i="36" l="1"/>
  <c r="AA24" i="39"/>
  <c r="K166" i="36" l="1"/>
  <c r="L166" i="36" s="1"/>
  <c r="I167" i="36" s="1"/>
  <c r="J167" i="36" s="1"/>
  <c r="K167" i="36" s="1"/>
  <c r="L167" i="36" s="1"/>
  <c r="I168" i="36" s="1"/>
  <c r="AB21" i="39"/>
  <c r="AA25" i="39"/>
  <c r="AA26" i="39" s="1"/>
  <c r="AB23" i="39" s="1"/>
  <c r="AB24" i="39" l="1"/>
  <c r="AB25" i="39" s="1"/>
  <c r="AB26" i="39" s="1"/>
  <c r="AC23" i="39" s="1"/>
  <c r="J168" i="36"/>
  <c r="K168" i="36" s="1"/>
  <c r="AC21" i="39"/>
  <c r="AC24" i="39" s="1"/>
  <c r="L168" i="36" l="1"/>
  <c r="I169" i="36" s="1"/>
  <c r="J169" i="36" s="1"/>
  <c r="AC25" i="39"/>
  <c r="AC26" i="39" s="1"/>
  <c r="K169" i="36" l="1"/>
  <c r="L169" i="36" l="1"/>
  <c r="I170" i="36" s="1"/>
  <c r="J170" i="36" l="1"/>
  <c r="K170" i="36" s="1"/>
  <c r="L170" i="36" l="1"/>
  <c r="I171" i="36" s="1"/>
  <c r="J171" i="36" l="1"/>
  <c r="K171" i="36" s="1"/>
  <c r="L171" i="36" l="1"/>
  <c r="I172" i="36" s="1"/>
  <c r="J172" i="36" l="1"/>
  <c r="K172" i="36" s="1"/>
  <c r="L172" i="36" l="1"/>
  <c r="I173" i="36" s="1"/>
  <c r="J173" i="36" l="1"/>
  <c r="K173" i="36" s="1"/>
  <c r="L173" i="36" s="1"/>
  <c r="I174" i="36" s="1"/>
  <c r="J174" i="36" l="1"/>
  <c r="K174" i="36" s="1"/>
  <c r="L174" i="36" l="1"/>
  <c r="I175" i="36" s="1"/>
  <c r="J175" i="36" s="1"/>
  <c r="K175" i="36" s="1"/>
  <c r="L175" i="36" s="1"/>
  <c r="I176" i="36" s="1"/>
  <c r="J176" i="36" l="1"/>
  <c r="K176" i="36" s="1"/>
  <c r="L176" i="36" s="1"/>
  <c r="I177" i="36" s="1"/>
  <c r="J177" i="36" l="1"/>
  <c r="K177" i="36" s="1"/>
  <c r="L177" i="36" s="1"/>
  <c r="I178" i="36" s="1"/>
  <c r="J178" i="36" l="1"/>
  <c r="K178" i="36" s="1"/>
  <c r="L178" i="36" l="1"/>
  <c r="I179" i="36" s="1"/>
  <c r="J179" i="36" l="1"/>
  <c r="K179" i="36" s="1"/>
  <c r="L179" i="36" s="1"/>
  <c r="I180" i="36" s="1"/>
  <c r="J180" i="36" l="1"/>
  <c r="N18" i="35" l="1"/>
  <c r="N19" i="35"/>
  <c r="M18" i="35" l="1"/>
  <c r="M19" i="35"/>
  <c r="P38" i="34"/>
  <c r="P32" i="34"/>
  <c r="O38" i="34"/>
  <c r="O32" i="34"/>
  <c r="O18" i="35" l="1"/>
  <c r="O45" i="34"/>
  <c r="O31" i="34"/>
  <c r="O33" i="34" s="1"/>
  <c r="O39" i="34"/>
  <c r="P37" i="30"/>
  <c r="P38" i="30" s="1"/>
  <c r="P62" i="30" s="1"/>
  <c r="Q37" i="30"/>
  <c r="Q38" i="30" s="1"/>
  <c r="Q62" i="30" s="1"/>
  <c r="P39" i="34"/>
  <c r="O19" i="35"/>
  <c r="P45" i="34"/>
  <c r="P46" i="34" s="1"/>
  <c r="P31" i="34"/>
  <c r="P40" i="34" l="1"/>
  <c r="P17" i="34" s="1"/>
  <c r="O40" i="34"/>
  <c r="O17" i="34" s="1"/>
  <c r="O46" i="34"/>
  <c r="P47" i="34"/>
  <c r="P50" i="34" s="1"/>
  <c r="P30" i="34"/>
  <c r="P33" i="34" s="1"/>
  <c r="O14" i="34"/>
  <c r="O15" i="34" s="1"/>
  <c r="P14" i="34" l="1"/>
  <c r="P15" i="34" s="1"/>
  <c r="Q30" i="34"/>
  <c r="O47" i="34"/>
  <c r="O48" i="34" s="1"/>
  <c r="O18" i="34" s="1"/>
  <c r="O19" i="34" s="1"/>
  <c r="O20" i="34" s="1"/>
  <c r="O50" i="34" l="1"/>
  <c r="P48" i="34"/>
  <c r="P18" i="34" s="1"/>
  <c r="P19" i="34" s="1"/>
  <c r="P20" i="34" s="1"/>
  <c r="P51" i="34" l="1"/>
  <c r="P10" i="34" s="1"/>
  <c r="P11" i="34" s="1"/>
  <c r="P21" i="34" s="1"/>
  <c r="O51" i="34"/>
  <c r="O10" i="34" s="1"/>
  <c r="O11" i="34" s="1"/>
  <c r="O21" i="34" s="1"/>
  <c r="D194" i="37" l="1"/>
  <c r="T9" i="33"/>
  <c r="T13" i="33" s="1"/>
  <c r="II9" i="23"/>
  <c r="GG13" i="23"/>
  <c r="II13" i="23" s="1"/>
  <c r="GG14" i="23" l="1"/>
  <c r="GH14" i="23" s="1"/>
  <c r="GH17" i="23" s="1"/>
  <c r="GH18" i="23" s="1"/>
  <c r="GH32" i="19" s="1"/>
  <c r="T23" i="33"/>
  <c r="T20" i="33"/>
  <c r="R80" i="30" s="1"/>
  <c r="W35" i="33"/>
  <c r="W38" i="33" s="1"/>
  <c r="U79" i="30" s="1"/>
  <c r="X35" i="33"/>
  <c r="X38" i="33" s="1"/>
  <c r="V79" i="30" s="1"/>
  <c r="V35" i="33"/>
  <c r="V38" i="33" s="1"/>
  <c r="T79" i="30" s="1"/>
  <c r="T35" i="33"/>
  <c r="Z40" i="17"/>
  <c r="CS40" i="17"/>
  <c r="Q40" i="17"/>
  <c r="AJ40" i="17"/>
  <c r="BE40" i="17"/>
  <c r="U40" i="17"/>
  <c r="T40" i="17"/>
  <c r="CJ40" i="17"/>
  <c r="AK40" i="17"/>
  <c r="P40" i="17"/>
  <c r="AQ40" i="17"/>
  <c r="BA40" i="17"/>
  <c r="AM40" i="17"/>
  <c r="EC40" i="17"/>
  <c r="AB40" i="17"/>
  <c r="BB40" i="17"/>
  <c r="BO40" i="17"/>
  <c r="AT40" i="17"/>
  <c r="AA40" i="17"/>
  <c r="AO40" i="17"/>
  <c r="AF40" i="17"/>
  <c r="AR40" i="17"/>
  <c r="CE40" i="17"/>
  <c r="AX40" i="17"/>
  <c r="V40" i="17"/>
  <c r="Y40" i="17"/>
  <c r="EZ40" i="17"/>
  <c r="GJ40" i="17"/>
  <c r="DN40" i="17"/>
  <c r="CY40" i="17"/>
  <c r="CH40" i="17"/>
  <c r="BL40" i="17"/>
  <c r="AD40" i="17"/>
  <c r="BW40" i="17"/>
  <c r="GH40" i="17"/>
  <c r="FG40" i="17"/>
  <c r="CZ40" i="17"/>
  <c r="AL40" i="17"/>
  <c r="DV40" i="17"/>
  <c r="S40" i="17"/>
  <c r="AH40" i="17"/>
  <c r="CK40" i="17"/>
  <c r="CC40" i="17"/>
  <c r="BZ40" i="17"/>
  <c r="DE40" i="17"/>
  <c r="ED40" i="17"/>
  <c r="AC40" i="17"/>
  <c r="BG40" i="17"/>
  <c r="CQ40" i="17"/>
  <c r="BC40" i="17"/>
  <c r="R40" i="17"/>
  <c r="CD40" i="17"/>
  <c r="DB40" i="17"/>
  <c r="DC40" i="17"/>
  <c r="DH40" i="17"/>
  <c r="AN40" i="17"/>
  <c r="EH40" i="17"/>
  <c r="AU40" i="17"/>
  <c r="W40" i="17"/>
  <c r="BJ40" i="17"/>
  <c r="AI40" i="17"/>
  <c r="CB40" i="17"/>
  <c r="DT40" i="17"/>
  <c r="EI40" i="17"/>
  <c r="CO40" i="17"/>
  <c r="DG40" i="17"/>
  <c r="BS40" i="17"/>
  <c r="BN40" i="17"/>
  <c r="DL40" i="17"/>
  <c r="DA40" i="17"/>
  <c r="BU40" i="17"/>
  <c r="AV40" i="17"/>
  <c r="AP40" i="17"/>
  <c r="CT40" i="17"/>
  <c r="AY40" i="17"/>
  <c r="BV40" i="17"/>
  <c r="DU40" i="17"/>
  <c r="EP40" i="17"/>
  <c r="CI40" i="17"/>
  <c r="DK40" i="17"/>
  <c r="AW40" i="17"/>
  <c r="FK40" i="17"/>
  <c r="EY40" i="17"/>
  <c r="CA40" i="17"/>
  <c r="DX40" i="17"/>
  <c r="BF40" i="17"/>
  <c r="FA40" i="17"/>
  <c r="DW40" i="17"/>
  <c r="AE40" i="17"/>
  <c r="BQ40" i="17"/>
  <c r="CL40" i="17"/>
  <c r="DP40" i="17"/>
  <c r="EG40" i="17"/>
  <c r="CU40" i="17"/>
  <c r="BX40" i="17"/>
  <c r="BH40" i="17"/>
  <c r="BY40" i="17"/>
  <c r="BI40" i="17"/>
  <c r="CM40" i="17"/>
  <c r="BR40" i="17"/>
  <c r="FV40" i="17"/>
  <c r="BM40" i="17"/>
  <c r="FT40" i="17"/>
  <c r="DI40" i="17"/>
  <c r="FR40" i="17"/>
  <c r="BK40" i="17"/>
  <c r="FD40" i="17"/>
  <c r="GG40" i="17"/>
  <c r="EB40" i="17"/>
  <c r="EF40" i="17"/>
  <c r="CX40" i="17"/>
  <c r="ES40" i="17"/>
  <c r="AZ40" i="17"/>
  <c r="FH40" i="17"/>
  <c r="DF40" i="17"/>
  <c r="CF40" i="17"/>
  <c r="FL40" i="17"/>
  <c r="EE40" i="17"/>
  <c r="CG40" i="17"/>
  <c r="DS40" i="17"/>
  <c r="BT40" i="17"/>
  <c r="DM40" i="17"/>
  <c r="EW40" i="17"/>
  <c r="DQ40" i="17"/>
  <c r="X40" i="17"/>
  <c r="EQ40" i="17"/>
  <c r="DZ40" i="17"/>
  <c r="FS40" i="17"/>
  <c r="AS40" i="17"/>
  <c r="FZ40" i="17"/>
  <c r="FF40" i="17"/>
  <c r="DY40" i="17"/>
  <c r="FU40" i="17"/>
  <c r="FQ40" i="17"/>
  <c r="EX40" i="17"/>
  <c r="FC40" i="17"/>
  <c r="EK40" i="17"/>
  <c r="CN40" i="17"/>
  <c r="DJ40" i="17"/>
  <c r="AG40" i="17"/>
  <c r="EA40" i="17"/>
  <c r="BD40" i="17"/>
  <c r="EV40" i="17"/>
  <c r="GA40" i="17"/>
  <c r="EM40" i="17"/>
  <c r="CR40" i="17"/>
  <c r="EL40" i="17"/>
  <c r="GB40" i="17"/>
  <c r="DR40" i="17"/>
  <c r="EO40" i="17"/>
  <c r="CW40" i="17"/>
  <c r="EU40" i="17"/>
  <c r="GF40" i="17"/>
  <c r="FP40" i="17"/>
  <c r="ET40" i="17"/>
  <c r="EN40" i="17"/>
  <c r="FJ40" i="17"/>
  <c r="CP40" i="17"/>
  <c r="GK40" i="17"/>
  <c r="GC40" i="17"/>
  <c r="FB40" i="17"/>
  <c r="CV40" i="17"/>
  <c r="FY40" i="17"/>
  <c r="ER40" i="17"/>
  <c r="GE40" i="17"/>
  <c r="FW40" i="17"/>
  <c r="FI40" i="17"/>
  <c r="DO40" i="17"/>
  <c r="GI40" i="17"/>
  <c r="DD40" i="17"/>
  <c r="FX40" i="17"/>
  <c r="BP40" i="17"/>
  <c r="FN40" i="17"/>
  <c r="GD40" i="17"/>
  <c r="FE40" i="17"/>
  <c r="GL40" i="17"/>
  <c r="FM40" i="17"/>
  <c r="O40" i="17"/>
  <c r="FO40" i="17"/>
  <c r="EJ40" i="17"/>
  <c r="U35" i="33"/>
  <c r="U38" i="33" s="1"/>
  <c r="S79" i="30" s="1"/>
  <c r="GG17" i="23"/>
  <c r="GG22" i="23" s="1"/>
  <c r="GG12" i="19"/>
  <c r="GG13" i="20"/>
  <c r="GG14" i="20" s="1"/>
  <c r="D19" i="27"/>
  <c r="D308" i="37"/>
  <c r="H194" i="37"/>
  <c r="H308" i="37" s="1"/>
  <c r="M194" i="37"/>
  <c r="M308" i="37" s="1"/>
  <c r="GI14" i="23" l="1"/>
  <c r="GH12" i="19"/>
  <c r="BM8" i="20"/>
  <c r="AR8" i="20"/>
  <c r="FW8" i="20"/>
  <c r="FW42" i="17"/>
  <c r="EQ8" i="20"/>
  <c r="EQ42" i="17"/>
  <c r="BF8" i="20"/>
  <c r="AL8" i="20"/>
  <c r="EC8" i="20"/>
  <c r="EC42" i="17"/>
  <c r="FJ8" i="20"/>
  <c r="FJ42" i="17"/>
  <c r="CB8" i="20"/>
  <c r="GD8" i="20"/>
  <c r="GD42" i="17"/>
  <c r="D24" i="35"/>
  <c r="V33" i="30"/>
  <c r="V34" i="30" s="1"/>
  <c r="FN8" i="20"/>
  <c r="FN42" i="17"/>
  <c r="FU8" i="20"/>
  <c r="FU42" i="17"/>
  <c r="EB8" i="20"/>
  <c r="EB42" i="17"/>
  <c r="DX8" i="20"/>
  <c r="DX42" i="17"/>
  <c r="DL8" i="20"/>
  <c r="DB8" i="20"/>
  <c r="CZ8" i="20"/>
  <c r="AF8" i="20"/>
  <c r="AM8" i="20"/>
  <c r="ER8" i="20"/>
  <c r="ER42" i="17"/>
  <c r="AG8" i="20"/>
  <c r="GG8" i="20"/>
  <c r="GG42" i="17"/>
  <c r="BJ8" i="20"/>
  <c r="FG8" i="20"/>
  <c r="FG42" i="17"/>
  <c r="AJ8" i="20"/>
  <c r="ET8" i="20"/>
  <c r="ET42" i="17"/>
  <c r="FD8" i="20"/>
  <c r="FD42" i="17"/>
  <c r="BS8" i="20"/>
  <c r="AA8" i="20"/>
  <c r="DD8" i="20"/>
  <c r="FH8" i="20"/>
  <c r="FH42" i="17"/>
  <c r="DG8" i="20"/>
  <c r="BW8" i="20"/>
  <c r="CS8" i="20"/>
  <c r="GI17" i="23"/>
  <c r="GI22" i="23" s="1"/>
  <c r="GI12" i="19"/>
  <c r="GJ14" i="23"/>
  <c r="EO8" i="20"/>
  <c r="EO42" i="17"/>
  <c r="EF8" i="20"/>
  <c r="EF42" i="17"/>
  <c r="EP8" i="20"/>
  <c r="EP42" i="17"/>
  <c r="ED8" i="20"/>
  <c r="ED42" i="17"/>
  <c r="CY8" i="20"/>
  <c r="U8" i="20"/>
  <c r="X8" i="20"/>
  <c r="D23" i="35"/>
  <c r="U33" i="30"/>
  <c r="U34" i="30" s="1"/>
  <c r="FX8" i="20"/>
  <c r="FX42" i="17"/>
  <c r="EL8" i="20"/>
  <c r="EL42" i="17"/>
  <c r="EW8" i="20"/>
  <c r="EW42" i="17"/>
  <c r="CM8" i="20"/>
  <c r="EY8" i="20"/>
  <c r="EY42" i="17"/>
  <c r="AY8" i="20"/>
  <c r="CC8" i="20"/>
  <c r="GH8" i="20"/>
  <c r="GH42" i="17"/>
  <c r="EZ8" i="20"/>
  <c r="EZ42" i="17"/>
  <c r="AQ8" i="20"/>
  <c r="T26" i="33"/>
  <c r="U23" i="33"/>
  <c r="CV8" i="20"/>
  <c r="CR8" i="20"/>
  <c r="DM8" i="20"/>
  <c r="BQ8" i="20"/>
  <c r="AU8" i="20"/>
  <c r="Y8" i="20"/>
  <c r="FM8" i="20"/>
  <c r="FM42" i="17"/>
  <c r="GF8" i="20"/>
  <c r="GF42" i="17"/>
  <c r="AS8" i="20"/>
  <c r="FR8" i="20"/>
  <c r="FR42" i="17"/>
  <c r="AW8" i="20"/>
  <c r="AP8" i="20"/>
  <c r="EH8" i="20"/>
  <c r="EH42" i="17"/>
  <c r="AH8" i="20"/>
  <c r="AD8" i="20"/>
  <c r="V8" i="20"/>
  <c r="BO8" i="20"/>
  <c r="AK8" i="20"/>
  <c r="Z8" i="20"/>
  <c r="CP8" i="20"/>
  <c r="BD8" i="20"/>
  <c r="EE8" i="20"/>
  <c r="EE42" i="17"/>
  <c r="DA8" i="20"/>
  <c r="GE8" i="20"/>
  <c r="GE42" i="17"/>
  <c r="DR8" i="20"/>
  <c r="FV8" i="20"/>
  <c r="FV42" i="17"/>
  <c r="BP8" i="20"/>
  <c r="EN8" i="20"/>
  <c r="EN42" i="17"/>
  <c r="DY8" i="20"/>
  <c r="DY42" i="17"/>
  <c r="CF8" i="20"/>
  <c r="BR8" i="20"/>
  <c r="CA8" i="20"/>
  <c r="BN8" i="20"/>
  <c r="CD8" i="20"/>
  <c r="GJ8" i="20"/>
  <c r="GJ42" i="17"/>
  <c r="AO8" i="20"/>
  <c r="E20" i="35"/>
  <c r="FY8" i="20"/>
  <c r="FY42" i="17"/>
  <c r="DJ8" i="20"/>
  <c r="DF8" i="20"/>
  <c r="R8" i="20"/>
  <c r="GO20" i="27"/>
  <c r="HL20" i="27"/>
  <c r="HL24" i="27" s="1"/>
  <c r="ID20" i="27"/>
  <c r="ID24" i="27" s="1"/>
  <c r="HB20" i="27"/>
  <c r="HB24" i="27" s="1"/>
  <c r="HT20" i="27"/>
  <c r="HT24" i="27" s="1"/>
  <c r="IA20" i="27"/>
  <c r="IA24" i="27" s="1"/>
  <c r="GY20" i="27"/>
  <c r="GY24" i="27" s="1"/>
  <c r="GQ20" i="27"/>
  <c r="GQ24" i="27" s="1"/>
  <c r="II20" i="27"/>
  <c r="II24" i="27" s="1"/>
  <c r="HU20" i="27"/>
  <c r="HU24" i="27" s="1"/>
  <c r="D24" i="27"/>
  <c r="IG20" i="27"/>
  <c r="IG24" i="27" s="1"/>
  <c r="GR20" i="27"/>
  <c r="GR24" i="27" s="1"/>
  <c r="IJ20" i="27"/>
  <c r="IJ24" i="27" s="1"/>
  <c r="HH20" i="27"/>
  <c r="HH24" i="27" s="1"/>
  <c r="HV20" i="27"/>
  <c r="HV24" i="27" s="1"/>
  <c r="IF20" i="27"/>
  <c r="IF24" i="27" s="1"/>
  <c r="HM20" i="27"/>
  <c r="HM24" i="27" s="1"/>
  <c r="HE20" i="27"/>
  <c r="HE24" i="27" s="1"/>
  <c r="HG20" i="27"/>
  <c r="HG24" i="27" s="1"/>
  <c r="GV20" i="27"/>
  <c r="GV24" i="27" s="1"/>
  <c r="HW20" i="27"/>
  <c r="HW24" i="27" s="1"/>
  <c r="HP20" i="27"/>
  <c r="HP24" i="27" s="1"/>
  <c r="GT20" i="27"/>
  <c r="GT24" i="27" s="1"/>
  <c r="GX20" i="27"/>
  <c r="GX24" i="27" s="1"/>
  <c r="HO20" i="27"/>
  <c r="HO24" i="27" s="1"/>
  <c r="HR20" i="27"/>
  <c r="HR24" i="27" s="1"/>
  <c r="IH20" i="27"/>
  <c r="IH24" i="27" s="1"/>
  <c r="HN20" i="27"/>
  <c r="HN24" i="27" s="1"/>
  <c r="IE20" i="27"/>
  <c r="IE24" i="27" s="1"/>
  <c r="HS20" i="27"/>
  <c r="HS24" i="27" s="1"/>
  <c r="HZ20" i="27"/>
  <c r="HZ24" i="27" s="1"/>
  <c r="HK20" i="27"/>
  <c r="HK24" i="27" s="1"/>
  <c r="IB20" i="27"/>
  <c r="IB24" i="27" s="1"/>
  <c r="HQ20" i="27"/>
  <c r="HQ24" i="27" s="1"/>
  <c r="GZ20" i="27"/>
  <c r="GZ24" i="27" s="1"/>
  <c r="HF20" i="27"/>
  <c r="HF24" i="27" s="1"/>
  <c r="HJ20" i="27"/>
  <c r="HJ24" i="27" s="1"/>
  <c r="GU20" i="27"/>
  <c r="GU24" i="27" s="1"/>
  <c r="GS20" i="27"/>
  <c r="GS24" i="27" s="1"/>
  <c r="GP20" i="27"/>
  <c r="GP24" i="27" s="1"/>
  <c r="HX20" i="27"/>
  <c r="HX24" i="27" s="1"/>
  <c r="IC20" i="27"/>
  <c r="IC24" i="27" s="1"/>
  <c r="HY20" i="27"/>
  <c r="HY24" i="27" s="1"/>
  <c r="GW20" i="27"/>
  <c r="GW24" i="27" s="1"/>
  <c r="HI20" i="27"/>
  <c r="HI24" i="27" s="1"/>
  <c r="HD20" i="27"/>
  <c r="HD24" i="27" s="1"/>
  <c r="HC20" i="27"/>
  <c r="HC24" i="27" s="1"/>
  <c r="HA20" i="27"/>
  <c r="HA24" i="27" s="1"/>
  <c r="FP8" i="20"/>
  <c r="FP42" i="17"/>
  <c r="FZ8" i="20"/>
  <c r="FZ42" i="17"/>
  <c r="BI8" i="20"/>
  <c r="CT8" i="20"/>
  <c r="AT8" i="20"/>
  <c r="FB8" i="20"/>
  <c r="FB42" i="17"/>
  <c r="EM8" i="20"/>
  <c r="EM42" i="17"/>
  <c r="AZ8" i="20"/>
  <c r="AE8" i="20"/>
  <c r="CO8" i="20"/>
  <c r="GL8" i="20"/>
  <c r="GL42" i="17"/>
  <c r="EU8" i="20"/>
  <c r="EU42" i="17"/>
  <c r="FC8" i="20"/>
  <c r="FC42" i="17"/>
  <c r="DS8" i="20"/>
  <c r="DS42" i="17"/>
  <c r="DI8" i="20"/>
  <c r="BH8" i="20"/>
  <c r="DW8" i="20"/>
  <c r="DW42" i="17"/>
  <c r="AV8" i="20"/>
  <c r="EI8" i="20"/>
  <c r="EI42" i="17"/>
  <c r="AN8" i="20"/>
  <c r="BG8" i="20"/>
  <c r="S8" i="20"/>
  <c r="BL8" i="20"/>
  <c r="AX8" i="20"/>
  <c r="BB8" i="20"/>
  <c r="CJ8" i="20"/>
  <c r="T41" i="33"/>
  <c r="T29" i="33" s="1"/>
  <c r="T32" i="33" s="1"/>
  <c r="T38" i="33"/>
  <c r="R79" i="30" s="1"/>
  <c r="R69" i="30" s="1"/>
  <c r="FQ8" i="20"/>
  <c r="FQ42" i="17"/>
  <c r="CU8" i="20"/>
  <c r="DC8" i="20"/>
  <c r="D21" i="35"/>
  <c r="S33" i="30"/>
  <c r="S34" i="30" s="1"/>
  <c r="EA8" i="20"/>
  <c r="EA42" i="17"/>
  <c r="FL8" i="20"/>
  <c r="FL42" i="17"/>
  <c r="EG8" i="20"/>
  <c r="EG42" i="17"/>
  <c r="DU8" i="20"/>
  <c r="DU42" i="17"/>
  <c r="AI8" i="20"/>
  <c r="DE8" i="20"/>
  <c r="DN8" i="20"/>
  <c r="BE8" i="20"/>
  <c r="EJ8" i="20"/>
  <c r="EJ42" i="17"/>
  <c r="GB8" i="20"/>
  <c r="GB42" i="17"/>
  <c r="DQ8" i="20"/>
  <c r="DP8" i="20"/>
  <c r="BV8" i="20"/>
  <c r="BZ8" i="20"/>
  <c r="BA8" i="20"/>
  <c r="FO8" i="20"/>
  <c r="FO42" i="17"/>
  <c r="FF8" i="20"/>
  <c r="FF42" i="17"/>
  <c r="CL8" i="20"/>
  <c r="W8" i="20"/>
  <c r="Q8" i="20"/>
  <c r="O8" i="20"/>
  <c r="O13" i="19"/>
  <c r="CN8" i="20"/>
  <c r="BK8" i="20"/>
  <c r="FK8" i="20"/>
  <c r="FK42" i="17"/>
  <c r="BC8" i="20"/>
  <c r="CK8" i="20"/>
  <c r="P8" i="20"/>
  <c r="GI8" i="20"/>
  <c r="GI42" i="17"/>
  <c r="EK8" i="20"/>
  <c r="EK42" i="17"/>
  <c r="BT8" i="20"/>
  <c r="BY8" i="20"/>
  <c r="CQ8" i="20"/>
  <c r="GG18" i="23"/>
  <c r="GG32" i="19" s="1"/>
  <c r="DO8" i="20"/>
  <c r="GC8" i="20"/>
  <c r="GC42" i="17"/>
  <c r="GA8" i="20"/>
  <c r="GA42" i="17"/>
  <c r="FS8" i="20"/>
  <c r="FS42" i="17"/>
  <c r="ES8" i="20"/>
  <c r="ES42" i="17"/>
  <c r="DK8" i="20"/>
  <c r="FE8" i="20"/>
  <c r="FE42" i="17"/>
  <c r="FI8" i="20"/>
  <c r="FI42" i="17"/>
  <c r="GK8" i="20"/>
  <c r="GK42" i="17"/>
  <c r="CW8" i="20"/>
  <c r="EV8" i="20"/>
  <c r="EV42" i="17"/>
  <c r="EX8" i="20"/>
  <c r="EX42" i="17"/>
  <c r="DZ8" i="20"/>
  <c r="DZ42" i="17"/>
  <c r="CG8" i="20"/>
  <c r="CX8" i="20"/>
  <c r="FT8" i="20"/>
  <c r="FT42" i="17"/>
  <c r="BX8" i="20"/>
  <c r="FA8" i="20"/>
  <c r="FA42" i="17"/>
  <c r="CI8" i="20"/>
  <c r="BU8" i="20"/>
  <c r="DT8" i="20"/>
  <c r="DT42" i="17"/>
  <c r="DH8" i="20"/>
  <c r="AC8" i="20"/>
  <c r="DV8" i="20"/>
  <c r="DV42" i="17"/>
  <c r="CH8" i="20"/>
  <c r="CE8" i="20"/>
  <c r="AB8" i="20"/>
  <c r="T8" i="20"/>
  <c r="D22" i="35"/>
  <c r="T33" i="30"/>
  <c r="T34" i="30" s="1"/>
  <c r="GH22" i="23"/>
  <c r="S69" i="30" l="1"/>
  <c r="R70" i="30"/>
  <c r="FM43" i="17"/>
  <c r="FM44" i="17" s="1"/>
  <c r="FL43" i="17"/>
  <c r="FL44" i="17" s="1"/>
  <c r="FH43" i="17"/>
  <c r="FH44" i="17" s="1"/>
  <c r="FN43" i="17"/>
  <c r="FN44" i="17" s="1"/>
  <c r="EK43" i="17"/>
  <c r="EK44" i="17" s="1"/>
  <c r="DW43" i="17"/>
  <c r="DW44" i="17" s="1"/>
  <c r="FY43" i="17"/>
  <c r="FY44" i="17" s="1"/>
  <c r="FV43" i="17"/>
  <c r="FV44" i="17" s="1"/>
  <c r="EE43" i="17"/>
  <c r="EE44" i="17" s="1"/>
  <c r="EL43" i="17"/>
  <c r="EL44" i="17" s="1"/>
  <c r="EF43" i="17"/>
  <c r="EF44" i="17" s="1"/>
  <c r="ET43" i="17"/>
  <c r="ET44" i="17" s="1"/>
  <c r="GG43" i="17"/>
  <c r="GG44" i="17" s="1"/>
  <c r="DX43" i="17"/>
  <c r="DX44" i="17" s="1"/>
  <c r="V61" i="30"/>
  <c r="V36" i="30"/>
  <c r="V78" i="30"/>
  <c r="EC43" i="17"/>
  <c r="EC44" i="17" s="1"/>
  <c r="FW43" i="17"/>
  <c r="FW44" i="17" s="1"/>
  <c r="EW43" i="17"/>
  <c r="EW44" i="17" s="1"/>
  <c r="FD43" i="17"/>
  <c r="FD44" i="17" s="1"/>
  <c r="FI43" i="17"/>
  <c r="FI44" i="17" s="1"/>
  <c r="FC43" i="17"/>
  <c r="FC44" i="17" s="1"/>
  <c r="FO43" i="17"/>
  <c r="FO44" i="17" s="1"/>
  <c r="DU43" i="17"/>
  <c r="DU44" i="17" s="1"/>
  <c r="S61" i="30"/>
  <c r="S36" i="30"/>
  <c r="S78" i="30"/>
  <c r="DY43" i="17"/>
  <c r="DY44" i="17" s="1"/>
  <c r="EZ43" i="17"/>
  <c r="EZ44" i="17" s="1"/>
  <c r="EY43" i="17"/>
  <c r="EY44" i="17" s="1"/>
  <c r="FX43" i="17"/>
  <c r="FX44" i="17" s="1"/>
  <c r="EO43" i="17"/>
  <c r="EO44" i="17" s="1"/>
  <c r="EB43" i="17"/>
  <c r="EB44" i="17" s="1"/>
  <c r="GD43" i="17"/>
  <c r="GD44" i="17" s="1"/>
  <c r="GJ43" i="17"/>
  <c r="GJ44" i="17" s="1"/>
  <c r="EX43" i="17"/>
  <c r="EX44" i="17" s="1"/>
  <c r="FS43" i="17"/>
  <c r="FS44" i="17" s="1"/>
  <c r="FK43" i="17"/>
  <c r="FK44" i="17" s="1"/>
  <c r="EU43" i="17"/>
  <c r="EU44" i="17" s="1"/>
  <c r="D20" i="35"/>
  <c r="Q5" i="34"/>
  <c r="R33" i="30"/>
  <c r="R34" i="30" s="1"/>
  <c r="GL43" i="17"/>
  <c r="GL44" i="17" s="1"/>
  <c r="EH43" i="17"/>
  <c r="EH44" i="17" s="1"/>
  <c r="ES43" i="17"/>
  <c r="ES44" i="17" s="1"/>
  <c r="GB43" i="17"/>
  <c r="GB44" i="17" s="1"/>
  <c r="EP43" i="17"/>
  <c r="EP44" i="17" s="1"/>
  <c r="EQ43" i="17"/>
  <c r="EQ44" i="17" s="1"/>
  <c r="DV43" i="17"/>
  <c r="DV44" i="17" s="1"/>
  <c r="O14" i="19"/>
  <c r="P13" i="19"/>
  <c r="FP43" i="17"/>
  <c r="FP44" i="17" s="1"/>
  <c r="FF43" i="17"/>
  <c r="FF44" i="17" s="1"/>
  <c r="EJ43" i="17"/>
  <c r="EJ44" i="17" s="1"/>
  <c r="EA43" i="17"/>
  <c r="EA44" i="17" s="1"/>
  <c r="FQ43" i="17"/>
  <c r="FQ44" i="17" s="1"/>
  <c r="EV43" i="17"/>
  <c r="EV44" i="17" s="1"/>
  <c r="GI43" i="17"/>
  <c r="GI44" i="17" s="1"/>
  <c r="GA43" i="17"/>
  <c r="GA44" i="17" s="1"/>
  <c r="FA43" i="17"/>
  <c r="FA44" i="17" s="1"/>
  <c r="EN43" i="17"/>
  <c r="EN44" i="17" s="1"/>
  <c r="GE43" i="17"/>
  <c r="GE44" i="17" s="1"/>
  <c r="GH43" i="17"/>
  <c r="GH44" i="17" s="1"/>
  <c r="U61" i="30"/>
  <c r="U36" i="30"/>
  <c r="U78" i="30"/>
  <c r="ED43" i="17"/>
  <c r="ED44" i="17" s="1"/>
  <c r="GJ17" i="23"/>
  <c r="GJ22" i="23" s="1"/>
  <c r="GJ12" i="19"/>
  <c r="GK14" i="23"/>
  <c r="FG43" i="17"/>
  <c r="FG44" i="17" s="1"/>
  <c r="ER43" i="17"/>
  <c r="ER44" i="17" s="1"/>
  <c r="FU43" i="17"/>
  <c r="FU44" i="17" s="1"/>
  <c r="FJ43" i="17"/>
  <c r="FJ44" i="17" s="1"/>
  <c r="FT43" i="17"/>
  <c r="FT44" i="17" s="1"/>
  <c r="FE43" i="17"/>
  <c r="FE44" i="17" s="1"/>
  <c r="IK20" i="27"/>
  <c r="GO24" i="27"/>
  <c r="FR43" i="17"/>
  <c r="FR44" i="17" s="1"/>
  <c r="EI43" i="17"/>
  <c r="EI44" i="17" s="1"/>
  <c r="EM43" i="17"/>
  <c r="EM44" i="17" s="1"/>
  <c r="GC43" i="17"/>
  <c r="GC44" i="17" s="1"/>
  <c r="EG43" i="17"/>
  <c r="EG44" i="17" s="1"/>
  <c r="T44" i="33"/>
  <c r="U41" i="33"/>
  <c r="U29" i="33" s="1"/>
  <c r="U32" i="33" s="1"/>
  <c r="T61" i="30"/>
  <c r="T36" i="30"/>
  <c r="T78" i="30"/>
  <c r="DT43" i="17"/>
  <c r="DT44" i="17" s="1"/>
  <c r="DZ43" i="17"/>
  <c r="DZ44" i="17" s="1"/>
  <c r="GK43" i="17"/>
  <c r="GK44" i="17" s="1"/>
  <c r="DS43" i="17"/>
  <c r="DS44" i="17" s="1"/>
  <c r="FB43" i="17"/>
  <c r="FB44" i="17" s="1"/>
  <c r="FZ43" i="17"/>
  <c r="FZ44" i="17" s="1"/>
  <c r="GF43" i="17"/>
  <c r="GF44" i="17" s="1"/>
  <c r="U26" i="33"/>
  <c r="V23" i="33"/>
  <c r="GI18" i="23"/>
  <c r="GI32" i="19" s="1"/>
  <c r="GJ18" i="23" l="1"/>
  <c r="GJ32" i="19" s="1"/>
  <c r="FB34" i="19"/>
  <c r="FB28" i="20"/>
  <c r="FB18" i="21"/>
  <c r="FB7" i="20"/>
  <c r="FD18" i="21"/>
  <c r="FD34" i="19"/>
  <c r="FD28" i="20"/>
  <c r="FD7" i="20"/>
  <c r="DU28" i="20"/>
  <c r="DU34" i="19"/>
  <c r="DU18" i="21"/>
  <c r="DU7" i="20"/>
  <c r="GL28" i="20"/>
  <c r="GL34" i="19"/>
  <c r="GL7" i="20"/>
  <c r="EP18" i="21"/>
  <c r="EP34" i="19"/>
  <c r="EP28" i="20"/>
  <c r="EP7" i="20"/>
  <c r="FP28" i="20"/>
  <c r="FP34" i="19"/>
  <c r="FP18" i="21"/>
  <c r="FP7" i="20"/>
  <c r="DT18" i="21"/>
  <c r="DT34" i="19"/>
  <c r="DT28" i="20"/>
  <c r="DT7" i="20"/>
  <c r="GC34" i="19"/>
  <c r="GC18" i="21"/>
  <c r="GC28" i="20"/>
  <c r="GC7" i="20"/>
  <c r="GH34" i="19"/>
  <c r="GH28" i="20"/>
  <c r="GH18" i="21"/>
  <c r="GH7" i="20"/>
  <c r="EA28" i="20"/>
  <c r="EA18" i="21"/>
  <c r="EA34" i="19"/>
  <c r="EA7" i="20"/>
  <c r="EZ34" i="19"/>
  <c r="EZ28" i="20"/>
  <c r="EZ18" i="21"/>
  <c r="EZ7" i="20"/>
  <c r="FY18" i="21"/>
  <c r="FY34" i="19"/>
  <c r="FY28" i="20"/>
  <c r="FY7" i="20"/>
  <c r="DS34" i="19"/>
  <c r="DS18" i="21"/>
  <c r="DS28" i="20"/>
  <c r="DS7" i="20"/>
  <c r="FU28" i="20"/>
  <c r="FU18" i="21"/>
  <c r="FU34" i="19"/>
  <c r="FU7" i="20"/>
  <c r="GB28" i="20"/>
  <c r="GB18" i="21"/>
  <c r="GB34" i="19"/>
  <c r="GB7" i="20"/>
  <c r="FE28" i="20"/>
  <c r="FE34" i="19"/>
  <c r="FE18" i="21"/>
  <c r="FE7" i="20"/>
  <c r="EO34" i="19"/>
  <c r="EO18" i="21"/>
  <c r="EO28" i="20"/>
  <c r="EO7" i="20"/>
  <c r="FL28" i="20"/>
  <c r="FL34" i="19"/>
  <c r="FL18" i="21"/>
  <c r="FL7" i="20"/>
  <c r="GF34" i="19"/>
  <c r="GF28" i="20"/>
  <c r="GF18" i="21"/>
  <c r="GF7" i="20"/>
  <c r="ER18" i="21"/>
  <c r="ER34" i="19"/>
  <c r="ER28" i="20"/>
  <c r="ER7" i="20"/>
  <c r="ES34" i="19"/>
  <c r="ES28" i="20"/>
  <c r="ES18" i="21"/>
  <c r="ES7" i="20"/>
  <c r="FC18" i="21"/>
  <c r="FC34" i="19"/>
  <c r="FC28" i="20"/>
  <c r="FC7" i="20"/>
  <c r="FF34" i="19"/>
  <c r="FF28" i="20"/>
  <c r="FF18" i="21"/>
  <c r="FF7" i="20"/>
  <c r="FG34" i="19"/>
  <c r="FG28" i="20"/>
  <c r="FG18" i="21"/>
  <c r="FG7" i="20"/>
  <c r="V26" i="33"/>
  <c r="W23" i="33"/>
  <c r="P14" i="19"/>
  <c r="Q13" i="19"/>
  <c r="EW28" i="20"/>
  <c r="EW18" i="21"/>
  <c r="EW34" i="19"/>
  <c r="EW7" i="20"/>
  <c r="S36" i="34"/>
  <c r="EM28" i="20"/>
  <c r="EM18" i="21"/>
  <c r="EM34" i="19"/>
  <c r="EM7" i="20"/>
  <c r="R5" i="34"/>
  <c r="EX18" i="21"/>
  <c r="EX28" i="20"/>
  <c r="EX34" i="19"/>
  <c r="EX7" i="20"/>
  <c r="DY18" i="21"/>
  <c r="DY34" i="19"/>
  <c r="DY28" i="20"/>
  <c r="DY7" i="20"/>
  <c r="EL34" i="19"/>
  <c r="EL28" i="20"/>
  <c r="EL18" i="21"/>
  <c r="EL7" i="20"/>
  <c r="DW28" i="20"/>
  <c r="DW34" i="19"/>
  <c r="DW18" i="21"/>
  <c r="DW7" i="20"/>
  <c r="GK28" i="20"/>
  <c r="GK34" i="19"/>
  <c r="GK7" i="20"/>
  <c r="ED28" i="20"/>
  <c r="ED18" i="21"/>
  <c r="ED34" i="19"/>
  <c r="ED7" i="20"/>
  <c r="DV34" i="19"/>
  <c r="DV28" i="20"/>
  <c r="DV18" i="21"/>
  <c r="DV7" i="20"/>
  <c r="U44" i="33"/>
  <c r="V41" i="33"/>
  <c r="FT28" i="20"/>
  <c r="FT18" i="21"/>
  <c r="FT34" i="19"/>
  <c r="FT7" i="20"/>
  <c r="EN34" i="19"/>
  <c r="EN28" i="20"/>
  <c r="EN18" i="21"/>
  <c r="EN7" i="20"/>
  <c r="EU34" i="19"/>
  <c r="EU18" i="21"/>
  <c r="EU28" i="20"/>
  <c r="EU7" i="20"/>
  <c r="FX18" i="21"/>
  <c r="FX34" i="19"/>
  <c r="FX28" i="20"/>
  <c r="FX7" i="20"/>
  <c r="GG28" i="20"/>
  <c r="GG18" i="21"/>
  <c r="GG34" i="19"/>
  <c r="GG7" i="20"/>
  <c r="EE34" i="19"/>
  <c r="EE18" i="21"/>
  <c r="EE28" i="20"/>
  <c r="EE7" i="20"/>
  <c r="FM18" i="21"/>
  <c r="FM28" i="20"/>
  <c r="FM34" i="19"/>
  <c r="FM7" i="20"/>
  <c r="FZ18" i="21"/>
  <c r="FZ34" i="19"/>
  <c r="FZ28" i="20"/>
  <c r="FZ7" i="20"/>
  <c r="DZ28" i="20"/>
  <c r="DZ18" i="21"/>
  <c r="DZ34" i="19"/>
  <c r="DZ7" i="20"/>
  <c r="C23" i="35"/>
  <c r="G23" i="35" s="1"/>
  <c r="K23" i="35" s="1"/>
  <c r="U82" i="30"/>
  <c r="FJ18" i="21"/>
  <c r="FJ28" i="20"/>
  <c r="FJ34" i="19"/>
  <c r="FJ7" i="20"/>
  <c r="FK34" i="19"/>
  <c r="FK28" i="20"/>
  <c r="FK18" i="21"/>
  <c r="FK7" i="20"/>
  <c r="EY18" i="21"/>
  <c r="EY28" i="20"/>
  <c r="EY34" i="19"/>
  <c r="EY7" i="20"/>
  <c r="ET28" i="20"/>
  <c r="ET18" i="21"/>
  <c r="ET34" i="19"/>
  <c r="ET7" i="20"/>
  <c r="FV18" i="21"/>
  <c r="FV28" i="20"/>
  <c r="FV34" i="19"/>
  <c r="FV7" i="20"/>
  <c r="FN34" i="19"/>
  <c r="FN18" i="21"/>
  <c r="FN28" i="20"/>
  <c r="FN7" i="20"/>
  <c r="R76" i="30"/>
  <c r="GA28" i="20"/>
  <c r="GA18" i="21"/>
  <c r="GA34" i="19"/>
  <c r="GA7" i="20"/>
  <c r="FS28" i="20"/>
  <c r="FS34" i="19"/>
  <c r="FS18" i="21"/>
  <c r="FS7" i="20"/>
  <c r="EB28" i="20"/>
  <c r="EB34" i="19"/>
  <c r="EB18" i="21"/>
  <c r="EB7" i="20"/>
  <c r="V38" i="30"/>
  <c r="V62" i="30" s="1"/>
  <c r="U36" i="34"/>
  <c r="U39" i="34" s="1"/>
  <c r="EF34" i="19"/>
  <c r="EF18" i="21"/>
  <c r="EF28" i="20"/>
  <c r="EF7" i="20"/>
  <c r="FH34" i="19"/>
  <c r="FH18" i="21"/>
  <c r="FH28" i="20"/>
  <c r="FH7" i="20"/>
  <c r="C22" i="35"/>
  <c r="G22" i="35" s="1"/>
  <c r="T82" i="30"/>
  <c r="R61" i="30"/>
  <c r="R78" i="30"/>
  <c r="R36" i="30"/>
  <c r="FO18" i="21"/>
  <c r="FO34" i="19"/>
  <c r="FO28" i="20"/>
  <c r="FO7" i="20"/>
  <c r="GE28" i="20"/>
  <c r="GE34" i="19"/>
  <c r="GE18" i="21"/>
  <c r="GE7" i="20"/>
  <c r="GI34" i="19"/>
  <c r="GI28" i="20"/>
  <c r="GI18" i="21"/>
  <c r="GI7" i="20"/>
  <c r="EJ28" i="20"/>
  <c r="EJ34" i="19"/>
  <c r="EJ18" i="21"/>
  <c r="EJ7" i="20"/>
  <c r="DX18" i="21"/>
  <c r="DX28" i="20"/>
  <c r="DX34" i="19"/>
  <c r="DX7" i="20"/>
  <c r="FW18" i="21"/>
  <c r="FW34" i="19"/>
  <c r="FW28" i="20"/>
  <c r="FW7" i="20"/>
  <c r="EI28" i="20"/>
  <c r="EI18" i="21"/>
  <c r="EI34" i="19"/>
  <c r="EI7" i="20"/>
  <c r="EV28" i="20"/>
  <c r="EV18" i="21"/>
  <c r="EV34" i="19"/>
  <c r="EV7" i="20"/>
  <c r="GJ18" i="21"/>
  <c r="GJ34" i="19"/>
  <c r="GJ28" i="20"/>
  <c r="GJ7" i="20"/>
  <c r="S82" i="30"/>
  <c r="C21" i="35"/>
  <c r="G21" i="35" s="1"/>
  <c r="EK34" i="19"/>
  <c r="EK18" i="21"/>
  <c r="EK28" i="20"/>
  <c r="EK7" i="20"/>
  <c r="EQ34" i="19"/>
  <c r="EQ18" i="21"/>
  <c r="EQ28" i="20"/>
  <c r="EQ7" i="20"/>
  <c r="EH34" i="19"/>
  <c r="EH18" i="21"/>
  <c r="EH28" i="20"/>
  <c r="EH7" i="20"/>
  <c r="R36" i="34"/>
  <c r="FI34" i="19"/>
  <c r="FI18" i="21"/>
  <c r="FI28" i="20"/>
  <c r="FI7" i="20"/>
  <c r="EC28" i="20"/>
  <c r="EC18" i="21"/>
  <c r="EC34" i="19"/>
  <c r="EC7" i="20"/>
  <c r="EG18" i="21"/>
  <c r="EG28" i="20"/>
  <c r="EG34" i="19"/>
  <c r="EG7" i="20"/>
  <c r="FR28" i="20"/>
  <c r="FR34" i="19"/>
  <c r="FR18" i="21"/>
  <c r="FR7" i="20"/>
  <c r="T36" i="34"/>
  <c r="T39" i="34" s="1"/>
  <c r="U38" i="30"/>
  <c r="U62" i="30" s="1"/>
  <c r="FA34" i="19"/>
  <c r="FA28" i="20"/>
  <c r="FA18" i="21"/>
  <c r="FA7" i="20"/>
  <c r="FQ18" i="21"/>
  <c r="FQ34" i="19"/>
  <c r="FQ28" i="20"/>
  <c r="FQ7" i="20"/>
  <c r="GD28" i="20"/>
  <c r="GD34" i="19"/>
  <c r="GD18" i="21"/>
  <c r="GD7" i="20"/>
  <c r="GK17" i="23"/>
  <c r="GK22" i="23" s="1"/>
  <c r="GK12" i="19"/>
  <c r="GL14" i="23"/>
  <c r="U42" i="34"/>
  <c r="U44" i="34" s="1"/>
  <c r="U46" i="34" s="1"/>
  <c r="C24" i="35"/>
  <c r="S70" i="30"/>
  <c r="S76" i="30" s="1"/>
  <c r="T69" i="30"/>
  <c r="W41" i="33" l="1"/>
  <c r="W29" i="33" s="1"/>
  <c r="W32" i="33" s="1"/>
  <c r="V44" i="33"/>
  <c r="U87" i="30"/>
  <c r="T42" i="34"/>
  <c r="T44" i="34" s="1"/>
  <c r="T46" i="34" s="1"/>
  <c r="Q14" i="19"/>
  <c r="R13" i="19"/>
  <c r="Q36" i="34"/>
  <c r="GK18" i="23"/>
  <c r="GK32" i="19" s="1"/>
  <c r="R82" i="30"/>
  <c r="C20" i="35"/>
  <c r="G20" i="35" s="1"/>
  <c r="U69" i="30"/>
  <c r="T70" i="30"/>
  <c r="T76" i="30" s="1"/>
  <c r="T87" i="30"/>
  <c r="S42" i="34"/>
  <c r="W26" i="33"/>
  <c r="X23" i="33"/>
  <c r="GL17" i="23"/>
  <c r="GL22" i="23" s="1"/>
  <c r="GL12" i="19"/>
  <c r="GM14" i="23"/>
  <c r="GL18" i="23"/>
  <c r="GL32" i="19" s="1"/>
  <c r="V29" i="33"/>
  <c r="V32" i="33" s="1"/>
  <c r="U47" i="34"/>
  <c r="U50" i="34" s="1"/>
  <c r="S87" i="30"/>
  <c r="R42" i="34"/>
  <c r="S5" i="34"/>
  <c r="D180" i="36" l="1"/>
  <c r="U70" i="30"/>
  <c r="U76" i="30" s="1"/>
  <c r="V69" i="30"/>
  <c r="V70" i="30" s="1"/>
  <c r="GL18" i="21"/>
  <c r="W44" i="33"/>
  <c r="X41" i="33"/>
  <c r="GM17" i="23"/>
  <c r="GM22" i="23" s="1"/>
  <c r="GM12" i="19"/>
  <c r="GN14" i="23"/>
  <c r="T47" i="34"/>
  <c r="T50" i="34" s="1"/>
  <c r="R87" i="30"/>
  <c r="R85" i="30"/>
  <c r="R84" i="30"/>
  <c r="S84" i="30" s="1"/>
  <c r="T84" i="30" s="1"/>
  <c r="U84" i="30" s="1"/>
  <c r="Q42" i="34"/>
  <c r="R14" i="19"/>
  <c r="S13" i="19"/>
  <c r="GK18" i="21"/>
  <c r="T5" i="34"/>
  <c r="X26" i="33"/>
  <c r="Y23" i="33"/>
  <c r="E180" i="36" l="1"/>
  <c r="GM18" i="23"/>
  <c r="GM32" i="19" s="1"/>
  <c r="S85" i="30"/>
  <c r="R90" i="30"/>
  <c r="GN17" i="23"/>
  <c r="GN22" i="23" s="1"/>
  <c r="GN12" i="19"/>
  <c r="GO14" i="23"/>
  <c r="U88" i="30"/>
  <c r="R88" i="30"/>
  <c r="S88" i="30"/>
  <c r="T88" i="30"/>
  <c r="U5" i="34"/>
  <c r="GM18" i="21"/>
  <c r="X44" i="33"/>
  <c r="Y41" i="33"/>
  <c r="Y29" i="33" s="1"/>
  <c r="Y32" i="33" s="1"/>
  <c r="S14" i="19"/>
  <c r="T13" i="19"/>
  <c r="Y26" i="33"/>
  <c r="Z23" i="33"/>
  <c r="X29" i="33"/>
  <c r="X32" i="33" s="1"/>
  <c r="V76" i="30"/>
  <c r="V81" i="30"/>
  <c r="B181" i="36" l="1"/>
  <c r="A181" i="36" s="1"/>
  <c r="C181" i="36"/>
  <c r="GN18" i="23"/>
  <c r="GN32" i="19" s="1"/>
  <c r="GN18" i="21" s="1"/>
  <c r="Z26" i="33"/>
  <c r="AA23" i="33"/>
  <c r="F24" i="35"/>
  <c r="G24" i="35" s="1"/>
  <c r="K24" i="35" s="1"/>
  <c r="V82" i="30"/>
  <c r="T14" i="19"/>
  <c r="U13" i="19"/>
  <c r="GO17" i="23"/>
  <c r="GO22" i="23" s="1"/>
  <c r="GO12" i="19"/>
  <c r="GP14" i="23"/>
  <c r="Y44" i="33"/>
  <c r="Z41" i="33"/>
  <c r="Z29" i="33" s="1"/>
  <c r="Z32" i="33" s="1"/>
  <c r="T85" i="30"/>
  <c r="S90" i="30"/>
  <c r="F181" i="36" l="1"/>
  <c r="D181" i="36"/>
  <c r="GO18" i="23"/>
  <c r="GO32" i="19" s="1"/>
  <c r="GO18" i="21" s="1"/>
  <c r="U14" i="19"/>
  <c r="V13" i="19"/>
  <c r="GP17" i="23"/>
  <c r="GP22" i="23" s="1"/>
  <c r="GP12" i="19"/>
  <c r="GQ14" i="23"/>
  <c r="AA26" i="33"/>
  <c r="AB23" i="33"/>
  <c r="T90" i="30"/>
  <c r="U85" i="30"/>
  <c r="V87" i="30"/>
  <c r="V88" i="30" s="1"/>
  <c r="E96" i="30"/>
  <c r="P6" i="31" s="1"/>
  <c r="F95" i="30"/>
  <c r="V84" i="30"/>
  <c r="Z44" i="33"/>
  <c r="AA41" i="33"/>
  <c r="E181" i="36" l="1"/>
  <c r="GP18" i="23"/>
  <c r="GP32" i="19" s="1"/>
  <c r="GP18" i="21" s="1"/>
  <c r="U90" i="30"/>
  <c r="V85" i="30"/>
  <c r="V90" i="30" s="1"/>
  <c r="GQ17" i="23"/>
  <c r="GQ22" i="23" s="1"/>
  <c r="GQ12" i="19"/>
  <c r="GR14" i="23"/>
  <c r="AA44" i="33"/>
  <c r="AB41" i="33"/>
  <c r="AB26" i="33"/>
  <c r="AB29" i="33"/>
  <c r="AB32" i="33" s="1"/>
  <c r="AC23" i="33"/>
  <c r="V14" i="19"/>
  <c r="W13" i="19"/>
  <c r="G95" i="30"/>
  <c r="E93" i="30"/>
  <c r="O6" i="31"/>
  <c r="AA29" i="33"/>
  <c r="AA32" i="33" s="1"/>
  <c r="B182" i="36" l="1"/>
  <c r="A182" i="36" s="1"/>
  <c r="C182" i="36"/>
  <c r="GR17" i="23"/>
  <c r="GR22" i="23" s="1"/>
  <c r="GR12" i="19"/>
  <c r="GS14" i="23"/>
  <c r="AC41" i="33"/>
  <c r="AC44" i="33" s="1"/>
  <c r="AB44" i="33"/>
  <c r="W14" i="19"/>
  <c r="X13" i="19"/>
  <c r="AC26" i="33"/>
  <c r="GQ18" i="23"/>
  <c r="GQ32" i="19" s="1"/>
  <c r="F182" i="36" l="1"/>
  <c r="D182" i="36"/>
  <c r="AC29" i="33"/>
  <c r="AC32" i="33" s="1"/>
  <c r="GQ18" i="21"/>
  <c r="X14" i="19"/>
  <c r="Y13" i="19"/>
  <c r="GS17" i="23"/>
  <c r="GS22" i="23" s="1"/>
  <c r="GS12" i="19"/>
  <c r="GT14" i="23"/>
  <c r="GR18" i="23"/>
  <c r="GR32" i="19" s="1"/>
  <c r="E182" i="36" l="1"/>
  <c r="GR18" i="21"/>
  <c r="GT17" i="23"/>
  <c r="GT22" i="23" s="1"/>
  <c r="GU14" i="23"/>
  <c r="GT12" i="19"/>
  <c r="Y14" i="19"/>
  <c r="Z13" i="19"/>
  <c r="GS18" i="23"/>
  <c r="GS32" i="19" s="1"/>
  <c r="B183" i="36" l="1"/>
  <c r="A183" i="36" s="1"/>
  <c r="C183" i="36"/>
  <c r="GT18" i="23"/>
  <c r="GT32" i="19" s="1"/>
  <c r="GT18" i="21" s="1"/>
  <c r="GS18" i="21"/>
  <c r="Z14" i="19"/>
  <c r="AA13" i="19"/>
  <c r="GU17" i="23"/>
  <c r="GU22" i="23" s="1"/>
  <c r="GU12" i="19"/>
  <c r="GV14" i="23"/>
  <c r="F183" i="36" l="1"/>
  <c r="D183" i="36"/>
  <c r="E183" i="36" s="1"/>
  <c r="GU18" i="23"/>
  <c r="GU32" i="19" s="1"/>
  <c r="GU18" i="21" s="1"/>
  <c r="GV17" i="23"/>
  <c r="GV22" i="23" s="1"/>
  <c r="GV12" i="19"/>
  <c r="GW14" i="23"/>
  <c r="AA14" i="19"/>
  <c r="AB13" i="19"/>
  <c r="B184" i="36" l="1"/>
  <c r="A184" i="36" s="1"/>
  <c r="C184" i="36"/>
  <c r="GV18" i="23"/>
  <c r="GV32" i="19" s="1"/>
  <c r="GV18" i="21" s="1"/>
  <c r="GW17" i="23"/>
  <c r="GW22" i="23" s="1"/>
  <c r="GW12" i="19"/>
  <c r="GX14" i="23"/>
  <c r="AB14" i="19"/>
  <c r="AC13" i="19"/>
  <c r="F184" i="36" l="1"/>
  <c r="D184" i="36"/>
  <c r="E184" i="36" s="1"/>
  <c r="GW18" i="23"/>
  <c r="GW32" i="19" s="1"/>
  <c r="GW18" i="21" s="1"/>
  <c r="GX17" i="23"/>
  <c r="GX22" i="23" s="1"/>
  <c r="GX12" i="19"/>
  <c r="GY14" i="23"/>
  <c r="AC14" i="19"/>
  <c r="AD13" i="19"/>
  <c r="B185" i="36" l="1"/>
  <c r="A185" i="36" s="1"/>
  <c r="C185" i="36"/>
  <c r="GX18" i="23"/>
  <c r="GX32" i="19" s="1"/>
  <c r="GY17" i="23"/>
  <c r="GY22" i="23" s="1"/>
  <c r="GY12" i="19"/>
  <c r="GZ14" i="23"/>
  <c r="GX18" i="21"/>
  <c r="AD14" i="19"/>
  <c r="AE13" i="19"/>
  <c r="F185" i="36" l="1"/>
  <c r="D185" i="36"/>
  <c r="E185" i="36" s="1"/>
  <c r="GY18" i="23"/>
  <c r="GY32" i="19" s="1"/>
  <c r="GY18" i="21" s="1"/>
  <c r="GZ17" i="23"/>
  <c r="GZ22" i="23" s="1"/>
  <c r="GZ12" i="19"/>
  <c r="HA14" i="23"/>
  <c r="AE14" i="19"/>
  <c r="AF13" i="19"/>
  <c r="B186" i="36" l="1"/>
  <c r="A186" i="36" s="1"/>
  <c r="C186" i="36"/>
  <c r="GZ18" i="23"/>
  <c r="GZ32" i="19" s="1"/>
  <c r="GZ18" i="21"/>
  <c r="HA17" i="23"/>
  <c r="HA22" i="23" s="1"/>
  <c r="HA12" i="19"/>
  <c r="HB14" i="23"/>
  <c r="AF14" i="19"/>
  <c r="AG13" i="19"/>
  <c r="F186" i="36" l="1"/>
  <c r="D186" i="36"/>
  <c r="E186" i="36" s="1"/>
  <c r="HA18" i="23"/>
  <c r="HA32" i="19" s="1"/>
  <c r="HA18" i="21" s="1"/>
  <c r="AG14" i="19"/>
  <c r="AH13" i="19"/>
  <c r="HB17" i="23"/>
  <c r="HB22" i="23" s="1"/>
  <c r="HC14" i="23"/>
  <c r="HB12" i="19"/>
  <c r="C187" i="36" l="1"/>
  <c r="B187" i="36"/>
  <c r="A187" i="36" s="1"/>
  <c r="D187" i="36" s="1"/>
  <c r="HB18" i="23"/>
  <c r="HB32" i="19" s="1"/>
  <c r="HB18" i="21" s="1"/>
  <c r="AH14" i="19"/>
  <c r="AI13" i="19"/>
  <c r="HC17" i="23"/>
  <c r="HC22" i="23" s="1"/>
  <c r="HC12" i="19"/>
  <c r="HD14" i="23"/>
  <c r="F187" i="36" l="1"/>
  <c r="E187" i="36"/>
  <c r="AI14" i="19"/>
  <c r="AJ13" i="19"/>
  <c r="HD17" i="23"/>
  <c r="HD22" i="23" s="1"/>
  <c r="HD12" i="19"/>
  <c r="HE14" i="23"/>
  <c r="HC18" i="23"/>
  <c r="HC32" i="19" s="1"/>
  <c r="C188" i="36" l="1"/>
  <c r="B188" i="36"/>
  <c r="A188" i="36" s="1"/>
  <c r="D188" i="36" s="1"/>
  <c r="HE17" i="23"/>
  <c r="HE22" i="23" s="1"/>
  <c r="HE12" i="19"/>
  <c r="HF14" i="23"/>
  <c r="AK13" i="19"/>
  <c r="AJ14" i="19"/>
  <c r="HC18" i="21"/>
  <c r="HD18" i="23"/>
  <c r="HD32" i="19" s="1"/>
  <c r="F188" i="36" l="1"/>
  <c r="E188" i="36"/>
  <c r="HE18" i="23"/>
  <c r="HE32" i="19" s="1"/>
  <c r="HD18" i="21"/>
  <c r="HF17" i="23"/>
  <c r="HF22" i="23" s="1"/>
  <c r="HF12" i="19"/>
  <c r="HG14" i="23"/>
  <c r="HE18" i="21"/>
  <c r="AK14" i="19"/>
  <c r="AL13" i="19"/>
  <c r="B189" i="36" l="1"/>
  <c r="A189" i="36" s="1"/>
  <c r="C189" i="36"/>
  <c r="HF18" i="23"/>
  <c r="HF32" i="19" s="1"/>
  <c r="HF18" i="21" s="1"/>
  <c r="HG17" i="23"/>
  <c r="HG22" i="23" s="1"/>
  <c r="HG12" i="19"/>
  <c r="HH14" i="23"/>
  <c r="AL14" i="19"/>
  <c r="AM13" i="19"/>
  <c r="F189" i="36" l="1"/>
  <c r="D189" i="36"/>
  <c r="E189" i="36" s="1"/>
  <c r="HG18" i="23"/>
  <c r="HG32" i="19" s="1"/>
  <c r="HG18" i="21" s="1"/>
  <c r="HH17" i="23"/>
  <c r="HH22" i="23" s="1"/>
  <c r="HH12" i="19"/>
  <c r="HI14" i="23"/>
  <c r="AM14" i="19"/>
  <c r="AN13" i="19"/>
  <c r="B190" i="36" l="1"/>
  <c r="A190" i="36" s="1"/>
  <c r="C190" i="36"/>
  <c r="HI17" i="23"/>
  <c r="HI22" i="23" s="1"/>
  <c r="HI12" i="19"/>
  <c r="HJ14" i="23"/>
  <c r="HH18" i="23"/>
  <c r="HH32" i="19" s="1"/>
  <c r="AN14" i="19"/>
  <c r="AO13" i="19"/>
  <c r="F190" i="36" l="1"/>
  <c r="D190" i="36"/>
  <c r="E190" i="36" s="1"/>
  <c r="HI18" i="23"/>
  <c r="HI32" i="19" s="1"/>
  <c r="HI18" i="21" s="1"/>
  <c r="HJ17" i="23"/>
  <c r="HJ22" i="23" s="1"/>
  <c r="HJ12" i="19"/>
  <c r="HK14" i="23"/>
  <c r="AO14" i="19"/>
  <c r="AP13" i="19"/>
  <c r="HH18" i="21"/>
  <c r="C191" i="36" l="1"/>
  <c r="B191" i="36"/>
  <c r="A191" i="36" s="1"/>
  <c r="D191" i="36" s="1"/>
  <c r="HJ18" i="23"/>
  <c r="HJ32" i="19" s="1"/>
  <c r="HK17" i="23"/>
  <c r="HK22" i="23" s="1"/>
  <c r="HK12" i="19"/>
  <c r="HL14" i="23"/>
  <c r="HJ18" i="21"/>
  <c r="AP14" i="19"/>
  <c r="AQ13" i="19"/>
  <c r="F191" i="36" l="1"/>
  <c r="E191" i="36"/>
  <c r="HK18" i="23"/>
  <c r="HK32" i="19" s="1"/>
  <c r="HL17" i="23"/>
  <c r="HL22" i="23" s="1"/>
  <c r="HL12" i="19"/>
  <c r="HM14" i="23"/>
  <c r="HK18" i="21"/>
  <c r="AQ14" i="19"/>
  <c r="AR13" i="19"/>
  <c r="C192" i="36" l="1"/>
  <c r="B192" i="36"/>
  <c r="A192" i="36" s="1"/>
  <c r="D192" i="36" s="1"/>
  <c r="HL18" i="23"/>
  <c r="HL32" i="19" s="1"/>
  <c r="HM17" i="23"/>
  <c r="HM22" i="23" s="1"/>
  <c r="HM12" i="19"/>
  <c r="HN14" i="23"/>
  <c r="HL18" i="21"/>
  <c r="AR14" i="19"/>
  <c r="AS13" i="19"/>
  <c r="E192" i="36" l="1"/>
  <c r="F192" i="36"/>
  <c r="HM18" i="23"/>
  <c r="HM32" i="19" s="1"/>
  <c r="HM18" i="21" s="1"/>
  <c r="HN17" i="23"/>
  <c r="HN22" i="23" s="1"/>
  <c r="HN12" i="19"/>
  <c r="HO14" i="23"/>
  <c r="AS14" i="19"/>
  <c r="AT13" i="19"/>
  <c r="C193" i="36" l="1"/>
  <c r="B193" i="36"/>
  <c r="A193" i="36" s="1"/>
  <c r="D193" i="36" s="1"/>
  <c r="HN18" i="23"/>
  <c r="HN32" i="19" s="1"/>
  <c r="HO17" i="23"/>
  <c r="HO22" i="23" s="1"/>
  <c r="HO12" i="19"/>
  <c r="HP14" i="23"/>
  <c r="HN18" i="21"/>
  <c r="AT14" i="19"/>
  <c r="AU13" i="19"/>
  <c r="F193" i="36" l="1"/>
  <c r="E193" i="36"/>
  <c r="HO18" i="23"/>
  <c r="HO32" i="19" s="1"/>
  <c r="HP17" i="23"/>
  <c r="HP22" i="23" s="1"/>
  <c r="HP12" i="19"/>
  <c r="HQ14" i="23"/>
  <c r="HO18" i="21"/>
  <c r="AU14" i="19"/>
  <c r="AV13" i="19"/>
  <c r="C194" i="36" l="1"/>
  <c r="B194" i="36"/>
  <c r="A194" i="36" s="1"/>
  <c r="D194" i="36" s="1"/>
  <c r="HP18" i="23"/>
  <c r="HP32" i="19" s="1"/>
  <c r="HP18" i="21" s="1"/>
  <c r="HQ17" i="23"/>
  <c r="HQ22" i="23" s="1"/>
  <c r="HQ12" i="19"/>
  <c r="HR14" i="23"/>
  <c r="AV14" i="19"/>
  <c r="AW13" i="19"/>
  <c r="E194" i="36" l="1"/>
  <c r="F194" i="36"/>
  <c r="HQ18" i="23"/>
  <c r="HQ32" i="19" s="1"/>
  <c r="HQ18" i="21" s="1"/>
  <c r="AW14" i="19"/>
  <c r="AX13" i="19"/>
  <c r="HR17" i="23"/>
  <c r="HR22" i="23" s="1"/>
  <c r="HR12" i="19"/>
  <c r="HS14" i="23"/>
  <c r="B195" i="36" l="1"/>
  <c r="A195" i="36" s="1"/>
  <c r="C195" i="36"/>
  <c r="HS17" i="23"/>
  <c r="HS22" i="23" s="1"/>
  <c r="HS12" i="19"/>
  <c r="HT14" i="23"/>
  <c r="AX14" i="19"/>
  <c r="AY13" i="19"/>
  <c r="HR18" i="23"/>
  <c r="HR32" i="19" s="1"/>
  <c r="F195" i="36" l="1"/>
  <c r="D195" i="36"/>
  <c r="E195" i="36" s="1"/>
  <c r="HS18" i="23"/>
  <c r="HS32" i="19" s="1"/>
  <c r="HS18" i="21" s="1"/>
  <c r="HR18" i="21"/>
  <c r="AY14" i="19"/>
  <c r="AZ13" i="19"/>
  <c r="HT17" i="23"/>
  <c r="HT22" i="23" s="1"/>
  <c r="HT12" i="19"/>
  <c r="HU14" i="23"/>
  <c r="B196" i="36" l="1"/>
  <c r="A196" i="36" s="1"/>
  <c r="C196" i="36"/>
  <c r="HU17" i="23"/>
  <c r="HU22" i="23" s="1"/>
  <c r="HU12" i="19"/>
  <c r="HV14" i="23"/>
  <c r="AZ14" i="19"/>
  <c r="BA13" i="19"/>
  <c r="HT18" i="23"/>
  <c r="HT32" i="19" s="1"/>
  <c r="F196" i="36" l="1"/>
  <c r="D196" i="36"/>
  <c r="E196" i="36" s="1"/>
  <c r="HU18" i="23"/>
  <c r="HU32" i="19" s="1"/>
  <c r="HU18" i="21" s="1"/>
  <c r="HT18" i="21"/>
  <c r="BA14" i="19"/>
  <c r="BB13" i="19"/>
  <c r="HV17" i="23"/>
  <c r="HV22" i="23" s="1"/>
  <c r="HV12" i="19"/>
  <c r="HW14" i="23"/>
  <c r="C197" i="36" l="1"/>
  <c r="B197" i="36"/>
  <c r="A197" i="36" s="1"/>
  <c r="D197" i="36" s="1"/>
  <c r="HV18" i="23"/>
  <c r="HV32" i="19" s="1"/>
  <c r="HV18" i="21" s="1"/>
  <c r="BB14" i="19"/>
  <c r="BC13" i="19"/>
  <c r="HW17" i="23"/>
  <c r="HW22" i="23" s="1"/>
  <c r="HW12" i="19"/>
  <c r="HX14" i="23"/>
  <c r="E197" i="36" l="1"/>
  <c r="F197" i="36"/>
  <c r="BC14" i="19"/>
  <c r="BD13" i="19"/>
  <c r="HX17" i="23"/>
  <c r="HX22" i="23" s="1"/>
  <c r="HX12" i="19"/>
  <c r="HY14" i="23"/>
  <c r="HW18" i="23"/>
  <c r="HW32" i="19" s="1"/>
  <c r="B198" i="36" l="1"/>
  <c r="A198" i="36" s="1"/>
  <c r="C198" i="36"/>
  <c r="BD14" i="19"/>
  <c r="BE13" i="19"/>
  <c r="HW18" i="21"/>
  <c r="HY17" i="23"/>
  <c r="HY22" i="23" s="1"/>
  <c r="HY12" i="19"/>
  <c r="HZ14" i="23"/>
  <c r="HX18" i="23"/>
  <c r="HX32" i="19" s="1"/>
  <c r="F198" i="36" l="1"/>
  <c r="D198" i="36"/>
  <c r="E198" i="36" s="1"/>
  <c r="HY18" i="23"/>
  <c r="HY32" i="19" s="1"/>
  <c r="HY18" i="21" s="1"/>
  <c r="BE14" i="19"/>
  <c r="BF13" i="19"/>
  <c r="HX18" i="21"/>
  <c r="HZ17" i="23"/>
  <c r="HZ22" i="23" s="1"/>
  <c r="HZ12" i="19"/>
  <c r="IA14" i="23"/>
  <c r="B199" i="36" l="1"/>
  <c r="A199" i="36" s="1"/>
  <c r="C199" i="36"/>
  <c r="HZ18" i="23"/>
  <c r="HZ32" i="19" s="1"/>
  <c r="HZ18" i="21" s="1"/>
  <c r="IA17" i="23"/>
  <c r="IA22" i="23" s="1"/>
  <c r="IA12" i="19"/>
  <c r="IB14" i="23"/>
  <c r="BF14" i="19"/>
  <c r="BG13" i="19"/>
  <c r="F199" i="36" l="1"/>
  <c r="D199" i="36"/>
  <c r="E199" i="36" s="1"/>
  <c r="IA18" i="23"/>
  <c r="IA32" i="19" s="1"/>
  <c r="IA18" i="21" s="1"/>
  <c r="BG14" i="19"/>
  <c r="BH13" i="19"/>
  <c r="IB17" i="23"/>
  <c r="IB22" i="23" s="1"/>
  <c r="IB12" i="19"/>
  <c r="IC14" i="23"/>
  <c r="C200" i="36" l="1"/>
  <c r="B200" i="36"/>
  <c r="A200" i="36" s="1"/>
  <c r="D200" i="36" s="1"/>
  <c r="IB18" i="23"/>
  <c r="IB32" i="19" s="1"/>
  <c r="IB18" i="21" s="1"/>
  <c r="IC17" i="23"/>
  <c r="IC22" i="23" s="1"/>
  <c r="IC12" i="19"/>
  <c r="ID14" i="23"/>
  <c r="BH14" i="19"/>
  <c r="BI13" i="19"/>
  <c r="E200" i="36" l="1"/>
  <c r="F200" i="36"/>
  <c r="IC18" i="23"/>
  <c r="IC32" i="19" s="1"/>
  <c r="IC18" i="21" s="1"/>
  <c r="ID17" i="23"/>
  <c r="ID22" i="23" s="1"/>
  <c r="ID12" i="19"/>
  <c r="IE14" i="23"/>
  <c r="BI14" i="19"/>
  <c r="BJ13" i="19"/>
  <c r="C201" i="36" l="1"/>
  <c r="B201" i="36"/>
  <c r="A201" i="36" s="1"/>
  <c r="D201" i="36" s="1"/>
  <c r="ID18" i="23"/>
  <c r="ID32" i="19" s="1"/>
  <c r="ID18" i="21" s="1"/>
  <c r="BJ14" i="19"/>
  <c r="BK13" i="19"/>
  <c r="IE17" i="23"/>
  <c r="IE22" i="23" s="1"/>
  <c r="IF14" i="23"/>
  <c r="IE12" i="19"/>
  <c r="E201" i="36" l="1"/>
  <c r="F201" i="36"/>
  <c r="IE18" i="23"/>
  <c r="IE32" i="19" s="1"/>
  <c r="BK14" i="19"/>
  <c r="BL13" i="19"/>
  <c r="IF17" i="23"/>
  <c r="IF22" i="23" s="1"/>
  <c r="IF12" i="19"/>
  <c r="IG14" i="23"/>
  <c r="B202" i="36" l="1"/>
  <c r="A202" i="36" s="1"/>
  <c r="C202" i="36"/>
  <c r="BL14" i="19"/>
  <c r="BM13" i="19"/>
  <c r="IG17" i="23"/>
  <c r="IG22" i="23" s="1"/>
  <c r="IG12" i="19"/>
  <c r="IH14" i="23"/>
  <c r="IE18" i="21"/>
  <c r="IF18" i="23"/>
  <c r="IF32" i="19" s="1"/>
  <c r="F202" i="36" l="1"/>
  <c r="D202" i="36"/>
  <c r="E202" i="36" s="1"/>
  <c r="IG18" i="23"/>
  <c r="IG32" i="19" s="1"/>
  <c r="IG18" i="21"/>
  <c r="IF18" i="21"/>
  <c r="BM14" i="19"/>
  <c r="BN13" i="19"/>
  <c r="IH12" i="19"/>
  <c r="IH17" i="23"/>
  <c r="IH18" i="23" s="1"/>
  <c r="IH32" i="19" s="1"/>
  <c r="C203" i="36" l="1"/>
  <c r="B203" i="36"/>
  <c r="A203" i="36" s="1"/>
  <c r="D203" i="36" s="1"/>
  <c r="H21" i="35" s="1"/>
  <c r="IH18" i="21"/>
  <c r="BI7" i="15"/>
  <c r="BI41" i="17" s="1"/>
  <c r="BV7" i="15"/>
  <c r="BV41" i="17" s="1"/>
  <c r="IH22" i="23"/>
  <c r="AP7" i="15"/>
  <c r="AP41" i="17" s="1"/>
  <c r="AG7" i="15"/>
  <c r="AG41" i="17" s="1"/>
  <c r="DN7" i="15"/>
  <c r="DN41" i="17" s="1"/>
  <c r="AF7" i="15"/>
  <c r="AF41" i="17" s="1"/>
  <c r="AT7" i="15"/>
  <c r="AT41" i="17" s="1"/>
  <c r="CZ7" i="15"/>
  <c r="CZ41" i="17" s="1"/>
  <c r="T7" i="15"/>
  <c r="T41" i="17" s="1"/>
  <c r="DK7" i="15"/>
  <c r="DK41" i="17" s="1"/>
  <c r="CH7" i="15"/>
  <c r="CH41" i="17" s="1"/>
  <c r="CI7" i="15"/>
  <c r="CI41" i="17" s="1"/>
  <c r="BQ7" i="15"/>
  <c r="BQ41" i="17" s="1"/>
  <c r="AI7" i="15"/>
  <c r="AI41" i="17" s="1"/>
  <c r="AJ7" i="15"/>
  <c r="AJ41" i="17" s="1"/>
  <c r="BF7" i="15"/>
  <c r="BF41" i="17" s="1"/>
  <c r="DI7" i="15"/>
  <c r="DI41" i="17" s="1"/>
  <c r="BW7" i="15"/>
  <c r="BW41" i="17" s="1"/>
  <c r="DM7" i="15"/>
  <c r="DM41" i="17" s="1"/>
  <c r="DR7" i="15"/>
  <c r="DR41" i="17" s="1"/>
  <c r="CR7" i="15"/>
  <c r="CR41" i="17" s="1"/>
  <c r="CW7" i="15"/>
  <c r="CW41" i="17" s="1"/>
  <c r="CT7" i="15"/>
  <c r="CT41" i="17" s="1"/>
  <c r="DO7" i="15"/>
  <c r="DO41" i="17" s="1"/>
  <c r="CY7" i="15"/>
  <c r="CY41" i="17" s="1"/>
  <c r="S7" i="15"/>
  <c r="S41" i="17" s="1"/>
  <c r="Y7" i="15"/>
  <c r="Y41" i="17" s="1"/>
  <c r="V6" i="15"/>
  <c r="BP7" i="15"/>
  <c r="BP41" i="17" s="1"/>
  <c r="AN7" i="15"/>
  <c r="AN41" i="17" s="1"/>
  <c r="BS7" i="15"/>
  <c r="BS41" i="17" s="1"/>
  <c r="AX7" i="15"/>
  <c r="AX41" i="17" s="1"/>
  <c r="BD7" i="15"/>
  <c r="BD41" i="17" s="1"/>
  <c r="BE7" i="15"/>
  <c r="BE41" i="17" s="1"/>
  <c r="BO7" i="15"/>
  <c r="BO41" i="17" s="1"/>
  <c r="X7" i="15"/>
  <c r="X41" i="17" s="1"/>
  <c r="AZ7" i="15"/>
  <c r="AZ41" i="17" s="1"/>
  <c r="AC6" i="15"/>
  <c r="AB7" i="15"/>
  <c r="AB41" i="17" s="1"/>
  <c r="W7" i="15"/>
  <c r="W41" i="17" s="1"/>
  <c r="AR7" i="15"/>
  <c r="AR41" i="17" s="1"/>
  <c r="CX7" i="15"/>
  <c r="CX41" i="17" s="1"/>
  <c r="AH7" i="15"/>
  <c r="AH41" i="17" s="1"/>
  <c r="AM7" i="15"/>
  <c r="AM41" i="17" s="1"/>
  <c r="J7" i="15"/>
  <c r="J41" i="17" s="1"/>
  <c r="DL7" i="15"/>
  <c r="DL41" i="17" s="1"/>
  <c r="BR7" i="15"/>
  <c r="BR41" i="17" s="1"/>
  <c r="DE7" i="15"/>
  <c r="DE41" i="17" s="1"/>
  <c r="DP7" i="15"/>
  <c r="DP41" i="17" s="1"/>
  <c r="H7" i="15"/>
  <c r="H41" i="17" s="1"/>
  <c r="V7" i="15"/>
  <c r="V41" i="17" s="1"/>
  <c r="DQ7" i="15"/>
  <c r="DQ41" i="17" s="1"/>
  <c r="CL7" i="15"/>
  <c r="CL41" i="17" s="1"/>
  <c r="CD7" i="15"/>
  <c r="CD41" i="17" s="1"/>
  <c r="AQ7" i="15"/>
  <c r="AQ41" i="17" s="1"/>
  <c r="DA7" i="15"/>
  <c r="DA41" i="17" s="1"/>
  <c r="N7" i="15"/>
  <c r="N41" i="17" s="1"/>
  <c r="CC7" i="15"/>
  <c r="CC41" i="17" s="1"/>
  <c r="G7" i="15"/>
  <c r="G41" i="17" s="1"/>
  <c r="DB7" i="15"/>
  <c r="DB41" i="17" s="1"/>
  <c r="Z7" i="15"/>
  <c r="Z41" i="17" s="1"/>
  <c r="AG6" i="15"/>
  <c r="CS7" i="15"/>
  <c r="CS41" i="17" s="1"/>
  <c r="DD7" i="15"/>
  <c r="DD41" i="17" s="1"/>
  <c r="AD7" i="15"/>
  <c r="AD41" i="17" s="1"/>
  <c r="BG7" i="15"/>
  <c r="BG41" i="17" s="1"/>
  <c r="BZ7" i="15"/>
  <c r="BZ41" i="17" s="1"/>
  <c r="BU7" i="15"/>
  <c r="BU41" i="17" s="1"/>
  <c r="AW7" i="15"/>
  <c r="AW41" i="17" s="1"/>
  <c r="AX6" i="15"/>
  <c r="AY7" i="15"/>
  <c r="AY41" i="17" s="1"/>
  <c r="AU7" i="15"/>
  <c r="AU41" i="17" s="1"/>
  <c r="AK7" i="15"/>
  <c r="AK41" i="17" s="1"/>
  <c r="DH7" i="15"/>
  <c r="DH41" i="17" s="1"/>
  <c r="CM7" i="15"/>
  <c r="CM41" i="17" s="1"/>
  <c r="CJ7" i="15"/>
  <c r="CJ41" i="17" s="1"/>
  <c r="BQ6" i="15"/>
  <c r="BQ8" i="15" s="1"/>
  <c r="AA7" i="15"/>
  <c r="AA41" i="17" s="1"/>
  <c r="P7" i="15"/>
  <c r="P41" i="17" s="1"/>
  <c r="BN7" i="15"/>
  <c r="BN41" i="17" s="1"/>
  <c r="CO7" i="15"/>
  <c r="CO41" i="17" s="1"/>
  <c r="BC7" i="15"/>
  <c r="BC41" i="17" s="1"/>
  <c r="CA7" i="15"/>
  <c r="CA41" i="17" s="1"/>
  <c r="O7" i="15"/>
  <c r="O41" i="17" s="1"/>
  <c r="DC7" i="15"/>
  <c r="DC41" i="17" s="1"/>
  <c r="C6" i="15"/>
  <c r="R6" i="15"/>
  <c r="Q7" i="15"/>
  <c r="Q41" i="17" s="1"/>
  <c r="BA7" i="15"/>
  <c r="BA41" i="17" s="1"/>
  <c r="BY7" i="15"/>
  <c r="BY41" i="17" s="1"/>
  <c r="U7" i="15"/>
  <c r="U41" i="17" s="1"/>
  <c r="BA6" i="15"/>
  <c r="H6" i="15"/>
  <c r="K7" i="15"/>
  <c r="K41" i="17" s="1"/>
  <c r="D7" i="15"/>
  <c r="D41" i="17" s="1"/>
  <c r="BM7" i="15"/>
  <c r="BM41" i="17" s="1"/>
  <c r="I7" i="15"/>
  <c r="I41" i="17" s="1"/>
  <c r="F7" i="15"/>
  <c r="F41" i="17" s="1"/>
  <c r="I6" i="15"/>
  <c r="M6" i="15"/>
  <c r="CU7" i="15"/>
  <c r="CU41" i="17" s="1"/>
  <c r="BP6" i="15"/>
  <c r="BJ6" i="15"/>
  <c r="CP7" i="15"/>
  <c r="CP41" i="17" s="1"/>
  <c r="BB7" i="15"/>
  <c r="BB41" i="17" s="1"/>
  <c r="CB7" i="15"/>
  <c r="CB41" i="17" s="1"/>
  <c r="BH7" i="15"/>
  <c r="BH41" i="17" s="1"/>
  <c r="AJ6" i="15"/>
  <c r="DG7" i="15"/>
  <c r="DG41" i="17" s="1"/>
  <c r="AC7" i="15"/>
  <c r="AC41" i="17" s="1"/>
  <c r="DJ7" i="15"/>
  <c r="DJ41" i="17" s="1"/>
  <c r="CK6" i="15"/>
  <c r="AL6" i="15"/>
  <c r="X6" i="15"/>
  <c r="BX7" i="15"/>
  <c r="BX41" i="17" s="1"/>
  <c r="T6" i="15"/>
  <c r="CK7" i="15"/>
  <c r="CK41" i="17" s="1"/>
  <c r="F6" i="15"/>
  <c r="U6" i="15"/>
  <c r="DN6" i="15"/>
  <c r="AS6" i="15"/>
  <c r="BF6" i="15"/>
  <c r="BF8" i="15" s="1"/>
  <c r="CE6" i="15"/>
  <c r="CG7" i="15"/>
  <c r="CG41" i="17" s="1"/>
  <c r="BL7" i="15"/>
  <c r="BL41" i="17" s="1"/>
  <c r="BC6" i="15"/>
  <c r="AI6" i="15"/>
  <c r="AI8" i="15" s="1"/>
  <c r="AB6" i="15"/>
  <c r="CF7" i="15"/>
  <c r="CF41" i="17" s="1"/>
  <c r="BB6" i="15"/>
  <c r="CI6" i="15"/>
  <c r="CB6" i="15"/>
  <c r="AE7" i="15"/>
  <c r="AE41" i="17" s="1"/>
  <c r="M7" i="15"/>
  <c r="M41" i="17" s="1"/>
  <c r="CV7" i="15"/>
  <c r="CV41" i="17" s="1"/>
  <c r="Y6" i="15"/>
  <c r="J6" i="15"/>
  <c r="CQ7" i="15"/>
  <c r="CQ41" i="17" s="1"/>
  <c r="AO7" i="15"/>
  <c r="AO41" i="17" s="1"/>
  <c r="AZ6" i="15"/>
  <c r="Q6" i="15"/>
  <c r="W6" i="15"/>
  <c r="BL6" i="15"/>
  <c r="N6" i="15"/>
  <c r="DF7" i="15"/>
  <c r="DF41" i="17" s="1"/>
  <c r="BK6" i="15"/>
  <c r="AU6" i="15"/>
  <c r="D6" i="15"/>
  <c r="AV7" i="15"/>
  <c r="AV41" i="17" s="1"/>
  <c r="BE6" i="15"/>
  <c r="AL7" i="15"/>
  <c r="AL41" i="17" s="1"/>
  <c r="AM6" i="15"/>
  <c r="BH6" i="15"/>
  <c r="BJ7" i="15"/>
  <c r="BJ41" i="17" s="1"/>
  <c r="AY6" i="15"/>
  <c r="DO6" i="15"/>
  <c r="CE7" i="15"/>
  <c r="CE41" i="17" s="1"/>
  <c r="CN7" i="15"/>
  <c r="CN41" i="17" s="1"/>
  <c r="CR6" i="15"/>
  <c r="AV6" i="15"/>
  <c r="BR6" i="15"/>
  <c r="AO6" i="15"/>
  <c r="O6" i="15"/>
  <c r="AH6" i="15"/>
  <c r="CN6" i="15"/>
  <c r="S6" i="15"/>
  <c r="CO6" i="15"/>
  <c r="AS7" i="15"/>
  <c r="AS41" i="17" s="1"/>
  <c r="CU6" i="15"/>
  <c r="AD6" i="15"/>
  <c r="L6" i="15"/>
  <c r="AP6" i="15"/>
  <c r="K6" i="15"/>
  <c r="CJ6" i="15"/>
  <c r="E7" i="15"/>
  <c r="E41" i="17" s="1"/>
  <c r="AA6" i="15"/>
  <c r="AT6" i="15"/>
  <c r="BK7" i="15"/>
  <c r="BK41" i="17" s="1"/>
  <c r="CP6" i="15"/>
  <c r="BT7" i="15"/>
  <c r="BT41" i="17" s="1"/>
  <c r="CL6" i="15"/>
  <c r="CL8" i="15" s="1"/>
  <c r="BU6" i="15"/>
  <c r="CM6" i="15"/>
  <c r="CC6" i="15"/>
  <c r="P6" i="15"/>
  <c r="R7" i="15"/>
  <c r="R41" i="17" s="1"/>
  <c r="CG6" i="15"/>
  <c r="E6" i="15"/>
  <c r="CT6" i="15"/>
  <c r="AW6" i="15"/>
  <c r="DC6" i="15"/>
  <c r="DD6" i="15"/>
  <c r="DD8" i="15" s="1"/>
  <c r="BM6" i="15"/>
  <c r="BM8" i="15" s="1"/>
  <c r="G6" i="15"/>
  <c r="CW6" i="15"/>
  <c r="DE6" i="15"/>
  <c r="DM6" i="15"/>
  <c r="CY6" i="15"/>
  <c r="DQ6" i="15"/>
  <c r="DP6" i="15"/>
  <c r="CS6" i="15"/>
  <c r="Z6" i="15"/>
  <c r="BZ6" i="15"/>
  <c r="BZ8" i="15" s="1"/>
  <c r="BD6" i="15"/>
  <c r="CZ6" i="15"/>
  <c r="AN6" i="15"/>
  <c r="AN8" i="15" s="1"/>
  <c r="AQ6" i="15"/>
  <c r="AQ8" i="15" s="1"/>
  <c r="DI6" i="15"/>
  <c r="BX6" i="15"/>
  <c r="CV6" i="15"/>
  <c r="AF6" i="15"/>
  <c r="BI6" i="15"/>
  <c r="CH6" i="15"/>
  <c r="BY6" i="15"/>
  <c r="L7" i="15"/>
  <c r="L41" i="17" s="1"/>
  <c r="DB6" i="15"/>
  <c r="BW6" i="15"/>
  <c r="BT6" i="15"/>
  <c r="CD6" i="15"/>
  <c r="CX6" i="15"/>
  <c r="DJ6" i="15"/>
  <c r="DL6" i="15"/>
  <c r="DL8" i="15" s="1"/>
  <c r="CF6" i="15"/>
  <c r="DK6" i="15"/>
  <c r="BV6" i="15"/>
  <c r="BV8" i="15" s="1"/>
  <c r="DF6" i="15"/>
  <c r="AE6" i="15"/>
  <c r="BN6" i="15"/>
  <c r="DG6" i="15"/>
  <c r="DG8" i="15" s="1"/>
  <c r="BS6" i="15"/>
  <c r="DA6" i="15"/>
  <c r="CQ6" i="15"/>
  <c r="DH6" i="15"/>
  <c r="AR6" i="15"/>
  <c r="BG6" i="15"/>
  <c r="CA6" i="15"/>
  <c r="AK6" i="15"/>
  <c r="BO6" i="15"/>
  <c r="C9" i="15"/>
  <c r="DR6" i="15"/>
  <c r="C7" i="15"/>
  <c r="C41" i="17" s="1"/>
  <c r="BN14" i="19"/>
  <c r="BO13" i="19"/>
  <c r="AE52" i="34" l="1"/>
  <c r="R26" i="34"/>
  <c r="F203" i="36"/>
  <c r="I21" i="35" s="1"/>
  <c r="R37" i="34" s="1"/>
  <c r="E203" i="36"/>
  <c r="CH8" i="15"/>
  <c r="AR8" i="15"/>
  <c r="DF8" i="15"/>
  <c r="AD8" i="15"/>
  <c r="CA8" i="15"/>
  <c r="BB8" i="15"/>
  <c r="Z8" i="15"/>
  <c r="O8" i="15"/>
  <c r="CI8" i="15"/>
  <c r="DR8" i="15"/>
  <c r="DP8" i="15"/>
  <c r="AK8" i="15"/>
  <c r="CZ8" i="15"/>
  <c r="Q8" i="15"/>
  <c r="H8" i="15"/>
  <c r="BN8" i="15"/>
  <c r="BI8" i="15"/>
  <c r="BD8" i="15"/>
  <c r="DE8" i="15"/>
  <c r="DO8" i="15"/>
  <c r="T8" i="15"/>
  <c r="BA8" i="15"/>
  <c r="DI8" i="15"/>
  <c r="CP8" i="15"/>
  <c r="AU8" i="15"/>
  <c r="I8" i="15"/>
  <c r="DA8" i="15"/>
  <c r="N8" i="15"/>
  <c r="CY8" i="15"/>
  <c r="W8" i="15"/>
  <c r="X8" i="15"/>
  <c r="CG8" i="15"/>
  <c r="DB8" i="15"/>
  <c r="AM8" i="15"/>
  <c r="CF8" i="15"/>
  <c r="DQ8" i="15"/>
  <c r="DC8" i="15"/>
  <c r="CO8" i="15"/>
  <c r="CR8" i="15"/>
  <c r="BT8" i="15"/>
  <c r="BY8" i="15"/>
  <c r="AW8" i="15"/>
  <c r="BU8" i="15"/>
  <c r="CJ8" i="15"/>
  <c r="S8" i="15"/>
  <c r="BE8" i="15"/>
  <c r="BP8" i="15"/>
  <c r="AP8" i="15"/>
  <c r="AH8" i="15"/>
  <c r="G8" i="15"/>
  <c r="AO8" i="15"/>
  <c r="BX8" i="15"/>
  <c r="BH8" i="15"/>
  <c r="Y8" i="15"/>
  <c r="CM8" i="15"/>
  <c r="BL8" i="15"/>
  <c r="U8" i="15"/>
  <c r="BJ8" i="15"/>
  <c r="R8" i="15"/>
  <c r="BO8" i="15"/>
  <c r="BC8" i="15"/>
  <c r="F8" i="15"/>
  <c r="C8" i="15"/>
  <c r="C22" i="19" s="1"/>
  <c r="C23" i="19" s="1"/>
  <c r="C13" i="21" s="1"/>
  <c r="AX8" i="15"/>
  <c r="AG8" i="15"/>
  <c r="DM8" i="15"/>
  <c r="C26" i="19"/>
  <c r="D9" i="15"/>
  <c r="E31" i="20"/>
  <c r="E42" i="17"/>
  <c r="BS31" i="20"/>
  <c r="BS42" i="17"/>
  <c r="AC31" i="20"/>
  <c r="AC42" i="17"/>
  <c r="AA31" i="20"/>
  <c r="AA42" i="17"/>
  <c r="AN31" i="20"/>
  <c r="AN42" i="17"/>
  <c r="AF31" i="20"/>
  <c r="AF42" i="17"/>
  <c r="K8" i="15"/>
  <c r="CE31" i="20"/>
  <c r="CE42" i="17"/>
  <c r="CK31" i="20"/>
  <c r="CK42" i="17"/>
  <c r="R31" i="20"/>
  <c r="R42" i="17"/>
  <c r="BJ31" i="20"/>
  <c r="BJ42" i="17"/>
  <c r="F42" i="17"/>
  <c r="F31" i="20"/>
  <c r="BC31" i="20"/>
  <c r="BC42" i="17"/>
  <c r="BG31" i="20"/>
  <c r="BG42" i="17"/>
  <c r="H31" i="20"/>
  <c r="H42" i="17"/>
  <c r="BE31" i="20"/>
  <c r="BE42" i="17"/>
  <c r="BW31" i="20"/>
  <c r="BW42" i="17"/>
  <c r="C31" i="20"/>
  <c r="C42" i="17"/>
  <c r="DH8" i="15"/>
  <c r="BW8" i="15"/>
  <c r="CS8" i="15"/>
  <c r="P8" i="15"/>
  <c r="AT8" i="15"/>
  <c r="CU8" i="15"/>
  <c r="BR8" i="15"/>
  <c r="DF31" i="20"/>
  <c r="DF42" i="17"/>
  <c r="J8" i="15"/>
  <c r="CF31" i="20"/>
  <c r="CF42" i="17"/>
  <c r="AS8" i="15"/>
  <c r="AL8" i="15"/>
  <c r="BB31" i="20"/>
  <c r="BB42" i="17"/>
  <c r="I31" i="20"/>
  <c r="I42" i="17"/>
  <c r="BA31" i="20"/>
  <c r="BA42" i="17"/>
  <c r="CO31" i="20"/>
  <c r="CO42" i="17"/>
  <c r="AK31" i="20"/>
  <c r="AK42" i="17"/>
  <c r="AD31" i="20"/>
  <c r="AD42" i="17"/>
  <c r="N42" i="17"/>
  <c r="N31" i="20"/>
  <c r="DP31" i="20"/>
  <c r="DP42" i="17"/>
  <c r="AR31" i="20"/>
  <c r="AR42" i="17"/>
  <c r="BD31" i="20"/>
  <c r="BD42" i="17"/>
  <c r="CY31" i="20"/>
  <c r="CY42" i="17"/>
  <c r="DI31" i="20"/>
  <c r="DI42" i="17"/>
  <c r="T31" i="20"/>
  <c r="T42" i="17"/>
  <c r="BV31" i="20"/>
  <c r="BV42" i="17"/>
  <c r="AL31" i="20"/>
  <c r="AL42" i="17"/>
  <c r="CV31" i="20"/>
  <c r="CV42" i="17"/>
  <c r="DJ31" i="20"/>
  <c r="DJ42" i="17"/>
  <c r="CS31" i="20"/>
  <c r="CS42" i="17"/>
  <c r="AB31" i="20"/>
  <c r="AB42" i="17"/>
  <c r="BS8" i="15"/>
  <c r="M31" i="20"/>
  <c r="M42" i="17"/>
  <c r="K42" i="17"/>
  <c r="K31" i="20"/>
  <c r="CD31" i="20"/>
  <c r="CD42" i="17"/>
  <c r="DL31" i="20"/>
  <c r="DL42" i="17"/>
  <c r="AI31" i="20"/>
  <c r="AI42" i="17"/>
  <c r="DJ8" i="15"/>
  <c r="CN8" i="15"/>
  <c r="AV31" i="20"/>
  <c r="AV42" i="17"/>
  <c r="BL31" i="20"/>
  <c r="BL42" i="17"/>
  <c r="CV8" i="15"/>
  <c r="BK31" i="20"/>
  <c r="BK42" i="17"/>
  <c r="BK8" i="15"/>
  <c r="CQ31" i="20"/>
  <c r="CQ42" i="17"/>
  <c r="CB31" i="20"/>
  <c r="CB42" i="17"/>
  <c r="BY31" i="20"/>
  <c r="BY42" i="17"/>
  <c r="DH31" i="20"/>
  <c r="DH42" i="17"/>
  <c r="CC31" i="20"/>
  <c r="CC42" i="17"/>
  <c r="CX31" i="20"/>
  <c r="CX42" i="17"/>
  <c r="S31" i="20"/>
  <c r="S42" i="17"/>
  <c r="DK31" i="20"/>
  <c r="DK42" i="17"/>
  <c r="CQ8" i="15"/>
  <c r="DK8" i="15"/>
  <c r="CC8" i="15"/>
  <c r="AA8" i="15"/>
  <c r="AS31" i="20"/>
  <c r="AS42" i="17"/>
  <c r="AV8" i="15"/>
  <c r="AB8" i="15"/>
  <c r="DN8" i="15"/>
  <c r="CK8" i="15"/>
  <c r="CP31" i="20"/>
  <c r="CP42" i="17"/>
  <c r="BM31" i="20"/>
  <c r="BM42" i="17"/>
  <c r="Q31" i="20"/>
  <c r="Q42" i="17"/>
  <c r="BN31" i="20"/>
  <c r="BN42" i="17"/>
  <c r="AU31" i="20"/>
  <c r="AU42" i="17"/>
  <c r="DD31" i="20"/>
  <c r="DD42" i="17"/>
  <c r="DA31" i="20"/>
  <c r="DA42" i="17"/>
  <c r="DE31" i="20"/>
  <c r="DE42" i="17"/>
  <c r="W31" i="20"/>
  <c r="W42" i="17"/>
  <c r="AX31" i="20"/>
  <c r="AX42" i="17"/>
  <c r="DO31" i="20"/>
  <c r="DO42" i="17"/>
  <c r="BF31" i="20"/>
  <c r="BF42" i="17"/>
  <c r="CZ31" i="20"/>
  <c r="CZ42" i="17"/>
  <c r="BI31" i="20"/>
  <c r="BI42" i="17"/>
  <c r="L31" i="20"/>
  <c r="L42" i="17"/>
  <c r="D31" i="20"/>
  <c r="D42" i="17"/>
  <c r="AY31" i="20"/>
  <c r="AY42" i="17"/>
  <c r="AQ31" i="20"/>
  <c r="AQ42" i="17"/>
  <c r="CT31" i="20"/>
  <c r="CT42" i="17"/>
  <c r="AT31" i="20"/>
  <c r="AT42" i="17"/>
  <c r="CW31" i="20"/>
  <c r="CW42" i="17"/>
  <c r="DG31" i="20"/>
  <c r="DG42" i="17"/>
  <c r="CU31" i="20"/>
  <c r="CU42" i="17"/>
  <c r="DC31" i="20"/>
  <c r="DC42" i="17"/>
  <c r="BQ31" i="20"/>
  <c r="BQ42" i="17"/>
  <c r="BO14" i="19"/>
  <c r="BP13" i="19"/>
  <c r="CX8" i="15"/>
  <c r="E8" i="15"/>
  <c r="BT31" i="20"/>
  <c r="BT42" i="17"/>
  <c r="D8" i="15"/>
  <c r="AZ8" i="15"/>
  <c r="CB8" i="15"/>
  <c r="CG31" i="20"/>
  <c r="CG42" i="17"/>
  <c r="AJ8" i="15"/>
  <c r="M8" i="15"/>
  <c r="O31" i="20"/>
  <c r="O42" i="17"/>
  <c r="CJ31" i="20"/>
  <c r="CJ42" i="17"/>
  <c r="BU31" i="20"/>
  <c r="BU42" i="17"/>
  <c r="DB31" i="20"/>
  <c r="DB42" i="17"/>
  <c r="DQ31" i="20"/>
  <c r="DQ42" i="17"/>
  <c r="AM31" i="20"/>
  <c r="AM42" i="17"/>
  <c r="X31" i="20"/>
  <c r="X42" i="17"/>
  <c r="V8" i="15"/>
  <c r="DR31" i="20"/>
  <c r="DR42" i="17"/>
  <c r="CI31" i="20"/>
  <c r="CI42" i="17"/>
  <c r="AG31" i="20"/>
  <c r="AG42" i="17"/>
  <c r="P31" i="20"/>
  <c r="P42" i="17"/>
  <c r="BR31" i="20"/>
  <c r="BR42" i="17"/>
  <c r="AJ31" i="20"/>
  <c r="AJ42" i="17"/>
  <c r="CN31" i="20"/>
  <c r="CN42" i="17"/>
  <c r="AC8" i="15"/>
  <c r="CT8" i="15"/>
  <c r="AE31" i="20"/>
  <c r="AE42" i="17"/>
  <c r="AW31" i="20"/>
  <c r="AW42" i="17"/>
  <c r="Z31" i="20"/>
  <c r="Z42" i="17"/>
  <c r="CL31" i="20"/>
  <c r="CL42" i="17"/>
  <c r="J31" i="20"/>
  <c r="J42" i="17"/>
  <c r="AZ31" i="20"/>
  <c r="AZ42" i="17"/>
  <c r="BP31" i="20"/>
  <c r="BP42" i="17"/>
  <c r="CR31" i="20"/>
  <c r="CR42" i="17"/>
  <c r="DN31" i="20"/>
  <c r="DN42" i="17"/>
  <c r="BG8" i="15"/>
  <c r="AE8" i="15"/>
  <c r="CD8" i="15"/>
  <c r="AF8" i="15"/>
  <c r="CW8" i="15"/>
  <c r="L8" i="15"/>
  <c r="AY8" i="15"/>
  <c r="AO31" i="20"/>
  <c r="AO42" i="17"/>
  <c r="CE8" i="15"/>
  <c r="BX31" i="20"/>
  <c r="BX42" i="17"/>
  <c r="BH31" i="20"/>
  <c r="BH42" i="17"/>
  <c r="U31" i="20"/>
  <c r="U42" i="17"/>
  <c r="CA31" i="20"/>
  <c r="CA42" i="17"/>
  <c r="CM31" i="20"/>
  <c r="CM42" i="17"/>
  <c r="BZ31" i="20"/>
  <c r="BZ42" i="17"/>
  <c r="G31" i="20"/>
  <c r="G42" i="17"/>
  <c r="V31" i="20"/>
  <c r="V42" i="17"/>
  <c r="AH31" i="20"/>
  <c r="AH42" i="17"/>
  <c r="BO31" i="20"/>
  <c r="BO42" i="17"/>
  <c r="Y31" i="20"/>
  <c r="Y42" i="17"/>
  <c r="DM31" i="20"/>
  <c r="DM42" i="17"/>
  <c r="CH31" i="20"/>
  <c r="CH42" i="17"/>
  <c r="AP31" i="20"/>
  <c r="AP42" i="17"/>
  <c r="B204" i="36" l="1"/>
  <c r="A204" i="36" s="1"/>
  <c r="C204" i="36"/>
  <c r="J21" i="35"/>
  <c r="D22" i="19"/>
  <c r="D23" i="19" s="1"/>
  <c r="D10" i="20" s="1"/>
  <c r="C10" i="20"/>
  <c r="CA43" i="17"/>
  <c r="CA44" i="17" s="1"/>
  <c r="AG43" i="17"/>
  <c r="AG44" i="17" s="1"/>
  <c r="AN43" i="17"/>
  <c r="AN44" i="17" s="1"/>
  <c r="AW43" i="17"/>
  <c r="AW44" i="17" s="1"/>
  <c r="BT43" i="17"/>
  <c r="BT44" i="17" s="1"/>
  <c r="CP43" i="17"/>
  <c r="CP44" i="17" s="1"/>
  <c r="CR43" i="17"/>
  <c r="CR44" i="17" s="1"/>
  <c r="AJ43" i="17"/>
  <c r="AJ44" i="17" s="1"/>
  <c r="L43" i="17"/>
  <c r="L44" i="17" s="1"/>
  <c r="DA43" i="17"/>
  <c r="DA44" i="17" s="1"/>
  <c r="DK43" i="17"/>
  <c r="DK44" i="17" s="1"/>
  <c r="BL43" i="17"/>
  <c r="BL44" i="17" s="1"/>
  <c r="AL43" i="17"/>
  <c r="AL44" i="17" s="1"/>
  <c r="DP43" i="17"/>
  <c r="DP44" i="17" s="1"/>
  <c r="AC43" i="17"/>
  <c r="AC44" i="17" s="1"/>
  <c r="AH43" i="17"/>
  <c r="AH44" i="17" s="1"/>
  <c r="DC43" i="17"/>
  <c r="DC44" i="17" s="1"/>
  <c r="AY43" i="17"/>
  <c r="AY44" i="17" s="1"/>
  <c r="DL43" i="17"/>
  <c r="DL44" i="17" s="1"/>
  <c r="M43" i="17"/>
  <c r="M44" i="17" s="1"/>
  <c r="CS43" i="17"/>
  <c r="CS44" i="17" s="1"/>
  <c r="AF43" i="17"/>
  <c r="AF44" i="17" s="1"/>
  <c r="AM43" i="17"/>
  <c r="AM44" i="17" s="1"/>
  <c r="W43" i="17"/>
  <c r="W44" i="17" s="1"/>
  <c r="BH43" i="17"/>
  <c r="BH44" i="17" s="1"/>
  <c r="CL43" i="17"/>
  <c r="CL44" i="17" s="1"/>
  <c r="DB43" i="17"/>
  <c r="DB44" i="17" s="1"/>
  <c r="DO43" i="17"/>
  <c r="DO44" i="17" s="1"/>
  <c r="Q43" i="17"/>
  <c r="Q44" i="17" s="1"/>
  <c r="DH43" i="17"/>
  <c r="DH44" i="17" s="1"/>
  <c r="DI43" i="17"/>
  <c r="DI44" i="17" s="1"/>
  <c r="CO43" i="17"/>
  <c r="CO44" i="17" s="1"/>
  <c r="H43" i="17"/>
  <c r="H44" i="17" s="1"/>
  <c r="E43" i="17"/>
  <c r="E44" i="17" s="1"/>
  <c r="CH43" i="17"/>
  <c r="CH44" i="17" s="1"/>
  <c r="CM43" i="17"/>
  <c r="CM44" i="17" s="1"/>
  <c r="BX43" i="17"/>
  <c r="BX44" i="17" s="1"/>
  <c r="BP43" i="17"/>
  <c r="BP44" i="17" s="1"/>
  <c r="Z43" i="17"/>
  <c r="Z44" i="17" s="1"/>
  <c r="BR43" i="17"/>
  <c r="BR44" i="17" s="1"/>
  <c r="X43" i="17"/>
  <c r="X44" i="17" s="1"/>
  <c r="BU43" i="17"/>
  <c r="BU44" i="17" s="1"/>
  <c r="BI43" i="17"/>
  <c r="BI44" i="17" s="1"/>
  <c r="AX43" i="17"/>
  <c r="AX44" i="17" s="1"/>
  <c r="DD43" i="17"/>
  <c r="DD44" i="17" s="1"/>
  <c r="BM43" i="17"/>
  <c r="BM44" i="17" s="1"/>
  <c r="S43" i="17"/>
  <c r="S44" i="17" s="1"/>
  <c r="BY43" i="17"/>
  <c r="BY44" i="17" s="1"/>
  <c r="AV43" i="17"/>
  <c r="AV44" i="17" s="1"/>
  <c r="CY43" i="17"/>
  <c r="CY44" i="17" s="1"/>
  <c r="BA43" i="17"/>
  <c r="BA44" i="17" s="1"/>
  <c r="CF43" i="17"/>
  <c r="CF44" i="17" s="1"/>
  <c r="C43" i="17"/>
  <c r="C44" i="17" s="1"/>
  <c r="BG43" i="17"/>
  <c r="BG44" i="17" s="1"/>
  <c r="BJ43" i="17"/>
  <c r="BJ44" i="17" s="1"/>
  <c r="CK43" i="17"/>
  <c r="CK44" i="17" s="1"/>
  <c r="V43" i="17"/>
  <c r="V44" i="17" s="1"/>
  <c r="CW43" i="17"/>
  <c r="CW44" i="17" s="1"/>
  <c r="D43" i="17"/>
  <c r="D44" i="17" s="1"/>
  <c r="N43" i="17"/>
  <c r="N44" i="17" s="1"/>
  <c r="AZ43" i="17"/>
  <c r="AZ44" i="17" s="1"/>
  <c r="P43" i="17"/>
  <c r="P44" i="17" s="1"/>
  <c r="CG43" i="17"/>
  <c r="CG44" i="17" s="1"/>
  <c r="CU43" i="17"/>
  <c r="CU44" i="17" s="1"/>
  <c r="AU43" i="17"/>
  <c r="AU44" i="17" s="1"/>
  <c r="CX43" i="17"/>
  <c r="CX44" i="17" s="1"/>
  <c r="BV43" i="17"/>
  <c r="BV44" i="17" s="1"/>
  <c r="BD43" i="17"/>
  <c r="BD44" i="17" s="1"/>
  <c r="BC43" i="17"/>
  <c r="BC44" i="17" s="1"/>
  <c r="CE43" i="17"/>
  <c r="CE44" i="17" s="1"/>
  <c r="Y43" i="17"/>
  <c r="Y44" i="17" s="1"/>
  <c r="U43" i="17"/>
  <c r="U44" i="17" s="1"/>
  <c r="CT43" i="17"/>
  <c r="CT44" i="17" s="1"/>
  <c r="AO43" i="17"/>
  <c r="AO44" i="17" s="1"/>
  <c r="DN43" i="17"/>
  <c r="DN44" i="17" s="1"/>
  <c r="J43" i="17"/>
  <c r="J44" i="17" s="1"/>
  <c r="AE43" i="17"/>
  <c r="AE44" i="17" s="1"/>
  <c r="DQ43" i="17"/>
  <c r="DQ44" i="17" s="1"/>
  <c r="O43" i="17"/>
  <c r="O44" i="17" s="1"/>
  <c r="E22" i="19"/>
  <c r="BQ43" i="17"/>
  <c r="BQ44" i="17" s="1"/>
  <c r="DG43" i="17"/>
  <c r="DG44" i="17" s="1"/>
  <c r="BF43" i="17"/>
  <c r="BF44" i="17" s="1"/>
  <c r="DE43" i="17"/>
  <c r="DE44" i="17" s="1"/>
  <c r="BN43" i="17"/>
  <c r="BN44" i="17" s="1"/>
  <c r="CC43" i="17"/>
  <c r="CC44" i="17" s="1"/>
  <c r="CV43" i="17"/>
  <c r="CV44" i="17" s="1"/>
  <c r="T43" i="17"/>
  <c r="T44" i="17" s="1"/>
  <c r="AR43" i="17"/>
  <c r="AR44" i="17" s="1"/>
  <c r="AK43" i="17"/>
  <c r="AK44" i="17" s="1"/>
  <c r="BB43" i="17"/>
  <c r="BB44" i="17" s="1"/>
  <c r="BE43" i="17"/>
  <c r="BE44" i="17" s="1"/>
  <c r="AA43" i="17"/>
  <c r="AA44" i="17" s="1"/>
  <c r="DM43" i="17"/>
  <c r="DM44" i="17" s="1"/>
  <c r="AT43" i="17"/>
  <c r="AT44" i="17" s="1"/>
  <c r="BK43" i="17"/>
  <c r="BK44" i="17" s="1"/>
  <c r="CD43" i="17"/>
  <c r="CD44" i="17" s="1"/>
  <c r="D26" i="19"/>
  <c r="E9" i="15"/>
  <c r="CN43" i="17"/>
  <c r="CN44" i="17" s="1"/>
  <c r="CJ43" i="17"/>
  <c r="CJ44" i="17" s="1"/>
  <c r="BP14" i="19"/>
  <c r="BQ13" i="19"/>
  <c r="CZ43" i="17"/>
  <c r="CZ44" i="17" s="1"/>
  <c r="CB43" i="17"/>
  <c r="CB44" i="17" s="1"/>
  <c r="DJ43" i="17"/>
  <c r="DJ44" i="17" s="1"/>
  <c r="AD43" i="17"/>
  <c r="AD44" i="17" s="1"/>
  <c r="I43" i="17"/>
  <c r="I44" i="17" s="1"/>
  <c r="BW43" i="17"/>
  <c r="BW44" i="17" s="1"/>
  <c r="C7" i="21"/>
  <c r="C28" i="19"/>
  <c r="C16" i="20"/>
  <c r="C18" i="20" s="1"/>
  <c r="G43" i="17"/>
  <c r="G44" i="17" s="1"/>
  <c r="CI43" i="17"/>
  <c r="CI44" i="17" s="1"/>
  <c r="AS43" i="17"/>
  <c r="AS44" i="17" s="1"/>
  <c r="DF43" i="17"/>
  <c r="DF44" i="17" s="1"/>
  <c r="R43" i="17"/>
  <c r="R44" i="17" s="1"/>
  <c r="BS43" i="17"/>
  <c r="BS44" i="17" s="1"/>
  <c r="AP43" i="17"/>
  <c r="AP44" i="17" s="1"/>
  <c r="BO43" i="17"/>
  <c r="BO44" i="17" s="1"/>
  <c r="BZ43" i="17"/>
  <c r="BZ44" i="17" s="1"/>
  <c r="DR43" i="17"/>
  <c r="DR44" i="17" s="1"/>
  <c r="AQ43" i="17"/>
  <c r="AQ44" i="17" s="1"/>
  <c r="CQ43" i="17"/>
  <c r="CQ44" i="17" s="1"/>
  <c r="AI43" i="17"/>
  <c r="AI44" i="17" s="1"/>
  <c r="K43" i="17"/>
  <c r="K44" i="17" s="1"/>
  <c r="AB43" i="17"/>
  <c r="AB44" i="17" s="1"/>
  <c r="F43" i="17"/>
  <c r="F44" i="17" s="1"/>
  <c r="R43" i="34" l="1"/>
  <c r="R44" i="34" s="1"/>
  <c r="K21" i="35"/>
  <c r="F204" i="36"/>
  <c r="D204" i="36"/>
  <c r="E204" i="36" s="1"/>
  <c r="D13" i="21"/>
  <c r="BN28" i="20"/>
  <c r="BN34" i="19"/>
  <c r="BN18" i="21"/>
  <c r="BN7" i="20"/>
  <c r="CT28" i="20"/>
  <c r="CT34" i="19"/>
  <c r="CT18" i="21"/>
  <c r="CT7" i="20"/>
  <c r="BS28" i="20"/>
  <c r="BS34" i="19"/>
  <c r="BS18" i="21"/>
  <c r="BS7" i="20"/>
  <c r="DJ28" i="20"/>
  <c r="DJ18" i="21"/>
  <c r="DJ34" i="19"/>
  <c r="DJ7" i="20"/>
  <c r="CN34" i="19"/>
  <c r="CN18" i="21"/>
  <c r="CN28" i="20"/>
  <c r="CN7" i="20"/>
  <c r="DN34" i="19"/>
  <c r="DN28" i="20"/>
  <c r="DN18" i="21"/>
  <c r="DN7" i="20"/>
  <c r="CU18" i="21"/>
  <c r="CU28" i="20"/>
  <c r="CU34" i="19"/>
  <c r="CU7" i="20"/>
  <c r="C28" i="20"/>
  <c r="C18" i="21"/>
  <c r="C7" i="20"/>
  <c r="C11" i="20" s="1"/>
  <c r="C20" i="20" s="1"/>
  <c r="C24" i="20" s="1"/>
  <c r="C34" i="19"/>
  <c r="BU18" i="21"/>
  <c r="BU28" i="20"/>
  <c r="BU34" i="19"/>
  <c r="BU7" i="20"/>
  <c r="AQ28" i="20"/>
  <c r="AQ18" i="21"/>
  <c r="AQ34" i="19"/>
  <c r="AQ7" i="20"/>
  <c r="R34" i="19"/>
  <c r="R28" i="20"/>
  <c r="R18" i="21"/>
  <c r="R7" i="20"/>
  <c r="CB28" i="20"/>
  <c r="CB34" i="19"/>
  <c r="CB18" i="21"/>
  <c r="CB7" i="20"/>
  <c r="BQ18" i="21"/>
  <c r="BQ28" i="20"/>
  <c r="BQ34" i="19"/>
  <c r="BQ7" i="20"/>
  <c r="CF18" i="21"/>
  <c r="CF34" i="19"/>
  <c r="CF28" i="20"/>
  <c r="CF7" i="20"/>
  <c r="X18" i="21"/>
  <c r="X34" i="19"/>
  <c r="X28" i="20"/>
  <c r="X7" i="20"/>
  <c r="BH28" i="20"/>
  <c r="BH34" i="19"/>
  <c r="BH18" i="21"/>
  <c r="BH7" i="20"/>
  <c r="DP18" i="21"/>
  <c r="DP34" i="19"/>
  <c r="DP28" i="20"/>
  <c r="DP7" i="20"/>
  <c r="AN34" i="19"/>
  <c r="AN28" i="20"/>
  <c r="AN18" i="21"/>
  <c r="AN7" i="20"/>
  <c r="DR34" i="19"/>
  <c r="DR18" i="21"/>
  <c r="DR28" i="20"/>
  <c r="DR7" i="20"/>
  <c r="DF18" i="21"/>
  <c r="DF28" i="20"/>
  <c r="DF34" i="19"/>
  <c r="DF7" i="20"/>
  <c r="CC34" i="19"/>
  <c r="CC18" i="21"/>
  <c r="CC28" i="20"/>
  <c r="CC7" i="20"/>
  <c r="V28" i="20"/>
  <c r="V18" i="21"/>
  <c r="V34" i="19"/>
  <c r="V7" i="20"/>
  <c r="DH34" i="19"/>
  <c r="DH28" i="20"/>
  <c r="DH18" i="21"/>
  <c r="DH7" i="20"/>
  <c r="W18" i="21"/>
  <c r="W28" i="20"/>
  <c r="W34" i="19"/>
  <c r="W7" i="20"/>
  <c r="DL34" i="19"/>
  <c r="DL18" i="21"/>
  <c r="DL28" i="20"/>
  <c r="DL7" i="20"/>
  <c r="AB28" i="20"/>
  <c r="AB7" i="20"/>
  <c r="AB34" i="19"/>
  <c r="AB18" i="21"/>
  <c r="CD34" i="19"/>
  <c r="CD28" i="20"/>
  <c r="CD18" i="21"/>
  <c r="CD7" i="20"/>
  <c r="O18" i="21"/>
  <c r="O28" i="20"/>
  <c r="O34" i="19"/>
  <c r="O7" i="20"/>
  <c r="P34" i="19"/>
  <c r="P28" i="20"/>
  <c r="P18" i="21"/>
  <c r="P7" i="20"/>
  <c r="CH28" i="20"/>
  <c r="CH18" i="21"/>
  <c r="CH34" i="19"/>
  <c r="CH7" i="20"/>
  <c r="AM28" i="20"/>
  <c r="AM34" i="19"/>
  <c r="AM18" i="21"/>
  <c r="AM7" i="20"/>
  <c r="BB28" i="20"/>
  <c r="BB18" i="21"/>
  <c r="BB34" i="19"/>
  <c r="BB7" i="20"/>
  <c r="U28" i="20"/>
  <c r="U34" i="19"/>
  <c r="U18" i="21"/>
  <c r="U7" i="20"/>
  <c r="Z18" i="21"/>
  <c r="Z28" i="20"/>
  <c r="Z34" i="19"/>
  <c r="Z7" i="20"/>
  <c r="E18" i="21"/>
  <c r="E34" i="19"/>
  <c r="E28" i="20"/>
  <c r="E7" i="20"/>
  <c r="BL18" i="21"/>
  <c r="BL34" i="19"/>
  <c r="BL28" i="20"/>
  <c r="BL7" i="20"/>
  <c r="AG18" i="21"/>
  <c r="AG34" i="19"/>
  <c r="AG28" i="20"/>
  <c r="AG7" i="20"/>
  <c r="CI34" i="19"/>
  <c r="CI28" i="20"/>
  <c r="CI18" i="21"/>
  <c r="CI7" i="20"/>
  <c r="AK34" i="19"/>
  <c r="AK18" i="21"/>
  <c r="AK28" i="20"/>
  <c r="AK7" i="20"/>
  <c r="CX18" i="21"/>
  <c r="CX28" i="20"/>
  <c r="CX34" i="19"/>
  <c r="CX7" i="20"/>
  <c r="BJ28" i="20"/>
  <c r="BJ34" i="19"/>
  <c r="BJ7" i="20"/>
  <c r="BJ18" i="21"/>
  <c r="AX34" i="19"/>
  <c r="AX28" i="20"/>
  <c r="AX18" i="21"/>
  <c r="AX7" i="20"/>
  <c r="DO34" i="19"/>
  <c r="DO18" i="21"/>
  <c r="DO28" i="20"/>
  <c r="DO7" i="20"/>
  <c r="CR18" i="21"/>
  <c r="CR34" i="19"/>
  <c r="CR28" i="20"/>
  <c r="CR7" i="20"/>
  <c r="CA34" i="19"/>
  <c r="CA28" i="20"/>
  <c r="CA18" i="21"/>
  <c r="CA7" i="20"/>
  <c r="AR34" i="19"/>
  <c r="AR28" i="20"/>
  <c r="AR18" i="21"/>
  <c r="AR7" i="20"/>
  <c r="BF34" i="19"/>
  <c r="BF18" i="21"/>
  <c r="BF28" i="20"/>
  <c r="BF7" i="20"/>
  <c r="AE18" i="21"/>
  <c r="AE28" i="20"/>
  <c r="AE34" i="19"/>
  <c r="AE7" i="20"/>
  <c r="N18" i="21"/>
  <c r="N28" i="20"/>
  <c r="N34" i="19"/>
  <c r="N7" i="20"/>
  <c r="AV34" i="19"/>
  <c r="AV28" i="20"/>
  <c r="AV18" i="21"/>
  <c r="AV7" i="20"/>
  <c r="DB28" i="20"/>
  <c r="DB18" i="21"/>
  <c r="DB34" i="19"/>
  <c r="DB7" i="20"/>
  <c r="AH28" i="20"/>
  <c r="AH18" i="21"/>
  <c r="AH34" i="19"/>
  <c r="AH7" i="20"/>
  <c r="CP28" i="20"/>
  <c r="CP34" i="19"/>
  <c r="CP18" i="21"/>
  <c r="CP7" i="20"/>
  <c r="BW28" i="20"/>
  <c r="BW18" i="21"/>
  <c r="BW34" i="19"/>
  <c r="BW7" i="20"/>
  <c r="AY18" i="21"/>
  <c r="AY28" i="20"/>
  <c r="AY34" i="19"/>
  <c r="AY7" i="20"/>
  <c r="K28" i="20"/>
  <c r="K34" i="19"/>
  <c r="K18" i="21"/>
  <c r="K7" i="20"/>
  <c r="BK18" i="21"/>
  <c r="BK34" i="19"/>
  <c r="BK28" i="20"/>
  <c r="BK7" i="20"/>
  <c r="BV34" i="19"/>
  <c r="BV18" i="21"/>
  <c r="BV28" i="20"/>
  <c r="BV7" i="20"/>
  <c r="DD34" i="19"/>
  <c r="DD18" i="21"/>
  <c r="DD28" i="20"/>
  <c r="DD7" i="20"/>
  <c r="AJ34" i="19"/>
  <c r="AJ28" i="20"/>
  <c r="AJ18" i="21"/>
  <c r="AJ7" i="20"/>
  <c r="BO18" i="21"/>
  <c r="BO28" i="20"/>
  <c r="BO34" i="19"/>
  <c r="BO7" i="20"/>
  <c r="Y18" i="21"/>
  <c r="Y28" i="20"/>
  <c r="Y34" i="19"/>
  <c r="Y7" i="20"/>
  <c r="DM28" i="20"/>
  <c r="DM18" i="21"/>
  <c r="DM34" i="19"/>
  <c r="DM7" i="20"/>
  <c r="T34" i="19"/>
  <c r="T18" i="21"/>
  <c r="T28" i="20"/>
  <c r="T7" i="20"/>
  <c r="J34" i="19"/>
  <c r="J28" i="20"/>
  <c r="J18" i="21"/>
  <c r="J7" i="20"/>
  <c r="D18" i="21"/>
  <c r="D34" i="19"/>
  <c r="D28" i="20"/>
  <c r="D7" i="20"/>
  <c r="D11" i="20" s="1"/>
  <c r="BY18" i="21"/>
  <c r="BY28" i="20"/>
  <c r="BY34" i="19"/>
  <c r="BY7" i="20"/>
  <c r="CO34" i="19"/>
  <c r="CO28" i="20"/>
  <c r="CO18" i="21"/>
  <c r="CO7" i="20"/>
  <c r="DA28" i="20"/>
  <c r="DA34" i="19"/>
  <c r="DA18" i="21"/>
  <c r="DA7" i="20"/>
  <c r="AS34" i="19"/>
  <c r="AS28" i="20"/>
  <c r="AS18" i="21"/>
  <c r="AS7" i="20"/>
  <c r="E23" i="19"/>
  <c r="F22" i="19"/>
  <c r="BP34" i="19"/>
  <c r="BP18" i="21"/>
  <c r="BP28" i="20"/>
  <c r="BP7" i="20"/>
  <c r="DI18" i="21"/>
  <c r="DI34" i="19"/>
  <c r="DI28" i="20"/>
  <c r="DI7" i="20"/>
  <c r="AL28" i="20"/>
  <c r="AL34" i="19"/>
  <c r="AL18" i="21"/>
  <c r="AL7" i="20"/>
  <c r="AT18" i="21"/>
  <c r="AT34" i="19"/>
  <c r="AT28" i="20"/>
  <c r="AT7" i="20"/>
  <c r="CW34" i="19"/>
  <c r="CW28" i="20"/>
  <c r="CW18" i="21"/>
  <c r="CW7" i="20"/>
  <c r="S18" i="21"/>
  <c r="S28" i="20"/>
  <c r="S34" i="19"/>
  <c r="S7" i="20"/>
  <c r="BR18" i="21"/>
  <c r="BR28" i="20"/>
  <c r="BR34" i="19"/>
  <c r="BR7" i="20"/>
  <c r="CS18" i="21"/>
  <c r="CS7" i="20"/>
  <c r="CS28" i="20"/>
  <c r="CS34" i="19"/>
  <c r="AC34" i="19"/>
  <c r="AC18" i="21"/>
  <c r="AC7" i="20"/>
  <c r="AC28" i="20"/>
  <c r="BT28" i="20"/>
  <c r="BT18" i="21"/>
  <c r="BT34" i="19"/>
  <c r="BT7" i="20"/>
  <c r="G18" i="21"/>
  <c r="G34" i="19"/>
  <c r="G28" i="20"/>
  <c r="G7" i="20"/>
  <c r="E26" i="19"/>
  <c r="F9" i="15"/>
  <c r="AU34" i="19"/>
  <c r="AU28" i="20"/>
  <c r="AU18" i="21"/>
  <c r="AU7" i="20"/>
  <c r="AP28" i="20"/>
  <c r="AP34" i="19"/>
  <c r="AP18" i="21"/>
  <c r="AP7" i="20"/>
  <c r="CJ28" i="20"/>
  <c r="CJ34" i="19"/>
  <c r="CJ18" i="21"/>
  <c r="CJ7" i="20"/>
  <c r="AA28" i="20"/>
  <c r="AA18" i="21"/>
  <c r="AA34" i="19"/>
  <c r="AA7" i="20"/>
  <c r="DE18" i="21"/>
  <c r="DE28" i="20"/>
  <c r="DE34" i="19"/>
  <c r="DE7" i="20"/>
  <c r="CE34" i="19"/>
  <c r="CE28" i="20"/>
  <c r="CE18" i="21"/>
  <c r="CE7" i="20"/>
  <c r="CG28" i="20"/>
  <c r="CG34" i="19"/>
  <c r="CG18" i="21"/>
  <c r="CG7" i="20"/>
  <c r="CK28" i="20"/>
  <c r="CK18" i="21"/>
  <c r="CK34" i="19"/>
  <c r="CK7" i="20"/>
  <c r="AI18" i="21"/>
  <c r="AI28" i="20"/>
  <c r="AI34" i="19"/>
  <c r="AI7" i="20"/>
  <c r="L34" i="19"/>
  <c r="L28" i="20"/>
  <c r="L7" i="20"/>
  <c r="L18" i="21"/>
  <c r="CQ28" i="20"/>
  <c r="CQ34" i="19"/>
  <c r="CQ18" i="21"/>
  <c r="CQ7" i="20"/>
  <c r="I34" i="19"/>
  <c r="I28" i="20"/>
  <c r="I7" i="20"/>
  <c r="I18" i="21"/>
  <c r="BE28" i="20"/>
  <c r="BE34" i="19"/>
  <c r="BE18" i="21"/>
  <c r="BE7" i="20"/>
  <c r="BC34" i="19"/>
  <c r="BC18" i="21"/>
  <c r="BC28" i="20"/>
  <c r="BC7" i="20"/>
  <c r="BA28" i="20"/>
  <c r="BA18" i="21"/>
  <c r="BA34" i="19"/>
  <c r="BA7" i="20"/>
  <c r="BI28" i="20"/>
  <c r="BI34" i="19"/>
  <c r="BI18" i="21"/>
  <c r="BI7" i="20"/>
  <c r="BX28" i="20"/>
  <c r="BX34" i="19"/>
  <c r="BX18" i="21"/>
  <c r="BX7" i="20"/>
  <c r="H34" i="19"/>
  <c r="H28" i="20"/>
  <c r="H18" i="21"/>
  <c r="H7" i="20"/>
  <c r="BZ28" i="20"/>
  <c r="BZ18" i="21"/>
  <c r="BZ34" i="19"/>
  <c r="BZ7" i="20"/>
  <c r="DQ34" i="19"/>
  <c r="DQ18" i="21"/>
  <c r="DQ28" i="20"/>
  <c r="DQ7" i="20"/>
  <c r="AZ18" i="21"/>
  <c r="AZ34" i="19"/>
  <c r="AZ28" i="20"/>
  <c r="AZ7" i="20"/>
  <c r="BG34" i="19"/>
  <c r="BG18" i="21"/>
  <c r="BG28" i="20"/>
  <c r="BG7" i="20"/>
  <c r="M28" i="20"/>
  <c r="M18" i="21"/>
  <c r="M34" i="19"/>
  <c r="M7" i="20"/>
  <c r="CV34" i="19"/>
  <c r="CV18" i="21"/>
  <c r="CV28" i="20"/>
  <c r="CV7" i="20"/>
  <c r="AO28" i="20"/>
  <c r="AO18" i="21"/>
  <c r="AO34" i="19"/>
  <c r="AO7" i="20"/>
  <c r="BD18" i="21"/>
  <c r="BD28" i="20"/>
  <c r="BD34" i="19"/>
  <c r="BD7" i="20"/>
  <c r="CY28" i="20"/>
  <c r="CY18" i="21"/>
  <c r="CY34" i="19"/>
  <c r="CY7" i="20"/>
  <c r="CM28" i="20"/>
  <c r="CM34" i="19"/>
  <c r="CM18" i="21"/>
  <c r="CM7" i="20"/>
  <c r="AF34" i="19"/>
  <c r="AF28" i="20"/>
  <c r="AF18" i="21"/>
  <c r="AF7" i="20"/>
  <c r="BQ14" i="19"/>
  <c r="BR13" i="19"/>
  <c r="F18" i="21"/>
  <c r="F34" i="19"/>
  <c r="F7" i="20"/>
  <c r="F28" i="20"/>
  <c r="DC28" i="20"/>
  <c r="DC18" i="21"/>
  <c r="DC34" i="19"/>
  <c r="DC7" i="20"/>
  <c r="CZ28" i="20"/>
  <c r="CZ18" i="21"/>
  <c r="CZ34" i="19"/>
  <c r="CZ7" i="20"/>
  <c r="DG18" i="21"/>
  <c r="DG28" i="20"/>
  <c r="DG34" i="19"/>
  <c r="DG7" i="20"/>
  <c r="CL18" i="21"/>
  <c r="CL28" i="20"/>
  <c r="CL34" i="19"/>
  <c r="CL7" i="20"/>
  <c r="DK18" i="21"/>
  <c r="DK28" i="20"/>
  <c r="DK34" i="19"/>
  <c r="DK7" i="20"/>
  <c r="AD18" i="21"/>
  <c r="AD28" i="20"/>
  <c r="AD34" i="19"/>
  <c r="AD7" i="20"/>
  <c r="D7" i="21"/>
  <c r="D28" i="19"/>
  <c r="D16" i="20"/>
  <c r="D18" i="20" s="1"/>
  <c r="BM34" i="19"/>
  <c r="BM28" i="20"/>
  <c r="BM18" i="21"/>
  <c r="BM7" i="20"/>
  <c r="Q18" i="21"/>
  <c r="Q34" i="19"/>
  <c r="Q7" i="20"/>
  <c r="Q28" i="20"/>
  <c r="AW28" i="20"/>
  <c r="AW34" i="19"/>
  <c r="AW18" i="21"/>
  <c r="AW7" i="20"/>
  <c r="C205" i="36" l="1"/>
  <c r="B205" i="36"/>
  <c r="A205" i="36" s="1"/>
  <c r="D205" i="36" s="1"/>
  <c r="C8" i="19"/>
  <c r="C10" i="19" s="1"/>
  <c r="D22" i="20"/>
  <c r="C35" i="19"/>
  <c r="D33" i="19"/>
  <c r="F23" i="19"/>
  <c r="G22" i="19"/>
  <c r="F26" i="19"/>
  <c r="G9" i="15"/>
  <c r="BR14" i="19"/>
  <c r="BS13" i="19"/>
  <c r="E7" i="21"/>
  <c r="E16" i="20"/>
  <c r="E18" i="20" s="1"/>
  <c r="E28" i="19"/>
  <c r="E13" i="21"/>
  <c r="E10" i="20"/>
  <c r="E11" i="20" s="1"/>
  <c r="D20" i="20"/>
  <c r="E205" i="36" l="1"/>
  <c r="F205" i="36"/>
  <c r="C15" i="19"/>
  <c r="C12" i="21"/>
  <c r="C14" i="21" s="1"/>
  <c r="C27" i="20"/>
  <c r="F10" i="20"/>
  <c r="F11" i="20" s="1"/>
  <c r="F13" i="21"/>
  <c r="D35" i="19"/>
  <c r="E33" i="19"/>
  <c r="C37" i="19"/>
  <c r="C8" i="21"/>
  <c r="C9" i="21" s="1"/>
  <c r="C16" i="21"/>
  <c r="D6" i="16"/>
  <c r="D24" i="20"/>
  <c r="F28" i="19"/>
  <c r="F7" i="21"/>
  <c r="F16" i="20"/>
  <c r="F18" i="20" s="1"/>
  <c r="G23" i="19"/>
  <c r="H22" i="19"/>
  <c r="E20" i="20"/>
  <c r="G26" i="19"/>
  <c r="H9" i="15"/>
  <c r="BS14" i="19"/>
  <c r="BT13" i="19"/>
  <c r="C206" i="36" l="1"/>
  <c r="B206" i="36"/>
  <c r="A206" i="36" s="1"/>
  <c r="D206" i="36" s="1"/>
  <c r="F20" i="20"/>
  <c r="BT14" i="19"/>
  <c r="BU13" i="19"/>
  <c r="C39" i="19"/>
  <c r="G7" i="21"/>
  <c r="G28" i="19"/>
  <c r="G16" i="20"/>
  <c r="G18" i="20" s="1"/>
  <c r="D8" i="19"/>
  <c r="D10" i="19" s="1"/>
  <c r="E22" i="20"/>
  <c r="C30" i="20"/>
  <c r="C32" i="20" s="1"/>
  <c r="H23" i="19"/>
  <c r="I22" i="19"/>
  <c r="G10" i="20"/>
  <c r="G11" i="20" s="1"/>
  <c r="G13" i="21"/>
  <c r="D9" i="16"/>
  <c r="D8" i="16"/>
  <c r="E35" i="19"/>
  <c r="F33" i="19"/>
  <c r="H26" i="19"/>
  <c r="I9" i="15"/>
  <c r="D8" i="21"/>
  <c r="D9" i="21" s="1"/>
  <c r="D37" i="19"/>
  <c r="D16" i="21"/>
  <c r="F206" i="36" l="1"/>
  <c r="E206" i="36"/>
  <c r="I23" i="19"/>
  <c r="J22" i="19"/>
  <c r="F35" i="19"/>
  <c r="G33" i="19"/>
  <c r="I26" i="19"/>
  <c r="J9" i="15"/>
  <c r="E6" i="16"/>
  <c r="E24" i="20"/>
  <c r="H16" i="20"/>
  <c r="H18" i="20" s="1"/>
  <c r="H7" i="21"/>
  <c r="H28" i="19"/>
  <c r="H10" i="20"/>
  <c r="H11" i="20" s="1"/>
  <c r="H13" i="21"/>
  <c r="E37" i="19"/>
  <c r="E8" i="21"/>
  <c r="E9" i="21" s="1"/>
  <c r="E16" i="21"/>
  <c r="BU14" i="19"/>
  <c r="BV13" i="19"/>
  <c r="D15" i="19"/>
  <c r="D39" i="19" s="1"/>
  <c r="D27" i="20"/>
  <c r="D12" i="21"/>
  <c r="D14" i="21" s="1"/>
  <c r="G20" i="20"/>
  <c r="C207" i="36" l="1"/>
  <c r="B207" i="36"/>
  <c r="A207" i="36" s="1"/>
  <c r="D207" i="36" s="1"/>
  <c r="H20" i="20"/>
  <c r="G35" i="19"/>
  <c r="H33" i="19"/>
  <c r="I7" i="21"/>
  <c r="I28" i="19"/>
  <c r="I16" i="20"/>
  <c r="I18" i="20" s="1"/>
  <c r="E8" i="19"/>
  <c r="E10" i="19" s="1"/>
  <c r="F22" i="20"/>
  <c r="I10" i="20"/>
  <c r="I11" i="20" s="1"/>
  <c r="I13" i="21"/>
  <c r="D30" i="20"/>
  <c r="D32" i="20" s="1"/>
  <c r="F8" i="21"/>
  <c r="F9" i="21" s="1"/>
  <c r="F37" i="19"/>
  <c r="F16" i="21"/>
  <c r="E9" i="16"/>
  <c r="E8" i="16"/>
  <c r="J23" i="19"/>
  <c r="K22" i="19"/>
  <c r="BV14" i="19"/>
  <c r="BW13" i="19"/>
  <c r="J26" i="19"/>
  <c r="K9" i="15"/>
  <c r="E207" i="36" l="1"/>
  <c r="F207" i="36"/>
  <c r="K23" i="19"/>
  <c r="L22" i="19"/>
  <c r="J10" i="20"/>
  <c r="J11" i="20" s="1"/>
  <c r="J13" i="21"/>
  <c r="J7" i="21"/>
  <c r="J16" i="20"/>
  <c r="J18" i="20" s="1"/>
  <c r="J28" i="19"/>
  <c r="H35" i="19"/>
  <c r="I33" i="19"/>
  <c r="K26" i="19"/>
  <c r="L9" i="15"/>
  <c r="G37" i="19"/>
  <c r="G8" i="21"/>
  <c r="G9" i="21" s="1"/>
  <c r="G16" i="21"/>
  <c r="F6" i="16"/>
  <c r="F24" i="20"/>
  <c r="BX13" i="19"/>
  <c r="BW14" i="19"/>
  <c r="E15" i="19"/>
  <c r="E39" i="19" s="1"/>
  <c r="E27" i="20"/>
  <c r="E12" i="21"/>
  <c r="E14" i="21" s="1"/>
  <c r="I20" i="20"/>
  <c r="C208" i="36" l="1"/>
  <c r="B208" i="36"/>
  <c r="A208" i="36" s="1"/>
  <c r="D208" i="36" s="1"/>
  <c r="L26" i="19"/>
  <c r="M9" i="15"/>
  <c r="K28" i="19"/>
  <c r="K7" i="21"/>
  <c r="K16" i="20"/>
  <c r="K18" i="20" s="1"/>
  <c r="BX14" i="19"/>
  <c r="BY13" i="19"/>
  <c r="I35" i="19"/>
  <c r="J33" i="19"/>
  <c r="H8" i="21"/>
  <c r="H9" i="21" s="1"/>
  <c r="H37" i="19"/>
  <c r="H16" i="21"/>
  <c r="L23" i="19"/>
  <c r="M22" i="19"/>
  <c r="F9" i="16"/>
  <c r="F8" i="16"/>
  <c r="K10" i="20"/>
  <c r="K11" i="20" s="1"/>
  <c r="K13" i="21"/>
  <c r="F8" i="19"/>
  <c r="F10" i="19" s="1"/>
  <c r="G22" i="20"/>
  <c r="E30" i="20"/>
  <c r="E32" i="20" s="1"/>
  <c r="J20" i="20"/>
  <c r="F208" i="36" l="1"/>
  <c r="E208" i="36"/>
  <c r="K20" i="20"/>
  <c r="M26" i="19"/>
  <c r="N9" i="15"/>
  <c r="J35" i="19"/>
  <c r="K33" i="19"/>
  <c r="I8" i="21"/>
  <c r="I9" i="21" s="1"/>
  <c r="I37" i="19"/>
  <c r="I16" i="21"/>
  <c r="L10" i="20"/>
  <c r="L11" i="20" s="1"/>
  <c r="L13" i="21"/>
  <c r="L7" i="21"/>
  <c r="L28" i="19"/>
  <c r="L16" i="20"/>
  <c r="L18" i="20" s="1"/>
  <c r="BY14" i="19"/>
  <c r="BZ13" i="19"/>
  <c r="F12" i="21"/>
  <c r="F14" i="21" s="1"/>
  <c r="F15" i="19"/>
  <c r="F39" i="19" s="1"/>
  <c r="F27" i="20"/>
  <c r="G6" i="16"/>
  <c r="G24" i="20"/>
  <c r="M23" i="19"/>
  <c r="N22" i="19"/>
  <c r="C209" i="36" l="1"/>
  <c r="B209" i="36"/>
  <c r="A209" i="36" s="1"/>
  <c r="D209" i="36" s="1"/>
  <c r="K35" i="19"/>
  <c r="L33" i="19"/>
  <c r="J8" i="21"/>
  <c r="J9" i="21" s="1"/>
  <c r="J37" i="19"/>
  <c r="J16" i="21"/>
  <c r="N23" i="19"/>
  <c r="O22" i="19"/>
  <c r="BZ14" i="19"/>
  <c r="CA13" i="19"/>
  <c r="G9" i="16"/>
  <c r="G8" i="16"/>
  <c r="M13" i="21"/>
  <c r="M10" i="20"/>
  <c r="M11" i="20" s="1"/>
  <c r="F30" i="20"/>
  <c r="F32" i="20" s="1"/>
  <c r="N26" i="19"/>
  <c r="O9" i="15"/>
  <c r="M28" i="19"/>
  <c r="M7" i="21"/>
  <c r="M16" i="20"/>
  <c r="M18" i="20" s="1"/>
  <c r="G8" i="19"/>
  <c r="G10" i="19" s="1"/>
  <c r="H22" i="20"/>
  <c r="L20" i="20"/>
  <c r="H22" i="35" l="1"/>
  <c r="H20" i="35"/>
  <c r="E209" i="36"/>
  <c r="F209" i="36"/>
  <c r="N28" i="19"/>
  <c r="N7" i="21"/>
  <c r="N16" i="20"/>
  <c r="N18" i="20" s="1"/>
  <c r="L35" i="19"/>
  <c r="M33" i="19"/>
  <c r="O23" i="19"/>
  <c r="P22" i="19"/>
  <c r="O26" i="19"/>
  <c r="P9" i="15"/>
  <c r="H6" i="16"/>
  <c r="H24" i="20"/>
  <c r="CA14" i="19"/>
  <c r="CB13" i="19"/>
  <c r="K37" i="19"/>
  <c r="K8" i="21"/>
  <c r="K9" i="21" s="1"/>
  <c r="K16" i="21"/>
  <c r="G12" i="21"/>
  <c r="G14" i="21" s="1"/>
  <c r="G27" i="20"/>
  <c r="G15" i="19"/>
  <c r="G39" i="19" s="1"/>
  <c r="M20" i="20"/>
  <c r="N10" i="20"/>
  <c r="N11" i="20" s="1"/>
  <c r="N13" i="21"/>
  <c r="Q26" i="34" l="1"/>
  <c r="Q27" i="34" s="1"/>
  <c r="AE51" i="34"/>
  <c r="I22" i="35"/>
  <c r="S37" i="34" s="1"/>
  <c r="I20" i="35"/>
  <c r="Q37" i="34" s="1"/>
  <c r="C210" i="36"/>
  <c r="B210" i="36"/>
  <c r="A210" i="36" s="1"/>
  <c r="D210" i="36" s="1"/>
  <c r="S26" i="34"/>
  <c r="AE53" i="34"/>
  <c r="N20" i="20"/>
  <c r="L37" i="19"/>
  <c r="L8" i="21"/>
  <c r="L9" i="21" s="1"/>
  <c r="L16" i="21"/>
  <c r="P23" i="19"/>
  <c r="Q22" i="19"/>
  <c r="O10" i="20"/>
  <c r="O11" i="20" s="1"/>
  <c r="O13" i="21"/>
  <c r="H8" i="19"/>
  <c r="H10" i="19" s="1"/>
  <c r="I22" i="20"/>
  <c r="G30" i="20"/>
  <c r="G32" i="20" s="1"/>
  <c r="H8" i="16"/>
  <c r="H9" i="16"/>
  <c r="P26" i="19"/>
  <c r="Q9" i="15"/>
  <c r="O7" i="21"/>
  <c r="O16" i="20"/>
  <c r="O18" i="20" s="1"/>
  <c r="O28" i="19"/>
  <c r="CB14" i="19"/>
  <c r="CC13" i="19"/>
  <c r="M35" i="19"/>
  <c r="N33" i="19"/>
  <c r="F210" i="36" l="1"/>
  <c r="E210" i="36"/>
  <c r="J20" i="35"/>
  <c r="J22" i="35"/>
  <c r="R23" i="34"/>
  <c r="R27" i="34" s="1"/>
  <c r="Q13" i="34"/>
  <c r="O20" i="20"/>
  <c r="I6" i="16"/>
  <c r="I24" i="20"/>
  <c r="H15" i="19"/>
  <c r="H39" i="19" s="1"/>
  <c r="H12" i="21"/>
  <c r="H14" i="21" s="1"/>
  <c r="H27" i="20"/>
  <c r="N35" i="19"/>
  <c r="O33" i="19"/>
  <c r="Q26" i="19"/>
  <c r="R9" i="15"/>
  <c r="M37" i="19"/>
  <c r="M8" i="21"/>
  <c r="M9" i="21" s="1"/>
  <c r="M16" i="21"/>
  <c r="P7" i="21"/>
  <c r="P16" i="20"/>
  <c r="P18" i="20" s="1"/>
  <c r="P28" i="19"/>
  <c r="Q23" i="19"/>
  <c r="R22" i="19"/>
  <c r="CC14" i="19"/>
  <c r="CD13" i="19"/>
  <c r="P10" i="20"/>
  <c r="P11" i="20" s="1"/>
  <c r="P13" i="21"/>
  <c r="Q43" i="34" l="1"/>
  <c r="Q44" i="34" s="1"/>
  <c r="K20" i="35"/>
  <c r="K180" i="36" s="1"/>
  <c r="R13" i="34"/>
  <c r="S23" i="34"/>
  <c r="S27" i="34" s="1"/>
  <c r="B211" i="36"/>
  <c r="A211" i="36" s="1"/>
  <c r="C211" i="36"/>
  <c r="S43" i="34"/>
  <c r="S44" i="34" s="1"/>
  <c r="K22" i="35"/>
  <c r="P20" i="20"/>
  <c r="I9" i="16"/>
  <c r="I8" i="16"/>
  <c r="R23" i="19"/>
  <c r="S22" i="19"/>
  <c r="I8" i="19"/>
  <c r="I10" i="19" s="1"/>
  <c r="J22" i="20"/>
  <c r="Q13" i="21"/>
  <c r="Q10" i="20"/>
  <c r="Q11" i="20" s="1"/>
  <c r="R26" i="19"/>
  <c r="S9" i="15"/>
  <c r="Q7" i="21"/>
  <c r="Q28" i="19"/>
  <c r="Q16" i="20"/>
  <c r="Q18" i="20" s="1"/>
  <c r="O35" i="19"/>
  <c r="P33" i="19"/>
  <c r="N8" i="21"/>
  <c r="N9" i="21" s="1"/>
  <c r="N37" i="19"/>
  <c r="N16" i="21"/>
  <c r="H30" i="20"/>
  <c r="H32" i="20" s="1"/>
  <c r="CE13" i="19"/>
  <c r="CD14" i="19"/>
  <c r="F211" i="36" l="1"/>
  <c r="D211" i="36"/>
  <c r="E211" i="36" s="1"/>
  <c r="T23" i="34"/>
  <c r="T27" i="34" s="1"/>
  <c r="S13" i="34"/>
  <c r="L180" i="36"/>
  <c r="I181" i="36" s="1"/>
  <c r="R13" i="21"/>
  <c r="R10" i="20"/>
  <c r="R11" i="20" s="1"/>
  <c r="S26" i="19"/>
  <c r="T9" i="15"/>
  <c r="R28" i="19"/>
  <c r="R7" i="21"/>
  <c r="R16" i="20"/>
  <c r="R18" i="20" s="1"/>
  <c r="P35" i="19"/>
  <c r="Q33" i="19"/>
  <c r="O8" i="21"/>
  <c r="O9" i="21" s="1"/>
  <c r="O37" i="19"/>
  <c r="O16" i="21"/>
  <c r="CE14" i="19"/>
  <c r="CF13" i="19"/>
  <c r="Q20" i="20"/>
  <c r="J6" i="16"/>
  <c r="J24" i="20"/>
  <c r="I15" i="19"/>
  <c r="I39" i="19" s="1"/>
  <c r="I27" i="20"/>
  <c r="I12" i="21"/>
  <c r="I14" i="21" s="1"/>
  <c r="S23" i="19"/>
  <c r="T22" i="19"/>
  <c r="B212" i="36" l="1"/>
  <c r="A212" i="36" s="1"/>
  <c r="C212" i="36"/>
  <c r="J181" i="36"/>
  <c r="U23" i="34"/>
  <c r="U27" i="34" s="1"/>
  <c r="U13" i="34" s="1"/>
  <c r="T13" i="34"/>
  <c r="T26" i="19"/>
  <c r="U9" i="15"/>
  <c r="S7" i="21"/>
  <c r="S28" i="19"/>
  <c r="S16" i="20"/>
  <c r="S18" i="20" s="1"/>
  <c r="T23" i="19"/>
  <c r="U22" i="19"/>
  <c r="J8" i="19"/>
  <c r="J10" i="19" s="1"/>
  <c r="K22" i="20"/>
  <c r="Q35" i="19"/>
  <c r="R33" i="19"/>
  <c r="S10" i="20"/>
  <c r="S11" i="20" s="1"/>
  <c r="S13" i="21"/>
  <c r="J9" i="16"/>
  <c r="J8" i="16"/>
  <c r="P8" i="21"/>
  <c r="P9" i="21" s="1"/>
  <c r="P37" i="19"/>
  <c r="P16" i="21"/>
  <c r="R20" i="20"/>
  <c r="I30" i="20"/>
  <c r="I32" i="20" s="1"/>
  <c r="CF14" i="19"/>
  <c r="CG13" i="19"/>
  <c r="K181" i="36" l="1"/>
  <c r="F212" i="36"/>
  <c r="D212" i="36"/>
  <c r="E212" i="36" s="1"/>
  <c r="S20" i="20"/>
  <c r="Q8" i="21"/>
  <c r="Q9" i="21" s="1"/>
  <c r="Q37" i="19"/>
  <c r="Q16" i="21"/>
  <c r="U26" i="19"/>
  <c r="V9" i="15"/>
  <c r="J15" i="19"/>
  <c r="J39" i="19" s="1"/>
  <c r="J27" i="20"/>
  <c r="J12" i="21"/>
  <c r="J14" i="21" s="1"/>
  <c r="U23" i="19"/>
  <c r="V22" i="19"/>
  <c r="K6" i="16"/>
  <c r="K24" i="20"/>
  <c r="T7" i="21"/>
  <c r="T16" i="20"/>
  <c r="T18" i="20" s="1"/>
  <c r="T28" i="19"/>
  <c r="CG14" i="19"/>
  <c r="CH13" i="19"/>
  <c r="T10" i="20"/>
  <c r="T11" i="20" s="1"/>
  <c r="T13" i="21"/>
  <c r="R35" i="19"/>
  <c r="S33" i="19"/>
  <c r="C213" i="36" l="1"/>
  <c r="B213" i="36"/>
  <c r="A213" i="36" s="1"/>
  <c r="D213" i="36" s="1"/>
  <c r="L181" i="36"/>
  <c r="I182" i="36" s="1"/>
  <c r="V26" i="19"/>
  <c r="W9" i="15"/>
  <c r="U7" i="21"/>
  <c r="U28" i="19"/>
  <c r="U16" i="20"/>
  <c r="U18" i="20" s="1"/>
  <c r="K8" i="16"/>
  <c r="K9" i="16"/>
  <c r="CH14" i="19"/>
  <c r="CI13" i="19"/>
  <c r="V23" i="19"/>
  <c r="W22" i="19"/>
  <c r="U13" i="21"/>
  <c r="U10" i="20"/>
  <c r="U11" i="20" s="1"/>
  <c r="S35" i="19"/>
  <c r="T33" i="19"/>
  <c r="T20" i="20"/>
  <c r="R8" i="21"/>
  <c r="R9" i="21" s="1"/>
  <c r="R37" i="19"/>
  <c r="R16" i="21"/>
  <c r="J30" i="20"/>
  <c r="J32" i="20" s="1"/>
  <c r="K8" i="19"/>
  <c r="K10" i="19" s="1"/>
  <c r="L22" i="20"/>
  <c r="J182" i="36" l="1"/>
  <c r="F213" i="36"/>
  <c r="E213" i="36"/>
  <c r="U20" i="20"/>
  <c r="W23" i="19"/>
  <c r="X22" i="19"/>
  <c r="T35" i="19"/>
  <c r="U33" i="19"/>
  <c r="V13" i="21"/>
  <c r="V10" i="20"/>
  <c r="V11" i="20" s="1"/>
  <c r="L6" i="16"/>
  <c r="L24" i="20"/>
  <c r="CI14" i="19"/>
  <c r="CJ13" i="19"/>
  <c r="W26" i="19"/>
  <c r="X9" i="15"/>
  <c r="K15" i="19"/>
  <c r="K39" i="19" s="1"/>
  <c r="K27" i="20"/>
  <c r="K12" i="21"/>
  <c r="K14" i="21" s="1"/>
  <c r="S37" i="19"/>
  <c r="S8" i="21"/>
  <c r="S9" i="21" s="1"/>
  <c r="S16" i="21"/>
  <c r="V7" i="21"/>
  <c r="V28" i="19"/>
  <c r="V16" i="20"/>
  <c r="V18" i="20" s="1"/>
  <c r="B214" i="36" l="1"/>
  <c r="A214" i="36" s="1"/>
  <c r="C214" i="36"/>
  <c r="K182" i="36"/>
  <c r="V20" i="20"/>
  <c r="W7" i="21"/>
  <c r="W28" i="19"/>
  <c r="W16" i="20"/>
  <c r="W18" i="20" s="1"/>
  <c r="U35" i="19"/>
  <c r="V33" i="19"/>
  <c r="CJ14" i="19"/>
  <c r="CK13" i="19"/>
  <c r="T37" i="19"/>
  <c r="T8" i="21"/>
  <c r="T9" i="21" s="1"/>
  <c r="T16" i="21"/>
  <c r="X23" i="19"/>
  <c r="Y22" i="19"/>
  <c r="L8" i="19"/>
  <c r="L10" i="19" s="1"/>
  <c r="M22" i="20"/>
  <c r="W13" i="21"/>
  <c r="W10" i="20"/>
  <c r="W11" i="20" s="1"/>
  <c r="L8" i="16"/>
  <c r="L9" i="16"/>
  <c r="K30" i="20"/>
  <c r="K32" i="20" s="1"/>
  <c r="X26" i="19"/>
  <c r="Y9" i="15"/>
  <c r="L182" i="36" l="1"/>
  <c r="I183" i="36" s="1"/>
  <c r="J183" i="36" s="1"/>
  <c r="F214" i="36"/>
  <c r="D214" i="36"/>
  <c r="E214" i="36" s="1"/>
  <c r="W20" i="20"/>
  <c r="Y23" i="19"/>
  <c r="Z22" i="19"/>
  <c r="V35" i="19"/>
  <c r="W33" i="19"/>
  <c r="X13" i="21"/>
  <c r="X10" i="20"/>
  <c r="X11" i="20" s="1"/>
  <c r="U8" i="21"/>
  <c r="U9" i="21" s="1"/>
  <c r="U37" i="19"/>
  <c r="U16" i="21"/>
  <c r="Y26" i="19"/>
  <c r="Z9" i="15"/>
  <c r="X28" i="19"/>
  <c r="X16" i="20"/>
  <c r="X18" i="20" s="1"/>
  <c r="X7" i="21"/>
  <c r="M6" i="16"/>
  <c r="M24" i="20"/>
  <c r="L15" i="19"/>
  <c r="L39" i="19" s="1"/>
  <c r="L27" i="20"/>
  <c r="L12" i="21"/>
  <c r="L14" i="21" s="1"/>
  <c r="CK14" i="19"/>
  <c r="CL13" i="19"/>
  <c r="B215" i="36" l="1"/>
  <c r="A215" i="36" s="1"/>
  <c r="C215" i="36"/>
  <c r="K183" i="36"/>
  <c r="X20" i="20"/>
  <c r="L30" i="20"/>
  <c r="L32" i="20" s="1"/>
  <c r="Z26" i="19"/>
  <c r="AA9" i="15"/>
  <c r="W35" i="19"/>
  <c r="X33" i="19"/>
  <c r="Y7" i="21"/>
  <c r="Y28" i="19"/>
  <c r="Y16" i="20"/>
  <c r="Y18" i="20" s="1"/>
  <c r="V37" i="19"/>
  <c r="V8" i="21"/>
  <c r="V9" i="21" s="1"/>
  <c r="V16" i="21"/>
  <c r="Z23" i="19"/>
  <c r="AA22" i="19"/>
  <c r="M8" i="19"/>
  <c r="M10" i="19" s="1"/>
  <c r="N22" i="20"/>
  <c r="Y10" i="20"/>
  <c r="Y11" i="20" s="1"/>
  <c r="Y13" i="21"/>
  <c r="M8" i="16"/>
  <c r="M9" i="16"/>
  <c r="CL14" i="19"/>
  <c r="CM13" i="19"/>
  <c r="F215" i="36" l="1"/>
  <c r="L183" i="36"/>
  <c r="I184" i="36" s="1"/>
  <c r="J184" i="36" s="1"/>
  <c r="D215" i="36"/>
  <c r="E215" i="36" s="1"/>
  <c r="AA26" i="19"/>
  <c r="AB9" i="15"/>
  <c r="Z28" i="19"/>
  <c r="Z7" i="21"/>
  <c r="Z16" i="20"/>
  <c r="Z18" i="20" s="1"/>
  <c r="Y20" i="20"/>
  <c r="N6" i="16"/>
  <c r="N24" i="20"/>
  <c r="CM14" i="19"/>
  <c r="CN13" i="19"/>
  <c r="M15" i="19"/>
  <c r="M39" i="19" s="1"/>
  <c r="M27" i="20"/>
  <c r="M12" i="21"/>
  <c r="M14" i="21" s="1"/>
  <c r="AA23" i="19"/>
  <c r="AB22" i="19"/>
  <c r="X35" i="19"/>
  <c r="Y33" i="19"/>
  <c r="Z13" i="21"/>
  <c r="Z10" i="20"/>
  <c r="Z11" i="20" s="1"/>
  <c r="W8" i="21"/>
  <c r="W9" i="21" s="1"/>
  <c r="W37" i="19"/>
  <c r="W16" i="21"/>
  <c r="C216" i="36" l="1"/>
  <c r="B216" i="36"/>
  <c r="A216" i="36" s="1"/>
  <c r="D216" i="36" s="1"/>
  <c r="K184" i="36"/>
  <c r="Z20" i="20"/>
  <c r="Y35" i="19"/>
  <c r="Z33" i="19"/>
  <c r="CN14" i="19"/>
  <c r="CO13" i="19"/>
  <c r="X8" i="21"/>
  <c r="X9" i="21" s="1"/>
  <c r="X37" i="19"/>
  <c r="X16" i="21"/>
  <c r="AB23" i="19"/>
  <c r="AC22" i="19"/>
  <c r="AB26" i="19"/>
  <c r="AC9" i="15"/>
  <c r="AA10" i="20"/>
  <c r="AA11" i="20" s="1"/>
  <c r="AA13" i="21"/>
  <c r="N8" i="19"/>
  <c r="N10" i="19" s="1"/>
  <c r="O22" i="20"/>
  <c r="AA7" i="21"/>
  <c r="AA16" i="20"/>
  <c r="AA18" i="20" s="1"/>
  <c r="AA28" i="19"/>
  <c r="N9" i="16"/>
  <c r="N8" i="16"/>
  <c r="M30" i="20"/>
  <c r="M32" i="20" s="1"/>
  <c r="L184" i="36" l="1"/>
  <c r="I185" i="36" s="1"/>
  <c r="J185" i="36" s="1"/>
  <c r="E216" i="36"/>
  <c r="F216" i="36"/>
  <c r="AA20" i="20"/>
  <c r="AC26" i="19"/>
  <c r="AD9" i="15"/>
  <c r="AB7" i="21"/>
  <c r="AB28" i="19"/>
  <c r="AB16" i="20"/>
  <c r="AB18" i="20" s="1"/>
  <c r="CO14" i="19"/>
  <c r="CP13" i="19"/>
  <c r="AC23" i="19"/>
  <c r="AD22" i="19"/>
  <c r="AB13" i="21"/>
  <c r="AB10" i="20"/>
  <c r="AB11" i="20" s="1"/>
  <c r="Z35" i="19"/>
  <c r="AA33" i="19"/>
  <c r="O6" i="16"/>
  <c r="O24" i="20"/>
  <c r="Y8" i="21"/>
  <c r="Y9" i="21" s="1"/>
  <c r="Y37" i="19"/>
  <c r="Y16" i="21"/>
  <c r="N15" i="19"/>
  <c r="N39" i="19" s="1"/>
  <c r="N27" i="20"/>
  <c r="N12" i="21"/>
  <c r="N14" i="21" s="1"/>
  <c r="C217" i="36" l="1"/>
  <c r="B217" i="36"/>
  <c r="A217" i="36" s="1"/>
  <c r="D217" i="36" s="1"/>
  <c r="K185" i="36"/>
  <c r="L185" i="36" s="1"/>
  <c r="I186" i="36" s="1"/>
  <c r="J186" i="36" s="1"/>
  <c r="K186" i="36" s="1"/>
  <c r="L186" i="36" s="1"/>
  <c r="I187" i="36" s="1"/>
  <c r="J187" i="36" s="1"/>
  <c r="K187" i="36" s="1"/>
  <c r="L187" i="36" s="1"/>
  <c r="I188" i="36" s="1"/>
  <c r="J188" i="36" s="1"/>
  <c r="K188" i="36" s="1"/>
  <c r="L188" i="36" s="1"/>
  <c r="I189" i="36" s="1"/>
  <c r="J189" i="36" s="1"/>
  <c r="K189" i="36" s="1"/>
  <c r="L189" i="36" s="1"/>
  <c r="I190" i="36" s="1"/>
  <c r="J190" i="36" s="1"/>
  <c r="K190" i="36" s="1"/>
  <c r="L190" i="36" s="1"/>
  <c r="I191" i="36" s="1"/>
  <c r="J191" i="36" s="1"/>
  <c r="K191" i="36" s="1"/>
  <c r="L191" i="36" s="1"/>
  <c r="I192" i="36" s="1"/>
  <c r="J192" i="36" s="1"/>
  <c r="N20" i="35"/>
  <c r="AB20" i="20"/>
  <c r="CQ13" i="19"/>
  <c r="CP14" i="19"/>
  <c r="O8" i="16"/>
  <c r="O9" i="16"/>
  <c r="AA35" i="19"/>
  <c r="AB33" i="19"/>
  <c r="N30" i="20"/>
  <c r="N32" i="20" s="1"/>
  <c r="D5" i="22" s="1"/>
  <c r="Z8" i="21"/>
  <c r="Z9" i="21" s="1"/>
  <c r="Z37" i="19"/>
  <c r="Z16" i="21"/>
  <c r="AD23" i="19"/>
  <c r="AE22" i="19"/>
  <c r="AD26" i="19"/>
  <c r="AE9" i="15"/>
  <c r="O8" i="19"/>
  <c r="O10" i="19" s="1"/>
  <c r="P22" i="20"/>
  <c r="AC13" i="21"/>
  <c r="AC10" i="20"/>
  <c r="AC11" i="20" s="1"/>
  <c r="AC7" i="21"/>
  <c r="AC16" i="20"/>
  <c r="AC18" i="20" s="1"/>
  <c r="AC28" i="19"/>
  <c r="Q38" i="34" l="1"/>
  <c r="Q32" i="34"/>
  <c r="K192" i="36"/>
  <c r="E217" i="36"/>
  <c r="F217" i="36"/>
  <c r="AC20" i="20"/>
  <c r="D6" i="22"/>
  <c r="AA37" i="19"/>
  <c r="AA8" i="21"/>
  <c r="AA9" i="21" s="1"/>
  <c r="AA16" i="21"/>
  <c r="P6" i="16"/>
  <c r="P24" i="20"/>
  <c r="O12" i="21"/>
  <c r="O14" i="21" s="1"/>
  <c r="O27" i="20"/>
  <c r="O15" i="19"/>
  <c r="O39" i="19" s="1"/>
  <c r="AE26" i="19"/>
  <c r="AF9" i="15"/>
  <c r="AD7" i="21"/>
  <c r="AD28" i="19"/>
  <c r="AD16" i="20"/>
  <c r="AD18" i="20" s="1"/>
  <c r="CQ14" i="19"/>
  <c r="CR13" i="19"/>
  <c r="AE23" i="19"/>
  <c r="AF22" i="19"/>
  <c r="AD13" i="21"/>
  <c r="AD10" i="20"/>
  <c r="AD11" i="20" s="1"/>
  <c r="AB35" i="19"/>
  <c r="AC33" i="19"/>
  <c r="B218" i="36" l="1"/>
  <c r="A218" i="36" s="1"/>
  <c r="C218" i="36"/>
  <c r="L192" i="36"/>
  <c r="I193" i="36" s="1"/>
  <c r="J193" i="36" s="1"/>
  <c r="Q39" i="34"/>
  <c r="R37" i="30"/>
  <c r="R38" i="30" s="1"/>
  <c r="R62" i="30" s="1"/>
  <c r="AD20" i="20"/>
  <c r="CR14" i="19"/>
  <c r="CS13" i="19"/>
  <c r="O30" i="20"/>
  <c r="O32" i="20" s="1"/>
  <c r="AC35" i="19"/>
  <c r="AD33" i="19"/>
  <c r="P9" i="16"/>
  <c r="P8" i="16"/>
  <c r="AF26" i="19"/>
  <c r="AG9" i="15"/>
  <c r="AB8" i="21"/>
  <c r="AB9" i="21" s="1"/>
  <c r="AB37" i="19"/>
  <c r="AB16" i="21"/>
  <c r="P8" i="19"/>
  <c r="P10" i="19" s="1"/>
  <c r="Q22" i="20"/>
  <c r="AF23" i="19"/>
  <c r="AG22" i="19"/>
  <c r="AE13" i="21"/>
  <c r="AE10" i="20"/>
  <c r="AE11" i="20" s="1"/>
  <c r="AE7" i="21"/>
  <c r="AE28" i="19"/>
  <c r="AE16" i="20"/>
  <c r="AE18" i="20" s="1"/>
  <c r="Q40" i="34" l="1"/>
  <c r="Q17" i="34" s="1"/>
  <c r="K193" i="36"/>
  <c r="F218" i="36"/>
  <c r="D218" i="36"/>
  <c r="E218" i="36" s="1"/>
  <c r="AE20" i="20"/>
  <c r="AG23" i="19"/>
  <c r="AH22" i="19"/>
  <c r="AF28" i="19"/>
  <c r="AF7" i="21"/>
  <c r="AF16" i="20"/>
  <c r="AF18" i="20" s="1"/>
  <c r="AC37" i="19"/>
  <c r="AC8" i="21"/>
  <c r="AC9" i="21" s="1"/>
  <c r="AC16" i="21"/>
  <c r="AF10" i="20"/>
  <c r="AF11" i="20" s="1"/>
  <c r="AF13" i="21"/>
  <c r="AG26" i="19"/>
  <c r="AH9" i="15"/>
  <c r="CS14" i="19"/>
  <c r="CT13" i="19"/>
  <c r="Q6" i="16"/>
  <c r="Q24" i="20"/>
  <c r="P12" i="21"/>
  <c r="P14" i="21" s="1"/>
  <c r="P27" i="20"/>
  <c r="P15" i="19"/>
  <c r="P39" i="19" s="1"/>
  <c r="AD35" i="19"/>
  <c r="AE33" i="19"/>
  <c r="AF20" i="20" l="1"/>
  <c r="C219" i="36"/>
  <c r="B219" i="36"/>
  <c r="A219" i="36" s="1"/>
  <c r="D219" i="36" s="1"/>
  <c r="L193" i="36"/>
  <c r="I194" i="36" s="1"/>
  <c r="Q8" i="19"/>
  <c r="Q10" i="19" s="1"/>
  <c r="R22" i="20"/>
  <c r="CT14" i="19"/>
  <c r="CU13" i="19"/>
  <c r="P30" i="20"/>
  <c r="P32" i="20" s="1"/>
  <c r="AH26" i="19"/>
  <c r="AI9" i="15"/>
  <c r="AG16" i="20"/>
  <c r="AG18" i="20" s="1"/>
  <c r="AG28" i="19"/>
  <c r="AG7" i="21"/>
  <c r="AE35" i="19"/>
  <c r="AF33" i="19"/>
  <c r="AD8" i="21"/>
  <c r="AD9" i="21" s="1"/>
  <c r="AD37" i="19"/>
  <c r="AD16" i="21"/>
  <c r="Q9" i="16"/>
  <c r="Q8" i="16"/>
  <c r="AH23" i="19"/>
  <c r="AI22" i="19"/>
  <c r="AG10" i="20"/>
  <c r="AG11" i="20" s="1"/>
  <c r="AG13" i="21"/>
  <c r="J194" i="36" l="1"/>
  <c r="F219" i="36"/>
  <c r="E219" i="36"/>
  <c r="AG20" i="20"/>
  <c r="AI23" i="19"/>
  <c r="AJ22" i="19"/>
  <c r="AH10" i="20"/>
  <c r="AH11" i="20" s="1"/>
  <c r="AH13" i="21"/>
  <c r="AF35" i="19"/>
  <c r="AG33" i="19"/>
  <c r="AE8" i="21"/>
  <c r="AE9" i="21" s="1"/>
  <c r="AE37" i="19"/>
  <c r="AE16" i="21"/>
  <c r="CU14" i="19"/>
  <c r="CV13" i="19"/>
  <c r="AI26" i="19"/>
  <c r="AJ9" i="15"/>
  <c r="R6" i="16"/>
  <c r="R24" i="20"/>
  <c r="AH7" i="21"/>
  <c r="AH28" i="19"/>
  <c r="AH16" i="20"/>
  <c r="AH18" i="20" s="1"/>
  <c r="Q27" i="20"/>
  <c r="Q12" i="21"/>
  <c r="Q14" i="21" s="1"/>
  <c r="Q15" i="19"/>
  <c r="Q39" i="19" s="1"/>
  <c r="B220" i="36" l="1"/>
  <c r="A220" i="36" s="1"/>
  <c r="C220" i="36"/>
  <c r="K194" i="36"/>
  <c r="CV14" i="19"/>
  <c r="CW13" i="19"/>
  <c r="AG35" i="19"/>
  <c r="AH33" i="19"/>
  <c r="R8" i="19"/>
  <c r="R10" i="19" s="1"/>
  <c r="S22" i="20"/>
  <c r="AF8" i="21"/>
  <c r="AF9" i="21" s="1"/>
  <c r="AF37" i="19"/>
  <c r="AF16" i="21"/>
  <c r="R9" i="16"/>
  <c r="R8" i="16"/>
  <c r="AJ26" i="19"/>
  <c r="AK9" i="15"/>
  <c r="AI7" i="21"/>
  <c r="AI28" i="19"/>
  <c r="AI16" i="20"/>
  <c r="AI18" i="20" s="1"/>
  <c r="Q30" i="20"/>
  <c r="Q32" i="20" s="1"/>
  <c r="AJ23" i="19"/>
  <c r="AK22" i="19"/>
  <c r="AH20" i="20"/>
  <c r="AI10" i="20"/>
  <c r="AI11" i="20" s="1"/>
  <c r="AI13" i="21"/>
  <c r="F220" i="36" l="1"/>
  <c r="L194" i="36"/>
  <c r="I195" i="36" s="1"/>
  <c r="D220" i="36"/>
  <c r="E220" i="36" s="1"/>
  <c r="AI20" i="20"/>
  <c r="AJ13" i="21"/>
  <c r="AJ10" i="20"/>
  <c r="AJ11" i="20" s="1"/>
  <c r="S6" i="16"/>
  <c r="S24" i="20"/>
  <c r="R27" i="20"/>
  <c r="R12" i="21"/>
  <c r="R14" i="21" s="1"/>
  <c r="R15" i="19"/>
  <c r="R39" i="19" s="1"/>
  <c r="AH35" i="19"/>
  <c r="AI33" i="19"/>
  <c r="AG37" i="19"/>
  <c r="AG8" i="21"/>
  <c r="AG9" i="21" s="1"/>
  <c r="AG16" i="21"/>
  <c r="CX13" i="19"/>
  <c r="CW14" i="19"/>
  <c r="AK26" i="19"/>
  <c r="AL9" i="15"/>
  <c r="AK23" i="19"/>
  <c r="AL22" i="19"/>
  <c r="AJ7" i="21"/>
  <c r="AJ28" i="19"/>
  <c r="AJ16" i="20"/>
  <c r="AJ18" i="20" s="1"/>
  <c r="B221" i="36" l="1"/>
  <c r="A221" i="36" s="1"/>
  <c r="C221" i="36"/>
  <c r="J195" i="36"/>
  <c r="AJ20" i="20"/>
  <c r="AK13" i="21"/>
  <c r="AK10" i="20"/>
  <c r="AK11" i="20" s="1"/>
  <c r="AH8" i="21"/>
  <c r="AH9" i="21" s="1"/>
  <c r="AH37" i="19"/>
  <c r="AH16" i="21"/>
  <c r="S8" i="19"/>
  <c r="S10" i="19" s="1"/>
  <c r="T22" i="20"/>
  <c r="S9" i="16"/>
  <c r="S8" i="16"/>
  <c r="AL26" i="19"/>
  <c r="AM9" i="15"/>
  <c r="AK16" i="20"/>
  <c r="AK18" i="20" s="1"/>
  <c r="AK7" i="21"/>
  <c r="AK28" i="19"/>
  <c r="AI35" i="19"/>
  <c r="AJ33" i="19"/>
  <c r="CX14" i="19"/>
  <c r="CY13" i="19"/>
  <c r="AL23" i="19"/>
  <c r="AM22" i="19"/>
  <c r="R30" i="20"/>
  <c r="R32" i="20" s="1"/>
  <c r="F221" i="36" l="1"/>
  <c r="K195" i="36"/>
  <c r="D221" i="36"/>
  <c r="E221" i="36" s="1"/>
  <c r="AK20" i="20"/>
  <c r="CY14" i="19"/>
  <c r="CZ13" i="19"/>
  <c r="AN9" i="15"/>
  <c r="AM26" i="19"/>
  <c r="AL7" i="21"/>
  <c r="AL28" i="19"/>
  <c r="AL16" i="20"/>
  <c r="AL18" i="20" s="1"/>
  <c r="AJ35" i="19"/>
  <c r="AK33" i="19"/>
  <c r="AI8" i="21"/>
  <c r="AI9" i="21" s="1"/>
  <c r="AI37" i="19"/>
  <c r="AI16" i="21"/>
  <c r="T6" i="16"/>
  <c r="T24" i="20"/>
  <c r="AM23" i="19"/>
  <c r="AN22" i="19"/>
  <c r="S27" i="20"/>
  <c r="S12" i="21"/>
  <c r="S14" i="21" s="1"/>
  <c r="S15" i="19"/>
  <c r="S39" i="19" s="1"/>
  <c r="AL10" i="20"/>
  <c r="AL11" i="20" s="1"/>
  <c r="AL13" i="21"/>
  <c r="C222" i="36" l="1"/>
  <c r="B222" i="36"/>
  <c r="A222" i="36" s="1"/>
  <c r="D222" i="36" s="1"/>
  <c r="L195" i="36"/>
  <c r="I196" i="36" s="1"/>
  <c r="J196" i="36" s="1"/>
  <c r="T8" i="16"/>
  <c r="T9" i="16"/>
  <c r="AM28" i="19"/>
  <c r="AM7" i="21"/>
  <c r="AM16" i="20"/>
  <c r="AM18" i="20" s="1"/>
  <c r="AN23" i="19"/>
  <c r="AO22" i="19"/>
  <c r="AN26" i="19"/>
  <c r="AO9" i="15"/>
  <c r="AM10" i="20"/>
  <c r="AM11" i="20" s="1"/>
  <c r="AM13" i="21"/>
  <c r="AK35" i="19"/>
  <c r="AL33" i="19"/>
  <c r="AJ8" i="21"/>
  <c r="AJ9" i="21" s="1"/>
  <c r="AJ37" i="19"/>
  <c r="AJ16" i="21"/>
  <c r="CZ14" i="19"/>
  <c r="DA13" i="19"/>
  <c r="T8" i="19"/>
  <c r="T10" i="19" s="1"/>
  <c r="U22" i="20"/>
  <c r="S30" i="20"/>
  <c r="S32" i="20" s="1"/>
  <c r="AL20" i="20"/>
  <c r="K196" i="36" l="1"/>
  <c r="F222" i="36"/>
  <c r="E222" i="36"/>
  <c r="DA14" i="19"/>
  <c r="DB13" i="19"/>
  <c r="AO26" i="19"/>
  <c r="AP9" i="15"/>
  <c r="T27" i="20"/>
  <c r="T12" i="21"/>
  <c r="T14" i="21" s="1"/>
  <c r="T15" i="19"/>
  <c r="T39" i="19" s="1"/>
  <c r="AN7" i="21"/>
  <c r="AN28" i="19"/>
  <c r="AN16" i="20"/>
  <c r="AN18" i="20" s="1"/>
  <c r="AO23" i="19"/>
  <c r="AP22" i="19"/>
  <c r="AL35" i="19"/>
  <c r="AM33" i="19"/>
  <c r="AN10" i="20"/>
  <c r="AN11" i="20" s="1"/>
  <c r="AN13" i="21"/>
  <c r="U6" i="16"/>
  <c r="U24" i="20"/>
  <c r="AK8" i="21"/>
  <c r="AK9" i="21" s="1"/>
  <c r="AK37" i="19"/>
  <c r="AK16" i="21"/>
  <c r="AM20" i="20"/>
  <c r="C223" i="36" l="1"/>
  <c r="B223" i="36"/>
  <c r="A223" i="36" s="1"/>
  <c r="D223" i="36" s="1"/>
  <c r="L196" i="36"/>
  <c r="I197" i="36" s="1"/>
  <c r="J197" i="36" s="1"/>
  <c r="K197" i="36" s="1"/>
  <c r="L197" i="36" s="1"/>
  <c r="I198" i="36" s="1"/>
  <c r="J198" i="36" s="1"/>
  <c r="K198" i="36" s="1"/>
  <c r="L198" i="36" s="1"/>
  <c r="I199" i="36" s="1"/>
  <c r="J199" i="36" s="1"/>
  <c r="K199" i="36" s="1"/>
  <c r="L199" i="36" s="1"/>
  <c r="I200" i="36" s="1"/>
  <c r="J200" i="36" s="1"/>
  <c r="K200" i="36" s="1"/>
  <c r="L200" i="36" s="1"/>
  <c r="I201" i="36" s="1"/>
  <c r="J201" i="36" s="1"/>
  <c r="K201" i="36" s="1"/>
  <c r="L201" i="36" s="1"/>
  <c r="I202" i="36" s="1"/>
  <c r="U8" i="19"/>
  <c r="U10" i="19" s="1"/>
  <c r="V22" i="20"/>
  <c r="U8" i="16"/>
  <c r="U9" i="16"/>
  <c r="AP23" i="19"/>
  <c r="AQ22" i="19"/>
  <c r="AO13" i="21"/>
  <c r="AO10" i="20"/>
  <c r="AO11" i="20" s="1"/>
  <c r="T30" i="20"/>
  <c r="T32" i="20" s="1"/>
  <c r="AM35" i="19"/>
  <c r="AN33" i="19"/>
  <c r="AN20" i="20"/>
  <c r="AP26" i="19"/>
  <c r="AQ9" i="15"/>
  <c r="AL37" i="19"/>
  <c r="AL8" i="21"/>
  <c r="AL9" i="21" s="1"/>
  <c r="AL16" i="21"/>
  <c r="AO7" i="21"/>
  <c r="AO16" i="20"/>
  <c r="AO18" i="20" s="1"/>
  <c r="AO28" i="19"/>
  <c r="DB14" i="19"/>
  <c r="DC13" i="19"/>
  <c r="J202" i="36" l="1"/>
  <c r="K202" i="36"/>
  <c r="L202" i="36" s="1"/>
  <c r="I203" i="36" s="1"/>
  <c r="J203" i="36" s="1"/>
  <c r="K203" i="36" s="1"/>
  <c r="L203" i="36" s="1"/>
  <c r="I204" i="36" s="1"/>
  <c r="F223" i="36"/>
  <c r="E223" i="36"/>
  <c r="AO20" i="20"/>
  <c r="AN35" i="19"/>
  <c r="AO33" i="19"/>
  <c r="AM37" i="19"/>
  <c r="AM8" i="21"/>
  <c r="AM9" i="21" s="1"/>
  <c r="AM16" i="21"/>
  <c r="AP13" i="21"/>
  <c r="AP10" i="20"/>
  <c r="AP11" i="20" s="1"/>
  <c r="V6" i="16"/>
  <c r="V24" i="20"/>
  <c r="DD13" i="19"/>
  <c r="DC14" i="19"/>
  <c r="U12" i="21"/>
  <c r="U14" i="21" s="1"/>
  <c r="U27" i="20"/>
  <c r="U15" i="19"/>
  <c r="U39" i="19" s="1"/>
  <c r="AQ26" i="19"/>
  <c r="AR9" i="15"/>
  <c r="AP16" i="20"/>
  <c r="AP18" i="20" s="1"/>
  <c r="AP7" i="21"/>
  <c r="AP28" i="19"/>
  <c r="AQ23" i="19"/>
  <c r="AR22" i="19"/>
  <c r="C224" i="36" l="1"/>
  <c r="B224" i="36"/>
  <c r="A224" i="36" s="1"/>
  <c r="D224" i="36" s="1"/>
  <c r="J204" i="36"/>
  <c r="AP20" i="20"/>
  <c r="U30" i="20"/>
  <c r="U32" i="20" s="1"/>
  <c r="AR26" i="19"/>
  <c r="AS9" i="15"/>
  <c r="DD14" i="19"/>
  <c r="DE13" i="19"/>
  <c r="AO35" i="19"/>
  <c r="AP33" i="19"/>
  <c r="AQ7" i="21"/>
  <c r="AQ16" i="20"/>
  <c r="AQ18" i="20" s="1"/>
  <c r="AQ28" i="19"/>
  <c r="V8" i="19"/>
  <c r="V10" i="19" s="1"/>
  <c r="W22" i="20"/>
  <c r="AN8" i="21"/>
  <c r="AN9" i="21" s="1"/>
  <c r="AN37" i="19"/>
  <c r="AN16" i="21"/>
  <c r="AR23" i="19"/>
  <c r="AS22" i="19"/>
  <c r="V9" i="16"/>
  <c r="V8" i="16"/>
  <c r="AQ10" i="20"/>
  <c r="AQ11" i="20" s="1"/>
  <c r="AQ13" i="21"/>
  <c r="K204" i="36" l="1"/>
  <c r="F224" i="36"/>
  <c r="E224" i="36"/>
  <c r="AQ20" i="20"/>
  <c r="AR10" i="20"/>
  <c r="AR11" i="20" s="1"/>
  <c r="AR13" i="21"/>
  <c r="AP35" i="19"/>
  <c r="AQ33" i="19"/>
  <c r="AR7" i="21"/>
  <c r="AR16" i="20"/>
  <c r="AR18" i="20" s="1"/>
  <c r="AR28" i="19"/>
  <c r="AS23" i="19"/>
  <c r="AT22" i="19"/>
  <c r="AO37" i="19"/>
  <c r="AO8" i="21"/>
  <c r="AO9" i="21" s="1"/>
  <c r="AO16" i="21"/>
  <c r="DE14" i="19"/>
  <c r="DF13" i="19"/>
  <c r="W6" i="16"/>
  <c r="W24" i="20"/>
  <c r="V27" i="20"/>
  <c r="V12" i="21"/>
  <c r="V14" i="21" s="1"/>
  <c r="V15" i="19"/>
  <c r="V39" i="19" s="1"/>
  <c r="AS26" i="19"/>
  <c r="AT9" i="15"/>
  <c r="B225" i="36" l="1"/>
  <c r="A225" i="36" s="1"/>
  <c r="D225" i="36" s="1"/>
  <c r="C225" i="36"/>
  <c r="AR20" i="20"/>
  <c r="L204" i="36"/>
  <c r="I205" i="36" s="1"/>
  <c r="W9" i="16"/>
  <c r="W8" i="16"/>
  <c r="AQ35" i="19"/>
  <c r="AR33" i="19"/>
  <c r="AT26" i="19"/>
  <c r="AU9" i="15"/>
  <c r="AT23" i="19"/>
  <c r="AU22" i="19"/>
  <c r="AS13" i="21"/>
  <c r="AS10" i="20"/>
  <c r="AS11" i="20" s="1"/>
  <c r="V30" i="20"/>
  <c r="V32" i="20" s="1"/>
  <c r="W8" i="19"/>
  <c r="W10" i="19" s="1"/>
  <c r="X22" i="20"/>
  <c r="AP37" i="19"/>
  <c r="AP8" i="21"/>
  <c r="AP9" i="21" s="1"/>
  <c r="AP16" i="21"/>
  <c r="AS16" i="20"/>
  <c r="AS18" i="20" s="1"/>
  <c r="AS7" i="21"/>
  <c r="AS28" i="19"/>
  <c r="DF14" i="19"/>
  <c r="DG13" i="19"/>
  <c r="J205" i="36" l="1"/>
  <c r="K205" i="36"/>
  <c r="L205" i="36" s="1"/>
  <c r="I206" i="36" s="1"/>
  <c r="F225" i="36"/>
  <c r="E225" i="36"/>
  <c r="AS20" i="20"/>
  <c r="AR35" i="19"/>
  <c r="AS33" i="19"/>
  <c r="AQ37" i="19"/>
  <c r="AQ8" i="21"/>
  <c r="AQ9" i="21" s="1"/>
  <c r="AQ16" i="21"/>
  <c r="AU23" i="19"/>
  <c r="AV22" i="19"/>
  <c r="DG14" i="19"/>
  <c r="DH13" i="19"/>
  <c r="X6" i="16"/>
  <c r="X24" i="20"/>
  <c r="AT13" i="21"/>
  <c r="AT10" i="20"/>
  <c r="AT11" i="20" s="1"/>
  <c r="W27" i="20"/>
  <c r="W12" i="21"/>
  <c r="W14" i="21" s="1"/>
  <c r="W15" i="19"/>
  <c r="W39" i="19" s="1"/>
  <c r="AU26" i="19"/>
  <c r="AV9" i="15"/>
  <c r="AT7" i="21"/>
  <c r="AT28" i="19"/>
  <c r="AT16" i="20"/>
  <c r="AT18" i="20" s="1"/>
  <c r="C226" i="36" l="1"/>
  <c r="B226" i="36"/>
  <c r="A226" i="36" s="1"/>
  <c r="D226" i="36" s="1"/>
  <c r="J206" i="36"/>
  <c r="K206" i="36" s="1"/>
  <c r="L206" i="36"/>
  <c r="I207" i="36" s="1"/>
  <c r="J207" i="36" s="1"/>
  <c r="K207" i="36" s="1"/>
  <c r="L207" i="36" s="1"/>
  <c r="I208" i="36" s="1"/>
  <c r="J208" i="36" s="1"/>
  <c r="K208" i="36" s="1"/>
  <c r="L208" i="36" s="1"/>
  <c r="I209" i="36" s="1"/>
  <c r="AT20" i="20"/>
  <c r="AV26" i="19"/>
  <c r="AW9" i="15"/>
  <c r="X8" i="19"/>
  <c r="X10" i="19" s="1"/>
  <c r="Y22" i="20"/>
  <c r="AU7" i="21"/>
  <c r="AU16" i="20"/>
  <c r="AU18" i="20" s="1"/>
  <c r="AU28" i="19"/>
  <c r="X9" i="16"/>
  <c r="X8" i="16"/>
  <c r="DH14" i="19"/>
  <c r="DI13" i="19"/>
  <c r="AS35" i="19"/>
  <c r="AT33" i="19"/>
  <c r="AR8" i="21"/>
  <c r="AR9" i="21" s="1"/>
  <c r="AR37" i="19"/>
  <c r="AR16" i="21"/>
  <c r="W30" i="20"/>
  <c r="W32" i="20" s="1"/>
  <c r="AV23" i="19"/>
  <c r="AW22" i="19"/>
  <c r="AU13" i="21"/>
  <c r="AU10" i="20"/>
  <c r="AU11" i="20" s="1"/>
  <c r="J209" i="36" l="1"/>
  <c r="E226" i="36"/>
  <c r="F226" i="36"/>
  <c r="AS8" i="21"/>
  <c r="AS9" i="21" s="1"/>
  <c r="AS37" i="19"/>
  <c r="AS16" i="21"/>
  <c r="Y6" i="16"/>
  <c r="Y24" i="20"/>
  <c r="AW26" i="19"/>
  <c r="AX9" i="15"/>
  <c r="AV10" i="20"/>
  <c r="AV11" i="20" s="1"/>
  <c r="AV13" i="21"/>
  <c r="DI14" i="19"/>
  <c r="DJ13" i="19"/>
  <c r="X12" i="21"/>
  <c r="X14" i="21" s="1"/>
  <c r="X27" i="20"/>
  <c r="X15" i="19"/>
  <c r="X39" i="19" s="1"/>
  <c r="AV28" i="19"/>
  <c r="AV7" i="21"/>
  <c r="AV16" i="20"/>
  <c r="AV18" i="20" s="1"/>
  <c r="AW23" i="19"/>
  <c r="AX22" i="19"/>
  <c r="AT35" i="19"/>
  <c r="AU33" i="19"/>
  <c r="AU20" i="20"/>
  <c r="C227" i="36" l="1"/>
  <c r="B227" i="36"/>
  <c r="A227" i="36" s="1"/>
  <c r="D227" i="36" s="1"/>
  <c r="K209" i="36"/>
  <c r="N21" i="35"/>
  <c r="N22" i="35"/>
  <c r="AV20" i="20"/>
  <c r="AT8" i="21"/>
  <c r="AT9" i="21" s="1"/>
  <c r="AT37" i="19"/>
  <c r="AT16" i="21"/>
  <c r="AX26" i="19"/>
  <c r="AY9" i="15"/>
  <c r="AX23" i="19"/>
  <c r="AY22" i="19"/>
  <c r="X30" i="20"/>
  <c r="X32" i="20" s="1"/>
  <c r="AW7" i="21"/>
  <c r="AW28" i="19"/>
  <c r="AW16" i="20"/>
  <c r="AW18" i="20" s="1"/>
  <c r="AW13" i="21"/>
  <c r="AW10" i="20"/>
  <c r="AW11" i="20" s="1"/>
  <c r="DJ14" i="19"/>
  <c r="DK13" i="19"/>
  <c r="Y8" i="19"/>
  <c r="Y10" i="19" s="1"/>
  <c r="Z22" i="20"/>
  <c r="Y9" i="16"/>
  <c r="Y8" i="16"/>
  <c r="AU35" i="19"/>
  <c r="AV33" i="19"/>
  <c r="S32" i="34" l="1"/>
  <c r="S38" i="34"/>
  <c r="R32" i="34"/>
  <c r="R38" i="34"/>
  <c r="M20" i="35"/>
  <c r="M21" i="35"/>
  <c r="M22" i="35"/>
  <c r="L209" i="36"/>
  <c r="I210" i="36" s="1"/>
  <c r="J210" i="36" s="1"/>
  <c r="K210" i="36" s="1"/>
  <c r="L210" i="36" s="1"/>
  <c r="I211" i="36" s="1"/>
  <c r="J211" i="36" s="1"/>
  <c r="K211" i="36" s="1"/>
  <c r="L211" i="36" s="1"/>
  <c r="I212" i="36" s="1"/>
  <c r="J212" i="36" s="1"/>
  <c r="K212" i="36" s="1"/>
  <c r="L212" i="36" s="1"/>
  <c r="I213" i="36" s="1"/>
  <c r="J213" i="36" s="1"/>
  <c r="K213" i="36" s="1"/>
  <c r="L213" i="36" s="1"/>
  <c r="I214" i="36" s="1"/>
  <c r="J214" i="36" s="1"/>
  <c r="K214" i="36" s="1"/>
  <c r="L214" i="36" s="1"/>
  <c r="I215" i="36" s="1"/>
  <c r="J215" i="36" s="1"/>
  <c r="K215" i="36" s="1"/>
  <c r="L215" i="36" s="1"/>
  <c r="I216" i="36" s="1"/>
  <c r="J216" i="36" s="1"/>
  <c r="K216" i="36" s="1"/>
  <c r="L216" i="36" s="1"/>
  <c r="I217" i="36" s="1"/>
  <c r="J217" i="36" s="1"/>
  <c r="K217" i="36" s="1"/>
  <c r="L217" i="36" s="1"/>
  <c r="I218" i="36" s="1"/>
  <c r="J218" i="36" s="1"/>
  <c r="K218" i="36" s="1"/>
  <c r="L218" i="36" s="1"/>
  <c r="I219" i="36" s="1"/>
  <c r="J219" i="36" s="1"/>
  <c r="K219" i="36" s="1"/>
  <c r="L219" i="36" s="1"/>
  <c r="I220" i="36" s="1"/>
  <c r="J220" i="36" s="1"/>
  <c r="K220" i="36" s="1"/>
  <c r="L220" i="36" s="1"/>
  <c r="I221" i="36" s="1"/>
  <c r="J221" i="36" s="1"/>
  <c r="K221" i="36" s="1"/>
  <c r="L221" i="36" s="1"/>
  <c r="I222" i="36" s="1"/>
  <c r="F227" i="36"/>
  <c r="E227" i="36"/>
  <c r="AU37" i="19"/>
  <c r="AU8" i="21"/>
  <c r="AU9" i="21" s="1"/>
  <c r="AU16" i="21"/>
  <c r="DL13" i="19"/>
  <c r="DK14" i="19"/>
  <c r="AY23" i="19"/>
  <c r="AZ22" i="19"/>
  <c r="AX13" i="21"/>
  <c r="AX10" i="20"/>
  <c r="AX11" i="20" s="1"/>
  <c r="AY26" i="19"/>
  <c r="AZ9" i="15"/>
  <c r="AW20" i="20"/>
  <c r="AX7" i="21"/>
  <c r="AX28" i="19"/>
  <c r="AX16" i="20"/>
  <c r="AX18" i="20" s="1"/>
  <c r="Z6" i="16"/>
  <c r="Z24" i="20"/>
  <c r="AV35" i="19"/>
  <c r="AW33" i="19"/>
  <c r="Y27" i="20"/>
  <c r="Y12" i="21"/>
  <c r="Y14" i="21" s="1"/>
  <c r="Y15" i="19"/>
  <c r="Y39" i="19" s="1"/>
  <c r="J222" i="36" l="1"/>
  <c r="K222" i="36"/>
  <c r="L222" i="36" s="1"/>
  <c r="I223" i="36" s="1"/>
  <c r="J223" i="36" s="1"/>
  <c r="K223" i="36" s="1"/>
  <c r="L223" i="36" s="1"/>
  <c r="I224" i="36" s="1"/>
  <c r="J224" i="36" s="1"/>
  <c r="K224" i="36" s="1"/>
  <c r="L224" i="36" s="1"/>
  <c r="I225" i="36" s="1"/>
  <c r="J225" i="36" s="1"/>
  <c r="K225" i="36" s="1"/>
  <c r="L225" i="36" s="1"/>
  <c r="I226" i="36" s="1"/>
  <c r="J226" i="36" s="1"/>
  <c r="K226" i="36" s="1"/>
  <c r="L226" i="36" s="1"/>
  <c r="I227" i="36" s="1"/>
  <c r="J227" i="36" s="1"/>
  <c r="K227" i="36" s="1"/>
  <c r="L227" i="36" s="1"/>
  <c r="I228" i="36" s="1"/>
  <c r="S45" i="34"/>
  <c r="S46" i="34" s="1"/>
  <c r="S31" i="34"/>
  <c r="O22" i="35"/>
  <c r="R45" i="34"/>
  <c r="R46" i="34" s="1"/>
  <c r="O21" i="35"/>
  <c r="R31" i="34"/>
  <c r="Q45" i="34"/>
  <c r="O20" i="35"/>
  <c r="Q31" i="34"/>
  <c r="Q33" i="34" s="1"/>
  <c r="R39" i="34"/>
  <c r="S37" i="30"/>
  <c r="S38" i="30" s="1"/>
  <c r="S62" i="30" s="1"/>
  <c r="B228" i="36"/>
  <c r="A228" i="36" s="1"/>
  <c r="D228" i="36" s="1"/>
  <c r="C228" i="36"/>
  <c r="T37" i="30"/>
  <c r="T38" i="30" s="1"/>
  <c r="T62" i="30" s="1"/>
  <c r="S39" i="34"/>
  <c r="AX20" i="20"/>
  <c r="AV37" i="19"/>
  <c r="AV8" i="21"/>
  <c r="AV9" i="21" s="1"/>
  <c r="AV16" i="21"/>
  <c r="AZ23" i="19"/>
  <c r="BA22" i="19"/>
  <c r="AY10" i="20"/>
  <c r="AY11" i="20" s="1"/>
  <c r="AY13" i="21"/>
  <c r="Z8" i="19"/>
  <c r="Z10" i="19" s="1"/>
  <c r="AA22" i="20"/>
  <c r="Z9" i="16"/>
  <c r="Z8" i="16"/>
  <c r="AZ26" i="19"/>
  <c r="BA9" i="15"/>
  <c r="DL14" i="19"/>
  <c r="DM13" i="19"/>
  <c r="AY7" i="21"/>
  <c r="AY28" i="19"/>
  <c r="AY16" i="20"/>
  <c r="AY18" i="20" s="1"/>
  <c r="Y30" i="20"/>
  <c r="Y32" i="20" s="1"/>
  <c r="AW35" i="19"/>
  <c r="AX33" i="19"/>
  <c r="S47" i="34" l="1"/>
  <c r="S50" i="34" s="1"/>
  <c r="T40" i="34"/>
  <c r="T17" i="34" s="1"/>
  <c r="U40" i="34"/>
  <c r="U17" i="34" s="1"/>
  <c r="R40" i="34"/>
  <c r="R17" i="34" s="1"/>
  <c r="S40" i="34"/>
  <c r="S17" i="34" s="1"/>
  <c r="Q14" i="34"/>
  <c r="Q15" i="34" s="1"/>
  <c r="R30" i="34"/>
  <c r="R33" i="34" s="1"/>
  <c r="F228" i="36"/>
  <c r="E228" i="36"/>
  <c r="R47" i="34"/>
  <c r="R50" i="34" s="1"/>
  <c r="J228" i="36"/>
  <c r="K228" i="36" s="1"/>
  <c r="L228" i="36"/>
  <c r="I229" i="36" s="1"/>
  <c r="J229" i="36" s="1"/>
  <c r="K229" i="36" s="1"/>
  <c r="L229" i="36" s="1"/>
  <c r="I230" i="36" s="1"/>
  <c r="J230" i="36" s="1"/>
  <c r="K230" i="36" s="1"/>
  <c r="L230" i="36" s="1"/>
  <c r="I231" i="36" s="1"/>
  <c r="J231" i="36" s="1"/>
  <c r="K231" i="36" s="1"/>
  <c r="L231" i="36" s="1"/>
  <c r="I232" i="36" s="1"/>
  <c r="J232" i="36" s="1"/>
  <c r="K232" i="36" s="1"/>
  <c r="L232" i="36" s="1"/>
  <c r="I233" i="36" s="1"/>
  <c r="J233" i="36" s="1"/>
  <c r="K233" i="36" s="1"/>
  <c r="L233" i="36" s="1"/>
  <c r="I234" i="36" s="1"/>
  <c r="J234" i="36" s="1"/>
  <c r="K234" i="36" s="1"/>
  <c r="L234" i="36" s="1"/>
  <c r="I235" i="36" s="1"/>
  <c r="J235" i="36" s="1"/>
  <c r="K235" i="36" s="1"/>
  <c r="L235" i="36" s="1"/>
  <c r="I236" i="36" s="1"/>
  <c r="J236" i="36" s="1"/>
  <c r="K236" i="36" s="1"/>
  <c r="L236" i="36" s="1"/>
  <c r="I237" i="36" s="1"/>
  <c r="J237" i="36" s="1"/>
  <c r="K237" i="36" s="1"/>
  <c r="L237" i="36" s="1"/>
  <c r="I238" i="36" s="1"/>
  <c r="J238" i="36" s="1"/>
  <c r="K238" i="36" s="1"/>
  <c r="L238" i="36" s="1"/>
  <c r="I239" i="36" s="1"/>
  <c r="J239" i="36" s="1"/>
  <c r="K239" i="36" s="1"/>
  <c r="L239" i="36" s="1"/>
  <c r="I240" i="36" s="1"/>
  <c r="J240" i="36" s="1"/>
  <c r="K240" i="36" s="1"/>
  <c r="L240" i="36" s="1"/>
  <c r="I241" i="36" s="1"/>
  <c r="J241" i="36" s="1"/>
  <c r="K241" i="36" s="1"/>
  <c r="L241" i="36" s="1"/>
  <c r="I242" i="36" s="1"/>
  <c r="J242" i="36" s="1"/>
  <c r="K242" i="36" s="1"/>
  <c r="L242" i="36" s="1"/>
  <c r="I243" i="36" s="1"/>
  <c r="J243" i="36" s="1"/>
  <c r="K243" i="36" s="1"/>
  <c r="L243" i="36" s="1"/>
  <c r="I244" i="36" s="1"/>
  <c r="Q46" i="34"/>
  <c r="AY20" i="20"/>
  <c r="AZ7" i="21"/>
  <c r="AZ28" i="19"/>
  <c r="AZ16" i="20"/>
  <c r="AZ18" i="20" s="1"/>
  <c r="AA6" i="16"/>
  <c r="AA24" i="20"/>
  <c r="DN13" i="19"/>
  <c r="DM14" i="19"/>
  <c r="AW8" i="21"/>
  <c r="AW9" i="21" s="1"/>
  <c r="AW37" i="19"/>
  <c r="AW16" i="21"/>
  <c r="BA23" i="19"/>
  <c r="BB22" i="19"/>
  <c r="AZ13" i="21"/>
  <c r="AZ10" i="20"/>
  <c r="AZ11" i="20" s="1"/>
  <c r="AX35" i="19"/>
  <c r="AY33" i="19"/>
  <c r="Z27" i="20"/>
  <c r="Z12" i="21"/>
  <c r="Z14" i="21" s="1"/>
  <c r="Z15" i="19"/>
  <c r="Z39" i="19" s="1"/>
  <c r="BA26" i="19"/>
  <c r="BB9" i="15"/>
  <c r="R14" i="34" l="1"/>
  <c r="R15" i="34" s="1"/>
  <c r="S30" i="34"/>
  <c r="S33" i="34" s="1"/>
  <c r="J244" i="36"/>
  <c r="K244" i="36" s="1"/>
  <c r="L244" i="36"/>
  <c r="I245" i="36" s="1"/>
  <c r="J245" i="36" s="1"/>
  <c r="K245" i="36" s="1"/>
  <c r="L245" i="36" s="1"/>
  <c r="I246" i="36" s="1"/>
  <c r="J246" i="36" s="1"/>
  <c r="K246" i="36" s="1"/>
  <c r="L246" i="36" s="1"/>
  <c r="I247" i="36" s="1"/>
  <c r="J247" i="36" s="1"/>
  <c r="K247" i="36" s="1"/>
  <c r="L247" i="36" s="1"/>
  <c r="I248" i="36" s="1"/>
  <c r="J248" i="36" s="1"/>
  <c r="K248" i="36" s="1"/>
  <c r="L248" i="36" s="1"/>
  <c r="I249" i="36" s="1"/>
  <c r="B229" i="36"/>
  <c r="A229" i="36" s="1"/>
  <c r="D229" i="36" s="1"/>
  <c r="C229" i="36"/>
  <c r="Q47" i="34"/>
  <c r="R48" i="34" s="1"/>
  <c r="R18" i="34" s="1"/>
  <c r="R19" i="34" s="1"/>
  <c r="DN14" i="19"/>
  <c r="DO13" i="19"/>
  <c r="AA8" i="19"/>
  <c r="AA10" i="19" s="1"/>
  <c r="AB22" i="20"/>
  <c r="BB23" i="19"/>
  <c r="BC22" i="19"/>
  <c r="AA8" i="16"/>
  <c r="AA9" i="16"/>
  <c r="BB26" i="19"/>
  <c r="BC9" i="15"/>
  <c r="Z30" i="20"/>
  <c r="Z32" i="20" s="1"/>
  <c r="E5" i="22" s="1"/>
  <c r="BA13" i="21"/>
  <c r="BA10" i="20"/>
  <c r="BA11" i="20" s="1"/>
  <c r="AZ20" i="20"/>
  <c r="BA28" i="19"/>
  <c r="BA7" i="21"/>
  <c r="BA16" i="20"/>
  <c r="BA18" i="20" s="1"/>
  <c r="AY35" i="19"/>
  <c r="AZ33" i="19"/>
  <c r="AX8" i="21"/>
  <c r="AX9" i="21" s="1"/>
  <c r="AX37" i="19"/>
  <c r="AX16" i="21"/>
  <c r="Q48" i="34" l="1"/>
  <c r="Q18" i="34" s="1"/>
  <c r="Q19" i="34" s="1"/>
  <c r="Q20" i="34" s="1"/>
  <c r="F229" i="36"/>
  <c r="E229" i="36"/>
  <c r="Q50" i="34"/>
  <c r="S48" i="34"/>
  <c r="S18" i="34" s="1"/>
  <c r="S19" i="34" s="1"/>
  <c r="U48" i="34"/>
  <c r="U18" i="34" s="1"/>
  <c r="U19" i="34" s="1"/>
  <c r="T48" i="34"/>
  <c r="T18" i="34" s="1"/>
  <c r="T19" i="34" s="1"/>
  <c r="J249" i="36"/>
  <c r="K249" i="36" s="1"/>
  <c r="L249" i="36" s="1"/>
  <c r="I250" i="36" s="1"/>
  <c r="J250" i="36" s="1"/>
  <c r="K250" i="36" s="1"/>
  <c r="L250" i="36" s="1"/>
  <c r="I251" i="36" s="1"/>
  <c r="J251" i="36" s="1"/>
  <c r="K251" i="36" s="1"/>
  <c r="L251" i="36" s="1"/>
  <c r="I252" i="36" s="1"/>
  <c r="J252" i="36" s="1"/>
  <c r="K252" i="36" s="1"/>
  <c r="L252" i="36" s="1"/>
  <c r="I253" i="36" s="1"/>
  <c r="S14" i="34"/>
  <c r="S15" i="34" s="1"/>
  <c r="T30" i="34"/>
  <c r="T33" i="34" s="1"/>
  <c r="R20" i="34"/>
  <c r="BA20" i="20"/>
  <c r="E6" i="22"/>
  <c r="AZ35" i="19"/>
  <c r="BA33" i="19"/>
  <c r="AB6" i="16"/>
  <c r="AB24" i="20"/>
  <c r="AY8" i="21"/>
  <c r="AY9" i="21" s="1"/>
  <c r="AY37" i="19"/>
  <c r="AY16" i="21"/>
  <c r="AA12" i="21"/>
  <c r="AA14" i="21" s="1"/>
  <c r="AA27" i="20"/>
  <c r="AA15" i="19"/>
  <c r="AA39" i="19" s="1"/>
  <c r="BC26" i="19"/>
  <c r="BD9" i="15"/>
  <c r="DO14" i="19"/>
  <c r="DP13" i="19"/>
  <c r="BB16" i="20"/>
  <c r="BB18" i="20" s="1"/>
  <c r="BB28" i="19"/>
  <c r="BB7" i="21"/>
  <c r="BC23" i="19"/>
  <c r="BD22" i="19"/>
  <c r="BB13" i="21"/>
  <c r="BB10" i="20"/>
  <c r="BB11" i="20" s="1"/>
  <c r="J253" i="36" l="1"/>
  <c r="K253" i="36" s="1"/>
  <c r="L253" i="36"/>
  <c r="I254" i="36" s="1"/>
  <c r="J254" i="36" s="1"/>
  <c r="K254" i="36" s="1"/>
  <c r="L254" i="36" s="1"/>
  <c r="I255" i="36" s="1"/>
  <c r="J255" i="36" s="1"/>
  <c r="K255" i="36" s="1"/>
  <c r="L255" i="36" s="1"/>
  <c r="I256" i="36" s="1"/>
  <c r="J256" i="36" s="1"/>
  <c r="K256" i="36" s="1"/>
  <c r="L256" i="36" s="1"/>
  <c r="I257" i="36" s="1"/>
  <c r="J257" i="36" s="1"/>
  <c r="K257" i="36" s="1"/>
  <c r="L257" i="36" s="1"/>
  <c r="I258" i="36" s="1"/>
  <c r="J258" i="36" s="1"/>
  <c r="K258" i="36" s="1"/>
  <c r="L258" i="36" s="1"/>
  <c r="I259" i="36" s="1"/>
  <c r="J259" i="36" s="1"/>
  <c r="K259" i="36" s="1"/>
  <c r="L259" i="36" s="1"/>
  <c r="I260" i="36" s="1"/>
  <c r="J260" i="36" s="1"/>
  <c r="K260" i="36" s="1"/>
  <c r="L260" i="36" s="1"/>
  <c r="I261" i="36" s="1"/>
  <c r="J261" i="36" s="1"/>
  <c r="K261" i="36" s="1"/>
  <c r="L261" i="36" s="1"/>
  <c r="I262" i="36" s="1"/>
  <c r="J262" i="36" s="1"/>
  <c r="K262" i="36" s="1"/>
  <c r="L262" i="36" s="1"/>
  <c r="I263" i="36" s="1"/>
  <c r="Q51" i="34"/>
  <c r="Q10" i="34" s="1"/>
  <c r="Q11" i="34" s="1"/>
  <c r="Q21" i="34" s="1"/>
  <c r="R51" i="34"/>
  <c r="R10" i="34" s="1"/>
  <c r="R11" i="34" s="1"/>
  <c r="R21" i="34" s="1"/>
  <c r="T51" i="34"/>
  <c r="T10" i="34" s="1"/>
  <c r="T11" i="34" s="1"/>
  <c r="U51" i="34"/>
  <c r="U10" i="34" s="1"/>
  <c r="U11" i="34" s="1"/>
  <c r="S51" i="34"/>
  <c r="S10" i="34" s="1"/>
  <c r="S11" i="34" s="1"/>
  <c r="U30" i="34"/>
  <c r="U33" i="34" s="1"/>
  <c r="U14" i="34" s="1"/>
  <c r="U15" i="34" s="1"/>
  <c r="U20" i="34" s="1"/>
  <c r="T14" i="34"/>
  <c r="T15" i="34" s="1"/>
  <c r="T20" i="34" s="1"/>
  <c r="B230" i="36"/>
  <c r="A230" i="36" s="1"/>
  <c r="D230" i="36" s="1"/>
  <c r="C230" i="36"/>
  <c r="S20" i="34"/>
  <c r="BA35" i="19"/>
  <c r="BB33" i="19"/>
  <c r="BC13" i="21"/>
  <c r="BC10" i="20"/>
  <c r="BC11" i="20" s="1"/>
  <c r="AA30" i="20"/>
  <c r="AA32" i="20" s="1"/>
  <c r="AZ8" i="21"/>
  <c r="AZ9" i="21" s="1"/>
  <c r="AZ37" i="19"/>
  <c r="AZ16" i="21"/>
  <c r="BB20" i="20"/>
  <c r="BD23" i="19"/>
  <c r="BE22" i="19"/>
  <c r="DP14" i="19"/>
  <c r="DQ13" i="19"/>
  <c r="BD26" i="19"/>
  <c r="BE9" i="15"/>
  <c r="AB8" i="19"/>
  <c r="AB10" i="19" s="1"/>
  <c r="AC22" i="20"/>
  <c r="BC7" i="21"/>
  <c r="BC16" i="20"/>
  <c r="BC18" i="20" s="1"/>
  <c r="BC28" i="19"/>
  <c r="AB8" i="16"/>
  <c r="AB9" i="16"/>
  <c r="J263" i="36" l="1"/>
  <c r="K263" i="36" s="1"/>
  <c r="L263" i="36"/>
  <c r="I264" i="36" s="1"/>
  <c r="S21" i="34"/>
  <c r="E230" i="36"/>
  <c r="F230" i="36"/>
  <c r="T21" i="34"/>
  <c r="U21" i="34"/>
  <c r="BE23" i="19"/>
  <c r="BF22" i="19"/>
  <c r="AC6" i="16"/>
  <c r="AC24" i="20"/>
  <c r="AB12" i="21"/>
  <c r="AB14" i="21" s="1"/>
  <c r="AB27" i="20"/>
  <c r="AB15" i="19"/>
  <c r="AB39" i="19" s="1"/>
  <c r="BD10" i="20"/>
  <c r="BD11" i="20" s="1"/>
  <c r="BD13" i="21"/>
  <c r="BE26" i="19"/>
  <c r="BF9" i="15"/>
  <c r="BD28" i="19"/>
  <c r="BD7" i="21"/>
  <c r="BD16" i="20"/>
  <c r="BD18" i="20" s="1"/>
  <c r="BB35" i="19"/>
  <c r="BC33" i="19"/>
  <c r="BA8" i="21"/>
  <c r="BA9" i="21" s="1"/>
  <c r="BA37" i="19"/>
  <c r="BA16" i="21"/>
  <c r="BC20" i="20"/>
  <c r="DQ14" i="19"/>
  <c r="DR13" i="19"/>
  <c r="C231" i="36" l="1"/>
  <c r="B231" i="36"/>
  <c r="A231" i="36" s="1"/>
  <c r="D231" i="36" s="1"/>
  <c r="J264" i="36"/>
  <c r="K264" i="36" s="1"/>
  <c r="L264" i="36"/>
  <c r="I265" i="36" s="1"/>
  <c r="J265" i="36" s="1"/>
  <c r="K265" i="36" s="1"/>
  <c r="L265" i="36" s="1"/>
  <c r="I266" i="36" s="1"/>
  <c r="J266" i="36" s="1"/>
  <c r="K266" i="36" s="1"/>
  <c r="L266" i="36" s="1"/>
  <c r="I267" i="36" s="1"/>
  <c r="J267" i="36" s="1"/>
  <c r="K267" i="36" s="1"/>
  <c r="L267" i="36" s="1"/>
  <c r="I268" i="36" s="1"/>
  <c r="J268" i="36" s="1"/>
  <c r="K268" i="36" s="1"/>
  <c r="L268" i="36" s="1"/>
  <c r="I269" i="36" s="1"/>
  <c r="J269" i="36" s="1"/>
  <c r="K269" i="36" s="1"/>
  <c r="L269" i="36" s="1"/>
  <c r="I270" i="36" s="1"/>
  <c r="BD20" i="20"/>
  <c r="BB8" i="21"/>
  <c r="BB9" i="21" s="1"/>
  <c r="BB37" i="19"/>
  <c r="BB16" i="21"/>
  <c r="AB30" i="20"/>
  <c r="AB32" i="20" s="1"/>
  <c r="AC8" i="19"/>
  <c r="AC10" i="19" s="1"/>
  <c r="AD22" i="20"/>
  <c r="BF26" i="19"/>
  <c r="BG9" i="15"/>
  <c r="AC9" i="16"/>
  <c r="AC8" i="16"/>
  <c r="BE16" i="20"/>
  <c r="BE18" i="20" s="1"/>
  <c r="BE7" i="21"/>
  <c r="BE28" i="19"/>
  <c r="BF23" i="19"/>
  <c r="BG22" i="19"/>
  <c r="BE10" i="20"/>
  <c r="BE11" i="20" s="1"/>
  <c r="BE13" i="21"/>
  <c r="DR14" i="19"/>
  <c r="DS13" i="19"/>
  <c r="BC35" i="19"/>
  <c r="BD33" i="19"/>
  <c r="J270" i="36" l="1"/>
  <c r="K270" i="36" s="1"/>
  <c r="L270" i="36"/>
  <c r="I271" i="36" s="1"/>
  <c r="J271" i="36" s="1"/>
  <c r="K271" i="36" s="1"/>
  <c r="E231" i="36"/>
  <c r="F231" i="36"/>
  <c r="BE20" i="20"/>
  <c r="AC27" i="20"/>
  <c r="AC12" i="21"/>
  <c r="AC14" i="21" s="1"/>
  <c r="AC15" i="19"/>
  <c r="AC39" i="19" s="1"/>
  <c r="BD35" i="19"/>
  <c r="BE33" i="19"/>
  <c r="BF10" i="20"/>
  <c r="BF11" i="20" s="1"/>
  <c r="BF13" i="21"/>
  <c r="BC37" i="19"/>
  <c r="BC8" i="21"/>
  <c r="BC9" i="21" s="1"/>
  <c r="BC16" i="21"/>
  <c r="BG23" i="19"/>
  <c r="BH22" i="19"/>
  <c r="BG26" i="19"/>
  <c r="BH9" i="15"/>
  <c r="DS14" i="19"/>
  <c r="DT13" i="19"/>
  <c r="BF7" i="21"/>
  <c r="BF28" i="19"/>
  <c r="BF16" i="20"/>
  <c r="BF18" i="20" s="1"/>
  <c r="AD6" i="16"/>
  <c r="AD24" i="20"/>
  <c r="B232" i="36" l="1"/>
  <c r="A232" i="36" s="1"/>
  <c r="D232" i="36" s="1"/>
  <c r="C232" i="36"/>
  <c r="L271" i="36"/>
  <c r="I272" i="36" s="1"/>
  <c r="BH26" i="19"/>
  <c r="BI9" i="15"/>
  <c r="BG7" i="21"/>
  <c r="BG16" i="20"/>
  <c r="BG18" i="20" s="1"/>
  <c r="BG28" i="19"/>
  <c r="BE35" i="19"/>
  <c r="BF33" i="19"/>
  <c r="BF20" i="20"/>
  <c r="BH23" i="19"/>
  <c r="BI22" i="19"/>
  <c r="BD8" i="21"/>
  <c r="BD9" i="21" s="1"/>
  <c r="BD37" i="19"/>
  <c r="BD16" i="21"/>
  <c r="BG10" i="20"/>
  <c r="BG11" i="20" s="1"/>
  <c r="BG13" i="21"/>
  <c r="J272" i="36"/>
  <c r="K272" i="36" s="1"/>
  <c r="L272" i="36" s="1"/>
  <c r="I273" i="36" s="1"/>
  <c r="DT14" i="19"/>
  <c r="DU13" i="19"/>
  <c r="AD8" i="19"/>
  <c r="AD10" i="19" s="1"/>
  <c r="AE22" i="20"/>
  <c r="AC30" i="20"/>
  <c r="AC32" i="20" s="1"/>
  <c r="AD8" i="16"/>
  <c r="AD9" i="16"/>
  <c r="E232" i="36" l="1"/>
  <c r="F232" i="36"/>
  <c r="J273" i="36"/>
  <c r="K273" i="36" s="1"/>
  <c r="L273" i="36" s="1"/>
  <c r="I274" i="36" s="1"/>
  <c r="AE6" i="16"/>
  <c r="AE24" i="20"/>
  <c r="BF35" i="19"/>
  <c r="BG33" i="19"/>
  <c r="AD12" i="21"/>
  <c r="AD14" i="21" s="1"/>
  <c r="AD27" i="20"/>
  <c r="AD15" i="19"/>
  <c r="AD39" i="19" s="1"/>
  <c r="BE8" i="21"/>
  <c r="BE9" i="21" s="1"/>
  <c r="BE37" i="19"/>
  <c r="BE16" i="21"/>
  <c r="DV13" i="19"/>
  <c r="DU14" i="19"/>
  <c r="BG20" i="20"/>
  <c r="BI23" i="19"/>
  <c r="BJ22" i="19"/>
  <c r="BI26" i="19"/>
  <c r="BJ9" i="15"/>
  <c r="BH13" i="21"/>
  <c r="BH10" i="20"/>
  <c r="BH11" i="20" s="1"/>
  <c r="BH28" i="19"/>
  <c r="BH7" i="21"/>
  <c r="BH16" i="20"/>
  <c r="BH18" i="20" s="1"/>
  <c r="C233" i="36" l="1"/>
  <c r="B233" i="36"/>
  <c r="A233" i="36" s="1"/>
  <c r="D233" i="36" s="1"/>
  <c r="BH20" i="20"/>
  <c r="J274" i="36"/>
  <c r="K274" i="36" s="1"/>
  <c r="L274" i="36" s="1"/>
  <c r="I275" i="36" s="1"/>
  <c r="BJ26" i="19"/>
  <c r="BK9" i="15"/>
  <c r="BG35" i="19"/>
  <c r="BH33" i="19"/>
  <c r="BI16" i="20"/>
  <c r="BI18" i="20" s="1"/>
  <c r="BI7" i="21"/>
  <c r="BI28" i="19"/>
  <c r="DV14" i="19"/>
  <c r="DW13" i="19"/>
  <c r="BF8" i="21"/>
  <c r="BF9" i="21" s="1"/>
  <c r="BF37" i="19"/>
  <c r="BF16" i="21"/>
  <c r="BJ23" i="19"/>
  <c r="BK22" i="19"/>
  <c r="AE8" i="19"/>
  <c r="AE10" i="19" s="1"/>
  <c r="AF22" i="20"/>
  <c r="BI13" i="21"/>
  <c r="BI10" i="20"/>
  <c r="BI11" i="20" s="1"/>
  <c r="AE8" i="16"/>
  <c r="AE9" i="16"/>
  <c r="AD30" i="20"/>
  <c r="AD32" i="20" s="1"/>
  <c r="F233" i="36" l="1"/>
  <c r="E233" i="36"/>
  <c r="J275" i="36"/>
  <c r="K275" i="36" s="1"/>
  <c r="L275" i="36" s="1"/>
  <c r="I276" i="36" s="1"/>
  <c r="BH35" i="19"/>
  <c r="BI33" i="19"/>
  <c r="BG8" i="21"/>
  <c r="BG9" i="21" s="1"/>
  <c r="BG37" i="19"/>
  <c r="BG16" i="21"/>
  <c r="DW14" i="19"/>
  <c r="DX13" i="19"/>
  <c r="BK26" i="19"/>
  <c r="BL9" i="15"/>
  <c r="AF6" i="16"/>
  <c r="AF24" i="20"/>
  <c r="BJ7" i="21"/>
  <c r="BJ16" i="20"/>
  <c r="BJ18" i="20" s="1"/>
  <c r="BJ28" i="19"/>
  <c r="AE27" i="20"/>
  <c r="AE12" i="21"/>
  <c r="AE14" i="21" s="1"/>
  <c r="AE15" i="19"/>
  <c r="AE39" i="19" s="1"/>
  <c r="BK23" i="19"/>
  <c r="BL22" i="19"/>
  <c r="BJ10" i="20"/>
  <c r="BJ11" i="20" s="1"/>
  <c r="BJ13" i="21"/>
  <c r="BI20" i="20"/>
  <c r="C234" i="36" l="1"/>
  <c r="B234" i="36"/>
  <c r="A234" i="36" s="1"/>
  <c r="D234" i="36" s="1"/>
  <c r="J276" i="36"/>
  <c r="K276" i="36" s="1"/>
  <c r="L276" i="36" s="1"/>
  <c r="I277" i="36" s="1"/>
  <c r="BK13" i="21"/>
  <c r="BK10" i="20"/>
  <c r="BK11" i="20" s="1"/>
  <c r="AF8" i="19"/>
  <c r="AF10" i="19" s="1"/>
  <c r="AG22" i="20"/>
  <c r="AF9" i="16"/>
  <c r="AF8" i="16"/>
  <c r="BL26" i="19"/>
  <c r="BM9" i="15"/>
  <c r="BI35" i="19"/>
  <c r="BJ33" i="19"/>
  <c r="AE30" i="20"/>
  <c r="AE32" i="20" s="1"/>
  <c r="BK7" i="21"/>
  <c r="BK16" i="20"/>
  <c r="BK18" i="20" s="1"/>
  <c r="BK28" i="19"/>
  <c r="BH8" i="21"/>
  <c r="BH9" i="21" s="1"/>
  <c r="BH37" i="19"/>
  <c r="BH16" i="21"/>
  <c r="DX14" i="19"/>
  <c r="DY13" i="19"/>
  <c r="BJ20" i="20"/>
  <c r="BL23" i="19"/>
  <c r="BM22" i="19"/>
  <c r="E234" i="36" l="1"/>
  <c r="F234" i="36"/>
  <c r="J277" i="36"/>
  <c r="K277" i="36" s="1"/>
  <c r="L277" i="36" s="1"/>
  <c r="I278" i="36" s="1"/>
  <c r="AF12" i="21"/>
  <c r="AF14" i="21" s="1"/>
  <c r="AF27" i="20"/>
  <c r="AF15" i="19"/>
  <c r="AF39" i="19" s="1"/>
  <c r="AG6" i="16"/>
  <c r="AG24" i="20"/>
  <c r="BJ35" i="19"/>
  <c r="BK33" i="19"/>
  <c r="BM23" i="19"/>
  <c r="BN22" i="19"/>
  <c r="BI37" i="19"/>
  <c r="BI8" i="21"/>
  <c r="BI9" i="21" s="1"/>
  <c r="BI16" i="21"/>
  <c r="BL13" i="21"/>
  <c r="BL10" i="20"/>
  <c r="BL11" i="20" s="1"/>
  <c r="BM26" i="19"/>
  <c r="BN9" i="15"/>
  <c r="BL7" i="21"/>
  <c r="BL28" i="19"/>
  <c r="BL16" i="20"/>
  <c r="BL18" i="20" s="1"/>
  <c r="BK20" i="20"/>
  <c r="DY14" i="19"/>
  <c r="DZ13" i="19"/>
  <c r="C235" i="36" l="1"/>
  <c r="B235" i="36"/>
  <c r="A235" i="36" s="1"/>
  <c r="D235" i="36" s="1"/>
  <c r="J278" i="36"/>
  <c r="K278" i="36" s="1"/>
  <c r="L278" i="36" s="1"/>
  <c r="I279" i="36" s="1"/>
  <c r="AG9" i="16"/>
  <c r="AG8" i="16"/>
  <c r="BN26" i="19"/>
  <c r="BO9" i="15"/>
  <c r="BN23" i="19"/>
  <c r="BO22" i="19"/>
  <c r="AF30" i="20"/>
  <c r="AF32" i="20" s="1"/>
  <c r="DZ14" i="19"/>
  <c r="EA13" i="19"/>
  <c r="BM7" i="21"/>
  <c r="BM16" i="20"/>
  <c r="BM18" i="20" s="1"/>
  <c r="BM28" i="19"/>
  <c r="BM13" i="21"/>
  <c r="BM10" i="20"/>
  <c r="BM11" i="20" s="1"/>
  <c r="BK35" i="19"/>
  <c r="BL33" i="19"/>
  <c r="BJ8" i="21"/>
  <c r="BJ9" i="21" s="1"/>
  <c r="BJ37" i="19"/>
  <c r="BJ16" i="21"/>
  <c r="BL20" i="20"/>
  <c r="AG8" i="19"/>
  <c r="AG10" i="19" s="1"/>
  <c r="AH22" i="20"/>
  <c r="E235" i="36" l="1"/>
  <c r="F235" i="36"/>
  <c r="EB13" i="19"/>
  <c r="EA14" i="19"/>
  <c r="AG27" i="20"/>
  <c r="AG12" i="21"/>
  <c r="AG14" i="21" s="1"/>
  <c r="AG15" i="19"/>
  <c r="AG39" i="19" s="1"/>
  <c r="BN13" i="21"/>
  <c r="BN10" i="20"/>
  <c r="BN11" i="20" s="1"/>
  <c r="BN7" i="21"/>
  <c r="BN28" i="19"/>
  <c r="BN16" i="20"/>
  <c r="BN18" i="20" s="1"/>
  <c r="BL35" i="19"/>
  <c r="BM33" i="19"/>
  <c r="BK8" i="21"/>
  <c r="BK9" i="21" s="1"/>
  <c r="BK37" i="19"/>
  <c r="BK16" i="21"/>
  <c r="AH6" i="16"/>
  <c r="AH24" i="20"/>
  <c r="BO23" i="19"/>
  <c r="BP22" i="19"/>
  <c r="J279" i="36"/>
  <c r="K279" i="36" s="1"/>
  <c r="L279" i="36" s="1"/>
  <c r="I280" i="36" s="1"/>
  <c r="BM20" i="20"/>
  <c r="BO26" i="19"/>
  <c r="BP9" i="15"/>
  <c r="C236" i="36" l="1"/>
  <c r="B236" i="36"/>
  <c r="A236" i="36" s="1"/>
  <c r="D236" i="36" s="1"/>
  <c r="BN20" i="20"/>
  <c r="J280" i="36"/>
  <c r="K280" i="36" s="1"/>
  <c r="L280" i="36" s="1"/>
  <c r="I281" i="36" s="1"/>
  <c r="BM35" i="19"/>
  <c r="BN33" i="19"/>
  <c r="BP23" i="19"/>
  <c r="BQ22" i="19"/>
  <c r="BL37" i="19"/>
  <c r="BL8" i="21"/>
  <c r="BL9" i="21" s="1"/>
  <c r="BL16" i="21"/>
  <c r="BP26" i="19"/>
  <c r="BQ9" i="15"/>
  <c r="BO10" i="20"/>
  <c r="BO11" i="20" s="1"/>
  <c r="BO13" i="21"/>
  <c r="AG30" i="20"/>
  <c r="AG32" i="20" s="1"/>
  <c r="BO7" i="21"/>
  <c r="BO28" i="19"/>
  <c r="BO16" i="20"/>
  <c r="BO18" i="20" s="1"/>
  <c r="AH8" i="19"/>
  <c r="AH10" i="19" s="1"/>
  <c r="AI22" i="20"/>
  <c r="AH9" i="16"/>
  <c r="AH8" i="16"/>
  <c r="EB14" i="19"/>
  <c r="EC13" i="19"/>
  <c r="F236" i="36" l="1"/>
  <c r="E236" i="36"/>
  <c r="J281" i="36"/>
  <c r="K281" i="36" s="1"/>
  <c r="L281" i="36" s="1"/>
  <c r="I282" i="36" s="1"/>
  <c r="BN35" i="19"/>
  <c r="BO33" i="19"/>
  <c r="BQ26" i="19"/>
  <c r="BR9" i="15"/>
  <c r="EC14" i="19"/>
  <c r="ED13" i="19"/>
  <c r="BQ23" i="19"/>
  <c r="BR22" i="19"/>
  <c r="BP13" i="21"/>
  <c r="BP10" i="20"/>
  <c r="BP11" i="20" s="1"/>
  <c r="AI6" i="16"/>
  <c r="AI24" i="20"/>
  <c r="AH27" i="20"/>
  <c r="AH12" i="21"/>
  <c r="AH14" i="21" s="1"/>
  <c r="AH15" i="19"/>
  <c r="AH39" i="19" s="1"/>
  <c r="BM8" i="21"/>
  <c r="BM9" i="21" s="1"/>
  <c r="BM37" i="19"/>
  <c r="BM16" i="21"/>
  <c r="BO20" i="20"/>
  <c r="BP7" i="21"/>
  <c r="BP28" i="19"/>
  <c r="BP16" i="20"/>
  <c r="BP18" i="20" s="1"/>
  <c r="B237" i="36" l="1"/>
  <c r="A237" i="36" s="1"/>
  <c r="D237" i="36" s="1"/>
  <c r="C237" i="36"/>
  <c r="J282" i="36"/>
  <c r="K282" i="36" s="1"/>
  <c r="L282" i="36" s="1"/>
  <c r="I283" i="36" s="1"/>
  <c r="AI8" i="19"/>
  <c r="AI10" i="19" s="1"/>
  <c r="AJ22" i="20"/>
  <c r="BR26" i="19"/>
  <c r="BS9" i="15"/>
  <c r="AI9" i="16"/>
  <c r="AI8" i="16"/>
  <c r="BQ7" i="21"/>
  <c r="BQ16" i="20"/>
  <c r="BQ18" i="20" s="1"/>
  <c r="BQ28" i="19"/>
  <c r="BO35" i="19"/>
  <c r="BP33" i="19"/>
  <c r="BR23" i="19"/>
  <c r="BS22" i="19"/>
  <c r="BN8" i="21"/>
  <c r="BN9" i="21" s="1"/>
  <c r="BN37" i="19"/>
  <c r="BN16" i="21"/>
  <c r="BQ13" i="21"/>
  <c r="BQ10" i="20"/>
  <c r="BQ11" i="20" s="1"/>
  <c r="BP20" i="20"/>
  <c r="AH30" i="20"/>
  <c r="AH32" i="20" s="1"/>
  <c r="ED14" i="19"/>
  <c r="EE13" i="19"/>
  <c r="F237" i="36" l="1"/>
  <c r="E237" i="36"/>
  <c r="J283" i="36"/>
  <c r="K283" i="36" s="1"/>
  <c r="L283" i="36" s="1"/>
  <c r="I284" i="36" s="1"/>
  <c r="BR7" i="21"/>
  <c r="BR28" i="19"/>
  <c r="BR16" i="20"/>
  <c r="BR18" i="20" s="1"/>
  <c r="AJ6" i="16"/>
  <c r="AJ24" i="20"/>
  <c r="BQ20" i="20"/>
  <c r="BP35" i="19"/>
  <c r="BQ33" i="19"/>
  <c r="BO37" i="19"/>
  <c r="BO8" i="21"/>
  <c r="BO9" i="21" s="1"/>
  <c r="BO16" i="21"/>
  <c r="BS26" i="19"/>
  <c r="BT9" i="15"/>
  <c r="EE14" i="19"/>
  <c r="EF13" i="19"/>
  <c r="AI27" i="20"/>
  <c r="AI12" i="21"/>
  <c r="AI14" i="21" s="1"/>
  <c r="AI15" i="19"/>
  <c r="AI39" i="19" s="1"/>
  <c r="BS23" i="19"/>
  <c r="BT22" i="19"/>
  <c r="BR13" i="21"/>
  <c r="BR10" i="20"/>
  <c r="BR11" i="20" s="1"/>
  <c r="B238" i="36" l="1"/>
  <c r="A238" i="36" s="1"/>
  <c r="D238" i="36" s="1"/>
  <c r="C238" i="36"/>
  <c r="BR20" i="20"/>
  <c r="J284" i="36"/>
  <c r="K284" i="36" s="1"/>
  <c r="L284" i="36" s="1"/>
  <c r="I285" i="36" s="1"/>
  <c r="AJ8" i="19"/>
  <c r="AJ10" i="19" s="1"/>
  <c r="AK22" i="20"/>
  <c r="AJ9" i="16"/>
  <c r="AJ8" i="16"/>
  <c r="AI30" i="20"/>
  <c r="AI32" i="20" s="1"/>
  <c r="BT26" i="19"/>
  <c r="BU9" i="15"/>
  <c r="BS7" i="21"/>
  <c r="BS16" i="20"/>
  <c r="BS18" i="20" s="1"/>
  <c r="BS28" i="19"/>
  <c r="BQ35" i="19"/>
  <c r="BR33" i="19"/>
  <c r="BT23" i="19"/>
  <c r="BU22" i="19"/>
  <c r="EF14" i="19"/>
  <c r="EG13" i="19"/>
  <c r="BP8" i="21"/>
  <c r="BP9" i="21" s="1"/>
  <c r="BP37" i="19"/>
  <c r="BP16" i="21"/>
  <c r="BS10" i="20"/>
  <c r="BS11" i="20" s="1"/>
  <c r="BS13" i="21"/>
  <c r="E238" i="36" l="1"/>
  <c r="F238" i="36"/>
  <c r="BS20" i="20"/>
  <c r="J285" i="36"/>
  <c r="K285" i="36" s="1"/>
  <c r="L285" i="36" s="1"/>
  <c r="I286" i="36" s="1"/>
  <c r="EG14" i="19"/>
  <c r="EH13" i="19"/>
  <c r="AK6" i="16"/>
  <c r="AK24" i="20"/>
  <c r="BU23" i="19"/>
  <c r="BV22" i="19"/>
  <c r="AJ27" i="20"/>
  <c r="AJ12" i="21"/>
  <c r="AJ14" i="21" s="1"/>
  <c r="AJ15" i="19"/>
  <c r="AJ39" i="19" s="1"/>
  <c r="BT13" i="21"/>
  <c r="BT10" i="20"/>
  <c r="BT11" i="20" s="1"/>
  <c r="BU26" i="19"/>
  <c r="BV9" i="15"/>
  <c r="BR35" i="19"/>
  <c r="BS33" i="19"/>
  <c r="BT7" i="21"/>
  <c r="BT16" i="20"/>
  <c r="BT18" i="20" s="1"/>
  <c r="BT28" i="19"/>
  <c r="BQ8" i="21"/>
  <c r="BQ9" i="21" s="1"/>
  <c r="BQ37" i="19"/>
  <c r="BQ16" i="21"/>
  <c r="B239" i="36" l="1"/>
  <c r="A239" i="36" s="1"/>
  <c r="D239" i="36" s="1"/>
  <c r="C239" i="36"/>
  <c r="BT20" i="20"/>
  <c r="J286" i="36"/>
  <c r="K286" i="36" s="1"/>
  <c r="L286" i="36" s="1"/>
  <c r="I287" i="36" s="1"/>
  <c r="AJ30" i="20"/>
  <c r="AJ32" i="20" s="1"/>
  <c r="EH14" i="19"/>
  <c r="EI13" i="19"/>
  <c r="BS35" i="19"/>
  <c r="BT33" i="19"/>
  <c r="BR8" i="21"/>
  <c r="BR9" i="21" s="1"/>
  <c r="BR37" i="19"/>
  <c r="BR16" i="21"/>
  <c r="BV23" i="19"/>
  <c r="BW22" i="19"/>
  <c r="BV26" i="19"/>
  <c r="BW9" i="15"/>
  <c r="BU10" i="20"/>
  <c r="BU11" i="20" s="1"/>
  <c r="BU13" i="21"/>
  <c r="BU7" i="21"/>
  <c r="BU28" i="19"/>
  <c r="BU16" i="20"/>
  <c r="BU18" i="20" s="1"/>
  <c r="AK8" i="19"/>
  <c r="AK10" i="19" s="1"/>
  <c r="AL22" i="20"/>
  <c r="AK8" i="16"/>
  <c r="AK9" i="16"/>
  <c r="E239" i="36" l="1"/>
  <c r="F239" i="36"/>
  <c r="BU20" i="20"/>
  <c r="J287" i="36"/>
  <c r="K287" i="36" s="1"/>
  <c r="L287" i="36" s="1"/>
  <c r="I288" i="36" s="1"/>
  <c r="BW23" i="19"/>
  <c r="BX22" i="19"/>
  <c r="BV13" i="21"/>
  <c r="BV10" i="20"/>
  <c r="BV11" i="20" s="1"/>
  <c r="EI14" i="19"/>
  <c r="EJ13" i="19"/>
  <c r="AL6" i="16"/>
  <c r="AL24" i="20"/>
  <c r="BW26" i="19"/>
  <c r="BX9" i="15"/>
  <c r="BT35" i="19"/>
  <c r="BU33" i="19"/>
  <c r="AK27" i="20"/>
  <c r="AK12" i="21"/>
  <c r="AK14" i="21" s="1"/>
  <c r="AK15" i="19"/>
  <c r="AK39" i="19" s="1"/>
  <c r="BV7" i="21"/>
  <c r="BV28" i="19"/>
  <c r="BV16" i="20"/>
  <c r="BV18" i="20" s="1"/>
  <c r="BS37" i="19"/>
  <c r="BS8" i="21"/>
  <c r="BS9" i="21" s="1"/>
  <c r="BS16" i="21"/>
  <c r="B240" i="36" l="1"/>
  <c r="A240" i="36" s="1"/>
  <c r="D240" i="36" s="1"/>
  <c r="C240" i="36"/>
  <c r="BV20" i="20"/>
  <c r="J288" i="36"/>
  <c r="K288" i="36" s="1"/>
  <c r="L288" i="36" s="1"/>
  <c r="I289" i="36" s="1"/>
  <c r="BX26" i="19"/>
  <c r="BY9" i="15"/>
  <c r="BW7" i="21"/>
  <c r="BW28" i="19"/>
  <c r="BW16" i="20"/>
  <c r="BW18" i="20" s="1"/>
  <c r="AL8" i="19"/>
  <c r="AL10" i="19" s="1"/>
  <c r="AM22" i="20"/>
  <c r="AL9" i="16"/>
  <c r="AL8" i="16"/>
  <c r="BX23" i="19"/>
  <c r="BY22" i="19"/>
  <c r="BW13" i="21"/>
  <c r="BW10" i="20"/>
  <c r="BW11" i="20" s="1"/>
  <c r="AK30" i="20"/>
  <c r="AK32" i="20" s="1"/>
  <c r="EK13" i="19"/>
  <c r="EJ14" i="19"/>
  <c r="BU35" i="19"/>
  <c r="BV33" i="19"/>
  <c r="BT37" i="19"/>
  <c r="BT8" i="21"/>
  <c r="BT9" i="21" s="1"/>
  <c r="BT16" i="21"/>
  <c r="F240" i="36" l="1"/>
  <c r="E240" i="36"/>
  <c r="BV35" i="19"/>
  <c r="BW33" i="19"/>
  <c r="BY23" i="19"/>
  <c r="BZ22" i="19"/>
  <c r="BU37" i="19"/>
  <c r="BU8" i="21"/>
  <c r="BU9" i="21" s="1"/>
  <c r="BU16" i="21"/>
  <c r="BX13" i="21"/>
  <c r="BX10" i="20"/>
  <c r="BX11" i="20" s="1"/>
  <c r="BY26" i="19"/>
  <c r="BZ9" i="15"/>
  <c r="EK14" i="19"/>
  <c r="EL13" i="19"/>
  <c r="BX7" i="21"/>
  <c r="BX28" i="19"/>
  <c r="BX16" i="20"/>
  <c r="BX18" i="20" s="1"/>
  <c r="AM6" i="16"/>
  <c r="AM24" i="20"/>
  <c r="J289" i="36"/>
  <c r="K289" i="36" s="1"/>
  <c r="L289" i="36" s="1"/>
  <c r="I290" i="36" s="1"/>
  <c r="AL27" i="20"/>
  <c r="AL12" i="21"/>
  <c r="AL14" i="21" s="1"/>
  <c r="AL15" i="19"/>
  <c r="AL39" i="19" s="1"/>
  <c r="BW20" i="20"/>
  <c r="BX20" i="20" l="1"/>
  <c r="C241" i="36"/>
  <c r="B241" i="36"/>
  <c r="A241" i="36" s="1"/>
  <c r="D241" i="36" s="1"/>
  <c r="J290" i="36"/>
  <c r="K290" i="36" s="1"/>
  <c r="L290" i="36" s="1"/>
  <c r="I291" i="36" s="1"/>
  <c r="EL14" i="19"/>
  <c r="EM13" i="19"/>
  <c r="BZ26" i="19"/>
  <c r="CA9" i="15"/>
  <c r="BZ23" i="19"/>
  <c r="CA22" i="19"/>
  <c r="AM8" i="19"/>
  <c r="AM10" i="19" s="1"/>
  <c r="AN22" i="20"/>
  <c r="BY7" i="21"/>
  <c r="BY28" i="19"/>
  <c r="BY16" i="20"/>
  <c r="BY18" i="20" s="1"/>
  <c r="BY10" i="20"/>
  <c r="BY11" i="20" s="1"/>
  <c r="BY13" i="21"/>
  <c r="AM8" i="16"/>
  <c r="AM9" i="16"/>
  <c r="BW35" i="19"/>
  <c r="BX33" i="19"/>
  <c r="BV37" i="19"/>
  <c r="BV8" i="21"/>
  <c r="BV9" i="21" s="1"/>
  <c r="BV16" i="21"/>
  <c r="AL30" i="20"/>
  <c r="AL32" i="20" s="1"/>
  <c r="F5" i="22" s="1"/>
  <c r="F241" i="36" l="1"/>
  <c r="E241" i="36"/>
  <c r="BY20" i="20"/>
  <c r="F6" i="22"/>
  <c r="J291" i="36"/>
  <c r="K291" i="36" s="1"/>
  <c r="L291" i="36" s="1"/>
  <c r="I292" i="36" s="1"/>
  <c r="BZ7" i="21"/>
  <c r="BZ28" i="19"/>
  <c r="BZ16" i="20"/>
  <c r="BZ18" i="20" s="1"/>
  <c r="BX35" i="19"/>
  <c r="BY33" i="19"/>
  <c r="BW8" i="21"/>
  <c r="BW9" i="21" s="1"/>
  <c r="BW37" i="19"/>
  <c r="BW16" i="21"/>
  <c r="AN6" i="16"/>
  <c r="AN24" i="20"/>
  <c r="EM14" i="19"/>
  <c r="EN13" i="19"/>
  <c r="AM12" i="21"/>
  <c r="AM14" i="21" s="1"/>
  <c r="AM27" i="20"/>
  <c r="AM15" i="19"/>
  <c r="AM39" i="19" s="1"/>
  <c r="CA23" i="19"/>
  <c r="CB22" i="19"/>
  <c r="BZ13" i="21"/>
  <c r="BZ10" i="20"/>
  <c r="BZ11" i="20" s="1"/>
  <c r="CA26" i="19"/>
  <c r="CB9" i="15"/>
  <c r="B242" i="36" l="1"/>
  <c r="A242" i="36" s="1"/>
  <c r="D242" i="36" s="1"/>
  <c r="C242" i="36"/>
  <c r="J292" i="36"/>
  <c r="K292" i="36" s="1"/>
  <c r="L292" i="36" s="1"/>
  <c r="I293" i="36" s="1"/>
  <c r="AM30" i="20"/>
  <c r="AM32" i="20" s="1"/>
  <c r="CA7" i="21"/>
  <c r="CA28" i="19"/>
  <c r="CA16" i="20"/>
  <c r="CA18" i="20" s="1"/>
  <c r="BY35" i="19"/>
  <c r="BZ33" i="19"/>
  <c r="EO13" i="19"/>
  <c r="EN14" i="19"/>
  <c r="BX8" i="21"/>
  <c r="BX9" i="21" s="1"/>
  <c r="BX37" i="19"/>
  <c r="BX16" i="21"/>
  <c r="CB26" i="19"/>
  <c r="CC9" i="15"/>
  <c r="CB23" i="19"/>
  <c r="CC22" i="19"/>
  <c r="AN8" i="19"/>
  <c r="AN10" i="19" s="1"/>
  <c r="AO22" i="20"/>
  <c r="CA10" i="20"/>
  <c r="CA11" i="20" s="1"/>
  <c r="CA13" i="21"/>
  <c r="AN8" i="16"/>
  <c r="AN9" i="16"/>
  <c r="BZ20" i="20"/>
  <c r="F242" i="36" l="1"/>
  <c r="E242" i="36"/>
  <c r="CA20" i="20"/>
  <c r="AO6" i="16"/>
  <c r="AO24" i="20"/>
  <c r="AN27" i="20"/>
  <c r="AN12" i="21"/>
  <c r="AN14" i="21" s="1"/>
  <c r="AN15" i="19"/>
  <c r="AN39" i="19" s="1"/>
  <c r="CC23" i="19"/>
  <c r="CD22" i="19"/>
  <c r="CB10" i="20"/>
  <c r="CB11" i="20" s="1"/>
  <c r="CB13" i="21"/>
  <c r="EO14" i="19"/>
  <c r="EP13" i="19"/>
  <c r="BZ35" i="19"/>
  <c r="CA33" i="19"/>
  <c r="CC26" i="19"/>
  <c r="CD9" i="15"/>
  <c r="BY8" i="21"/>
  <c r="BY9" i="21" s="1"/>
  <c r="BY37" i="19"/>
  <c r="BY16" i="21"/>
  <c r="J293" i="36"/>
  <c r="K293" i="36" s="1"/>
  <c r="L293" i="36" s="1"/>
  <c r="I294" i="36" s="1"/>
  <c r="CB7" i="21"/>
  <c r="CB16" i="20"/>
  <c r="CB18" i="20" s="1"/>
  <c r="CB28" i="19"/>
  <c r="C243" i="36" l="1"/>
  <c r="B243" i="36"/>
  <c r="A243" i="36" s="1"/>
  <c r="D243" i="36" s="1"/>
  <c r="J294" i="36"/>
  <c r="K294" i="36" s="1"/>
  <c r="L294" i="36" s="1"/>
  <c r="I295" i="36" s="1"/>
  <c r="CA35" i="19"/>
  <c r="CB33" i="19"/>
  <c r="CC10" i="20"/>
  <c r="CC11" i="20" s="1"/>
  <c r="CC13" i="21"/>
  <c r="BZ8" i="21"/>
  <c r="BZ9" i="21" s="1"/>
  <c r="BZ37" i="19"/>
  <c r="BZ16" i="21"/>
  <c r="EP14" i="19"/>
  <c r="EQ13" i="19"/>
  <c r="AN30" i="20"/>
  <c r="AN32" i="20"/>
  <c r="CB20" i="20"/>
  <c r="CD26" i="19"/>
  <c r="CE9" i="15"/>
  <c r="AO8" i="19"/>
  <c r="AO10" i="19" s="1"/>
  <c r="AP22" i="20"/>
  <c r="CC7" i="21"/>
  <c r="CC28" i="19"/>
  <c r="CC16" i="20"/>
  <c r="CC18" i="20" s="1"/>
  <c r="CD23" i="19"/>
  <c r="CE22" i="19"/>
  <c r="AO8" i="16"/>
  <c r="AO9" i="16"/>
  <c r="F243" i="36" l="1"/>
  <c r="E243" i="36"/>
  <c r="J295" i="36"/>
  <c r="K295" i="36" s="1"/>
  <c r="L295" i="36" s="1"/>
  <c r="I296" i="36" s="1"/>
  <c r="CB35" i="19"/>
  <c r="CC33" i="19"/>
  <c r="AP6" i="16"/>
  <c r="AP24" i="20"/>
  <c r="AO27" i="20"/>
  <c r="AO12" i="21"/>
  <c r="AO14" i="21" s="1"/>
  <c r="AO15" i="19"/>
  <c r="AO39" i="19" s="1"/>
  <c r="CE26" i="19"/>
  <c r="CF9" i="15"/>
  <c r="ER13" i="19"/>
  <c r="EQ14" i="19"/>
  <c r="CA8" i="21"/>
  <c r="CA9" i="21" s="1"/>
  <c r="CA37" i="19"/>
  <c r="CA16" i="21"/>
  <c r="CE23" i="19"/>
  <c r="CF22" i="19"/>
  <c r="CD7" i="21"/>
  <c r="CD28" i="19"/>
  <c r="CD16" i="20"/>
  <c r="CD18" i="20" s="1"/>
  <c r="CD13" i="21"/>
  <c r="CD10" i="20"/>
  <c r="CD11" i="20" s="1"/>
  <c r="CC20" i="20"/>
  <c r="B244" i="36" l="1"/>
  <c r="A244" i="36" s="1"/>
  <c r="D244" i="36" s="1"/>
  <c r="C244" i="36"/>
  <c r="CD20" i="20"/>
  <c r="ER14" i="19"/>
  <c r="ES13" i="19"/>
  <c r="CC35" i="19"/>
  <c r="CD33" i="19"/>
  <c r="CE7" i="21"/>
  <c r="CE28" i="19"/>
  <c r="CE16" i="20"/>
  <c r="CE18" i="20" s="1"/>
  <c r="AP9" i="16"/>
  <c r="AP8" i="16"/>
  <c r="CF26" i="19"/>
  <c r="CG9" i="15"/>
  <c r="CF23" i="19"/>
  <c r="CG22" i="19"/>
  <c r="CB37" i="19"/>
  <c r="CB8" i="21"/>
  <c r="CB9" i="21" s="1"/>
  <c r="CB16" i="21"/>
  <c r="CE10" i="20"/>
  <c r="CE11" i="20" s="1"/>
  <c r="CE13" i="21"/>
  <c r="J296" i="36"/>
  <c r="K296" i="36" s="1"/>
  <c r="L296" i="36" s="1"/>
  <c r="I297" i="36" s="1"/>
  <c r="AO30" i="20"/>
  <c r="AO32" i="20" s="1"/>
  <c r="AP8" i="19"/>
  <c r="AP10" i="19" s="1"/>
  <c r="AQ22" i="20"/>
  <c r="E244" i="36" l="1"/>
  <c r="F244" i="36"/>
  <c r="J297" i="36"/>
  <c r="K297" i="36" s="1"/>
  <c r="L297" i="36" s="1"/>
  <c r="I298" i="36" s="1"/>
  <c r="CG23" i="19"/>
  <c r="CH22" i="19"/>
  <c r="CF10" i="20"/>
  <c r="CF11" i="20" s="1"/>
  <c r="CF13" i="21"/>
  <c r="CD35" i="19"/>
  <c r="CE33" i="19"/>
  <c r="CG26" i="19"/>
  <c r="CH9" i="15"/>
  <c r="AP27" i="20"/>
  <c r="AP12" i="21"/>
  <c r="AP14" i="21" s="1"/>
  <c r="AP15" i="19"/>
  <c r="AP39" i="19" s="1"/>
  <c r="CC8" i="21"/>
  <c r="CC9" i="21" s="1"/>
  <c r="CC37" i="19"/>
  <c r="CC16" i="21"/>
  <c r="AQ6" i="16"/>
  <c r="AQ24" i="20"/>
  <c r="CF7" i="21"/>
  <c r="CF28" i="19"/>
  <c r="CF16" i="20"/>
  <c r="CF18" i="20" s="1"/>
  <c r="ES14" i="19"/>
  <c r="ET13" i="19"/>
  <c r="CE20" i="20"/>
  <c r="C245" i="36" l="1"/>
  <c r="B245" i="36"/>
  <c r="A245" i="36" s="1"/>
  <c r="D245" i="36" s="1"/>
  <c r="CF20" i="20"/>
  <c r="CH23" i="19"/>
  <c r="CI22" i="19"/>
  <c r="AP30" i="20"/>
  <c r="AP32" i="20" s="1"/>
  <c r="CG10" i="20"/>
  <c r="CG11" i="20" s="1"/>
  <c r="CG13" i="21"/>
  <c r="AQ8" i="19"/>
  <c r="AQ10" i="19" s="1"/>
  <c r="AR22" i="20"/>
  <c r="CH26" i="19"/>
  <c r="CI9" i="15"/>
  <c r="AQ9" i="16"/>
  <c r="AQ8" i="16"/>
  <c r="CG7" i="21"/>
  <c r="CG16" i="20"/>
  <c r="CG18" i="20" s="1"/>
  <c r="CG28" i="19"/>
  <c r="CE35" i="19"/>
  <c r="CF33" i="19"/>
  <c r="J298" i="36"/>
  <c r="K298" i="36" s="1"/>
  <c r="L298" i="36" s="1"/>
  <c r="I299" i="36" s="1"/>
  <c r="ET14" i="19"/>
  <c r="EU13" i="19"/>
  <c r="CD37" i="19"/>
  <c r="CD8" i="21"/>
  <c r="CD9" i="21" s="1"/>
  <c r="CD16" i="21"/>
  <c r="E245" i="36" l="1"/>
  <c r="F245" i="36"/>
  <c r="CG20" i="20"/>
  <c r="J299" i="36"/>
  <c r="K299" i="36" s="1"/>
  <c r="L299" i="36" s="1"/>
  <c r="AQ12" i="21"/>
  <c r="AQ14" i="21" s="1"/>
  <c r="AQ27" i="20"/>
  <c r="AQ15" i="19"/>
  <c r="AQ39" i="19" s="1"/>
  <c r="EU14" i="19"/>
  <c r="EV13" i="19"/>
  <c r="CI26" i="19"/>
  <c r="CJ9" i="15"/>
  <c r="CI23" i="19"/>
  <c r="CJ22" i="19"/>
  <c r="CF35" i="19"/>
  <c r="CG33" i="19"/>
  <c r="CH7" i="21"/>
  <c r="CH28" i="19"/>
  <c r="CH16" i="20"/>
  <c r="CH18" i="20" s="1"/>
  <c r="CH13" i="21"/>
  <c r="CH10" i="20"/>
  <c r="CH11" i="20" s="1"/>
  <c r="CE8" i="21"/>
  <c r="CE9" i="21" s="1"/>
  <c r="CE37" i="19"/>
  <c r="CE16" i="21"/>
  <c r="AR6" i="16"/>
  <c r="AR24" i="20"/>
  <c r="B246" i="36" l="1"/>
  <c r="A246" i="36" s="1"/>
  <c r="D246" i="36" s="1"/>
  <c r="C246" i="36"/>
  <c r="AR8" i="19"/>
  <c r="AR10" i="19" s="1"/>
  <c r="AS22" i="20"/>
  <c r="CG35" i="19"/>
  <c r="CH33" i="19"/>
  <c r="CF8" i="21"/>
  <c r="CF9" i="21" s="1"/>
  <c r="CF37" i="19"/>
  <c r="CF16" i="21"/>
  <c r="CJ23" i="19"/>
  <c r="CK22" i="19"/>
  <c r="AQ30" i="20"/>
  <c r="AQ32" i="20"/>
  <c r="CI13" i="21"/>
  <c r="CI10" i="20"/>
  <c r="CI11" i="20" s="1"/>
  <c r="CJ26" i="19"/>
  <c r="CK9" i="15"/>
  <c r="CH20" i="20"/>
  <c r="CI7" i="21"/>
  <c r="CI28" i="19"/>
  <c r="CI16" i="20"/>
  <c r="CI18" i="20" s="1"/>
  <c r="AR8" i="16"/>
  <c r="AR9" i="16"/>
  <c r="EV14" i="19"/>
  <c r="EW13" i="19"/>
  <c r="E246" i="36" l="1"/>
  <c r="F246" i="36"/>
  <c r="CJ7" i="21"/>
  <c r="CJ28" i="19"/>
  <c r="CJ16" i="20"/>
  <c r="CJ18" i="20" s="1"/>
  <c r="CI20" i="20"/>
  <c r="CG8" i="21"/>
  <c r="CG9" i="21" s="1"/>
  <c r="CG37" i="19"/>
  <c r="CG16" i="21"/>
  <c r="CK23" i="19"/>
  <c r="CL22" i="19"/>
  <c r="AS6" i="16"/>
  <c r="AS24" i="20"/>
  <c r="EX13" i="19"/>
  <c r="EW14" i="19"/>
  <c r="CJ13" i="21"/>
  <c r="CJ10" i="20"/>
  <c r="CJ11" i="20" s="1"/>
  <c r="AR12" i="21"/>
  <c r="AR14" i="21" s="1"/>
  <c r="AR27" i="20"/>
  <c r="AR15" i="19"/>
  <c r="AR39" i="19" s="1"/>
  <c r="CH35" i="19"/>
  <c r="CI33" i="19"/>
  <c r="CK26" i="19"/>
  <c r="CL9" i="15"/>
  <c r="B247" i="36" l="1"/>
  <c r="A247" i="36" s="1"/>
  <c r="D247" i="36" s="1"/>
  <c r="C247" i="36"/>
  <c r="CI35" i="19"/>
  <c r="CJ33" i="19"/>
  <c r="CH37" i="19"/>
  <c r="CH8" i="21"/>
  <c r="CH9" i="21" s="1"/>
  <c r="CH16" i="21"/>
  <c r="AS8" i="19"/>
  <c r="AS10" i="19" s="1"/>
  <c r="AT22" i="20"/>
  <c r="AS9" i="16"/>
  <c r="AS8" i="16"/>
  <c r="AR30" i="20"/>
  <c r="AR32" i="20" s="1"/>
  <c r="CL23" i="19"/>
  <c r="CM22" i="19"/>
  <c r="CK7" i="21"/>
  <c r="CK16" i="20"/>
  <c r="CK18" i="20" s="1"/>
  <c r="CK28" i="19"/>
  <c r="EY13" i="19"/>
  <c r="EX14" i="19"/>
  <c r="CJ20" i="20"/>
  <c r="CL26" i="19"/>
  <c r="CM9" i="15"/>
  <c r="CK13" i="21"/>
  <c r="CK10" i="20"/>
  <c r="CK11" i="20" s="1"/>
  <c r="F247" i="36" l="1"/>
  <c r="E247" i="36"/>
  <c r="AT6" i="16"/>
  <c r="AT24" i="20"/>
  <c r="CM26" i="19"/>
  <c r="CN9" i="15"/>
  <c r="CL28" i="19"/>
  <c r="CL7" i="21"/>
  <c r="CL16" i="20"/>
  <c r="CL18" i="20" s="1"/>
  <c r="AS27" i="20"/>
  <c r="AS12" i="21"/>
  <c r="AS14" i="21" s="1"/>
  <c r="AS15" i="19"/>
  <c r="AS39" i="19" s="1"/>
  <c r="CM23" i="19"/>
  <c r="CN22" i="19"/>
  <c r="CL13" i="21"/>
  <c r="CL10" i="20"/>
  <c r="CL11" i="20" s="1"/>
  <c r="EY14" i="19"/>
  <c r="EZ13" i="19"/>
  <c r="CJ35" i="19"/>
  <c r="CK33" i="19"/>
  <c r="CK20" i="20"/>
  <c r="CI8" i="21"/>
  <c r="CI9" i="21" s="1"/>
  <c r="CI37" i="19"/>
  <c r="CI16" i="21"/>
  <c r="C248" i="36" l="1"/>
  <c r="B248" i="36"/>
  <c r="A248" i="36" s="1"/>
  <c r="D248" i="36" s="1"/>
  <c r="AS30" i="20"/>
  <c r="AS32" i="20" s="1"/>
  <c r="CL20" i="20"/>
  <c r="CK35" i="19"/>
  <c r="CL33" i="19"/>
  <c r="CJ8" i="21"/>
  <c r="CJ9" i="21" s="1"/>
  <c r="CJ37" i="19"/>
  <c r="CJ16" i="21"/>
  <c r="CN23" i="19"/>
  <c r="CO22" i="19"/>
  <c r="CN26" i="19"/>
  <c r="CO9" i="15"/>
  <c r="CM10" i="20"/>
  <c r="CM11" i="20" s="1"/>
  <c r="CM13" i="21"/>
  <c r="CM28" i="19"/>
  <c r="CM7" i="21"/>
  <c r="CM16" i="20"/>
  <c r="CM18" i="20" s="1"/>
  <c r="AT8" i="19"/>
  <c r="AT10" i="19" s="1"/>
  <c r="AU22" i="20"/>
  <c r="EZ14" i="19"/>
  <c r="FA13" i="19"/>
  <c r="AT9" i="16"/>
  <c r="AT8" i="16"/>
  <c r="E248" i="36" l="1"/>
  <c r="F248" i="36"/>
  <c r="CL35" i="19"/>
  <c r="CM33" i="19"/>
  <c r="AU6" i="16"/>
  <c r="AU24" i="20"/>
  <c r="CK8" i="21"/>
  <c r="CK9" i="21" s="1"/>
  <c r="CK37" i="19"/>
  <c r="CK16" i="21"/>
  <c r="AT27" i="20"/>
  <c r="AT12" i="21"/>
  <c r="AT14" i="21" s="1"/>
  <c r="AT15" i="19"/>
  <c r="AT39" i="19" s="1"/>
  <c r="CM20" i="20"/>
  <c r="CN13" i="21"/>
  <c r="CN10" i="20"/>
  <c r="CN11" i="20" s="1"/>
  <c r="FA14" i="19"/>
  <c r="FB13" i="19"/>
  <c r="CO26" i="19"/>
  <c r="CP9" i="15"/>
  <c r="CN7" i="21"/>
  <c r="CN16" i="20"/>
  <c r="CN18" i="20" s="1"/>
  <c r="CN28" i="19"/>
  <c r="CO23" i="19"/>
  <c r="CP22" i="19"/>
  <c r="B249" i="36" l="1"/>
  <c r="A249" i="36" s="1"/>
  <c r="D249" i="36" s="1"/>
  <c r="C249" i="36"/>
  <c r="CN20" i="20"/>
  <c r="CP26" i="19"/>
  <c r="CQ9" i="15"/>
  <c r="CO13" i="21"/>
  <c r="CO10" i="20"/>
  <c r="CO11" i="20" s="1"/>
  <c r="AU8" i="19"/>
  <c r="AU10" i="19" s="1"/>
  <c r="AV22" i="20"/>
  <c r="AU8" i="16"/>
  <c r="AU9" i="16"/>
  <c r="CO7" i="21"/>
  <c r="CO28" i="19"/>
  <c r="CO16" i="20"/>
  <c r="CO18" i="20" s="1"/>
  <c r="CM35" i="19"/>
  <c r="CN33" i="19"/>
  <c r="FB14" i="19"/>
  <c r="FC13" i="19"/>
  <c r="CL8" i="21"/>
  <c r="CL9" i="21" s="1"/>
  <c r="CL37" i="19"/>
  <c r="CL16" i="21"/>
  <c r="CP23" i="19"/>
  <c r="CQ22" i="19"/>
  <c r="AT30" i="20"/>
  <c r="AT32" i="20" s="1"/>
  <c r="F249" i="36" l="1"/>
  <c r="E249" i="36"/>
  <c r="AV6" i="16"/>
  <c r="AV24" i="20"/>
  <c r="CN35" i="19"/>
  <c r="CO33" i="19"/>
  <c r="CM8" i="21"/>
  <c r="CM9" i="21" s="1"/>
  <c r="CM37" i="19"/>
  <c r="CM16" i="21"/>
  <c r="AU12" i="21"/>
  <c r="AU14" i="21" s="1"/>
  <c r="AU27" i="20"/>
  <c r="AU15" i="19"/>
  <c r="AU39" i="19" s="1"/>
  <c r="CQ23" i="19"/>
  <c r="CR22" i="19"/>
  <c r="CP13" i="21"/>
  <c r="CP10" i="20"/>
  <c r="CP11" i="20" s="1"/>
  <c r="CO20" i="20"/>
  <c r="CR9" i="15"/>
  <c r="CQ26" i="19"/>
  <c r="CP28" i="19"/>
  <c r="CP7" i="21"/>
  <c r="CP16" i="20"/>
  <c r="CP18" i="20" s="1"/>
  <c r="FC14" i="19"/>
  <c r="FD13" i="19"/>
  <c r="C250" i="36" l="1"/>
  <c r="B250" i="36"/>
  <c r="A250" i="36" s="1"/>
  <c r="D250" i="36" s="1"/>
  <c r="CP20" i="20"/>
  <c r="CR23" i="19"/>
  <c r="CS22" i="19"/>
  <c r="CQ13" i="21"/>
  <c r="CQ10" i="20"/>
  <c r="CQ11" i="20" s="1"/>
  <c r="CO35" i="19"/>
  <c r="CP33" i="19"/>
  <c r="CQ28" i="19"/>
  <c r="CQ7" i="21"/>
  <c r="CQ16" i="20"/>
  <c r="CQ18" i="20" s="1"/>
  <c r="CN8" i="21"/>
  <c r="CN9" i="21" s="1"/>
  <c r="CN37" i="19"/>
  <c r="CN16" i="21"/>
  <c r="CR26" i="19"/>
  <c r="CS9" i="15"/>
  <c r="AU30" i="20"/>
  <c r="AU32" i="20" s="1"/>
  <c r="AV8" i="19"/>
  <c r="AV10" i="19" s="1"/>
  <c r="AW22" i="20"/>
  <c r="FE13" i="19"/>
  <c r="FD14" i="19"/>
  <c r="AV9" i="16"/>
  <c r="AV8" i="16"/>
  <c r="E250" i="36" l="1"/>
  <c r="F250" i="36"/>
  <c r="CR7" i="21"/>
  <c r="CR28" i="19"/>
  <c r="CR16" i="20"/>
  <c r="CR18" i="20" s="1"/>
  <c r="CO37" i="19"/>
  <c r="CO8" i="21"/>
  <c r="CO9" i="21" s="1"/>
  <c r="CO16" i="21"/>
  <c r="FE14" i="19"/>
  <c r="FF13" i="19"/>
  <c r="AW6" i="16"/>
  <c r="AW24" i="20"/>
  <c r="CS23" i="19"/>
  <c r="CT22" i="19"/>
  <c r="AV27" i="20"/>
  <c r="AV12" i="21"/>
  <c r="AV14" i="21" s="1"/>
  <c r="AV15" i="19"/>
  <c r="AV39" i="19" s="1"/>
  <c r="CQ20" i="20"/>
  <c r="CR10" i="20"/>
  <c r="CR11" i="20" s="1"/>
  <c r="CR13" i="21"/>
  <c r="CS26" i="19"/>
  <c r="CT9" i="15"/>
  <c r="CP35" i="19"/>
  <c r="CQ33" i="19"/>
  <c r="C251" i="36" l="1"/>
  <c r="B251" i="36"/>
  <c r="A251" i="36" s="1"/>
  <c r="D251" i="36" s="1"/>
  <c r="CP8" i="21"/>
  <c r="CP9" i="21" s="1"/>
  <c r="CP37" i="19"/>
  <c r="CP16" i="21"/>
  <c r="CT26" i="19"/>
  <c r="CU9" i="15"/>
  <c r="AV30" i="20"/>
  <c r="AV32" i="20" s="1"/>
  <c r="CS7" i="21"/>
  <c r="CS28" i="19"/>
  <c r="CS16" i="20"/>
  <c r="CS18" i="20" s="1"/>
  <c r="CT23" i="19"/>
  <c r="CU22" i="19"/>
  <c r="CS13" i="21"/>
  <c r="CS10" i="20"/>
  <c r="CS11" i="20" s="1"/>
  <c r="AW8" i="19"/>
  <c r="AW10" i="19" s="1"/>
  <c r="AX22" i="20"/>
  <c r="AW9" i="16"/>
  <c r="AW8" i="16"/>
  <c r="CR20" i="20"/>
  <c r="CQ35" i="19"/>
  <c r="CR33" i="19"/>
  <c r="FF14" i="19"/>
  <c r="FG13" i="19"/>
  <c r="F251" i="36" l="1"/>
  <c r="E251" i="36"/>
  <c r="CR35" i="19"/>
  <c r="CS33" i="19"/>
  <c r="AW27" i="20"/>
  <c r="AW12" i="21"/>
  <c r="AW14" i="21" s="1"/>
  <c r="AW15" i="19"/>
  <c r="AW39" i="19" s="1"/>
  <c r="CQ8" i="21"/>
  <c r="CQ9" i="21" s="1"/>
  <c r="CQ37" i="19"/>
  <c r="CQ16" i="21"/>
  <c r="CU26" i="19"/>
  <c r="CV9" i="15"/>
  <c r="CU23" i="19"/>
  <c r="CV22" i="19"/>
  <c r="CT7" i="21"/>
  <c r="CT28" i="19"/>
  <c r="CT16" i="20"/>
  <c r="CT18" i="20" s="1"/>
  <c r="CT10" i="20"/>
  <c r="CT11" i="20" s="1"/>
  <c r="CT13" i="21"/>
  <c r="CS20" i="20"/>
  <c r="FG14" i="19"/>
  <c r="FH13" i="19"/>
  <c r="AX6" i="16"/>
  <c r="AX24" i="20"/>
  <c r="C252" i="36" l="1"/>
  <c r="B252" i="36"/>
  <c r="A252" i="36" s="1"/>
  <c r="D252" i="36" s="1"/>
  <c r="AX8" i="16"/>
  <c r="AX9" i="16"/>
  <c r="CT20" i="20"/>
  <c r="FH14" i="19"/>
  <c r="FI13" i="19"/>
  <c r="CV23" i="19"/>
  <c r="CW22" i="19"/>
  <c r="CU10" i="20"/>
  <c r="CU11" i="20" s="1"/>
  <c r="CU13" i="21"/>
  <c r="AW30" i="20"/>
  <c r="AW32" i="20" s="1"/>
  <c r="CV26" i="19"/>
  <c r="CW9" i="15"/>
  <c r="CS35" i="19"/>
  <c r="CT33" i="19"/>
  <c r="AX8" i="19"/>
  <c r="AX10" i="19" s="1"/>
  <c r="AY22" i="20"/>
  <c r="CU7" i="21"/>
  <c r="CU28" i="19"/>
  <c r="CU16" i="20"/>
  <c r="CU18" i="20" s="1"/>
  <c r="CR8" i="21"/>
  <c r="CR9" i="21" s="1"/>
  <c r="CR37" i="19"/>
  <c r="CR16" i="21"/>
  <c r="E252" i="36" l="1"/>
  <c r="F252" i="36"/>
  <c r="CU20" i="20"/>
  <c r="FI14" i="19"/>
  <c r="FJ13" i="19"/>
  <c r="CW26" i="19"/>
  <c r="CX9" i="15"/>
  <c r="CV13" i="21"/>
  <c r="CV10" i="20"/>
  <c r="CV11" i="20" s="1"/>
  <c r="CV7" i="21"/>
  <c r="CV16" i="20"/>
  <c r="CV18" i="20" s="1"/>
  <c r="CV28" i="19"/>
  <c r="AY6" i="16"/>
  <c r="AY24" i="20"/>
  <c r="AX12" i="21"/>
  <c r="AX14" i="21" s="1"/>
  <c r="AX27" i="20"/>
  <c r="AX15" i="19"/>
  <c r="AX39" i="19" s="1"/>
  <c r="CT35" i="19"/>
  <c r="CU33" i="19"/>
  <c r="CS37" i="19"/>
  <c r="CS8" i="21"/>
  <c r="CS9" i="21" s="1"/>
  <c r="CS16" i="21"/>
  <c r="CW23" i="19"/>
  <c r="CX22" i="19"/>
  <c r="C253" i="36" l="1"/>
  <c r="B253" i="36"/>
  <c r="A253" i="36" s="1"/>
  <c r="D253" i="36" s="1"/>
  <c r="CV20" i="20"/>
  <c r="CX23" i="19"/>
  <c r="CY22" i="19"/>
  <c r="CW10" i="20"/>
  <c r="CW11" i="20" s="1"/>
  <c r="CW13" i="21"/>
  <c r="AX30" i="20"/>
  <c r="AX32" i="20" s="1"/>
  <c r="G5" i="22" s="1"/>
  <c r="AY8" i="19"/>
  <c r="AY10" i="19" s="1"/>
  <c r="AZ22" i="20"/>
  <c r="AY9" i="16"/>
  <c r="AY8" i="16"/>
  <c r="CX26" i="19"/>
  <c r="CY9" i="15"/>
  <c r="CW7" i="21"/>
  <c r="CW28" i="19"/>
  <c r="CW16" i="20"/>
  <c r="CW18" i="20" s="1"/>
  <c r="CU35" i="19"/>
  <c r="CV33" i="19"/>
  <c r="FJ14" i="19"/>
  <c r="FK13" i="19"/>
  <c r="CT37" i="19"/>
  <c r="CT8" i="21"/>
  <c r="CT9" i="21" s="1"/>
  <c r="CT16" i="21"/>
  <c r="F253" i="36" l="1"/>
  <c r="E253" i="36"/>
  <c r="CW20" i="20"/>
  <c r="G6" i="22"/>
  <c r="CY26" i="19"/>
  <c r="CZ9" i="15"/>
  <c r="AZ6" i="16"/>
  <c r="AZ24" i="20"/>
  <c r="AY27" i="20"/>
  <c r="AY12" i="21"/>
  <c r="AY14" i="21" s="1"/>
  <c r="AY15" i="19"/>
  <c r="AY39" i="19" s="1"/>
  <c r="FK14" i="19"/>
  <c r="FL13" i="19"/>
  <c r="CX16" i="20"/>
  <c r="CX18" i="20" s="1"/>
  <c r="CX7" i="21"/>
  <c r="CX28" i="19"/>
  <c r="CV35" i="19"/>
  <c r="CW33" i="19"/>
  <c r="CY23" i="19"/>
  <c r="CZ22" i="19"/>
  <c r="CU8" i="21"/>
  <c r="CU9" i="21" s="1"/>
  <c r="CU37" i="19"/>
  <c r="CU16" i="21"/>
  <c r="CX13" i="21"/>
  <c r="CX10" i="20"/>
  <c r="CX11" i="20" s="1"/>
  <c r="C254" i="36" l="1"/>
  <c r="B254" i="36"/>
  <c r="A254" i="36" s="1"/>
  <c r="D254" i="36" s="1"/>
  <c r="CX20" i="20"/>
  <c r="AZ9" i="16"/>
  <c r="AZ8" i="16"/>
  <c r="FM13" i="19"/>
  <c r="FL14" i="19"/>
  <c r="CZ23" i="19"/>
  <c r="DA22" i="19"/>
  <c r="CZ26" i="19"/>
  <c r="DA9" i="15"/>
  <c r="CV8" i="21"/>
  <c r="CV9" i="21" s="1"/>
  <c r="CV37" i="19"/>
  <c r="CV16" i="21"/>
  <c r="CY10" i="20"/>
  <c r="CY11" i="20" s="1"/>
  <c r="CY13" i="21"/>
  <c r="CY7" i="21"/>
  <c r="CY16" i="20"/>
  <c r="CY18" i="20" s="1"/>
  <c r="CY28" i="19"/>
  <c r="CW35" i="19"/>
  <c r="CX33" i="19"/>
  <c r="AY30" i="20"/>
  <c r="AY32" i="20" s="1"/>
  <c r="AZ8" i="19"/>
  <c r="AZ10" i="19" s="1"/>
  <c r="BA22" i="20"/>
  <c r="F254" i="36" l="1"/>
  <c r="E254" i="36"/>
  <c r="AZ12" i="21"/>
  <c r="AZ14" i="21" s="1"/>
  <c r="AZ27" i="20"/>
  <c r="AZ15" i="19"/>
  <c r="AZ39" i="19" s="1"/>
  <c r="CZ7" i="21"/>
  <c r="CZ28" i="19"/>
  <c r="CZ16" i="20"/>
  <c r="CZ18" i="20" s="1"/>
  <c r="DA23" i="19"/>
  <c r="DB22" i="19"/>
  <c r="CZ10" i="20"/>
  <c r="CZ11" i="20" s="1"/>
  <c r="CZ13" i="21"/>
  <c r="CX35" i="19"/>
  <c r="CY33" i="19"/>
  <c r="FM14" i="19"/>
  <c r="FN13" i="19"/>
  <c r="CW37" i="19"/>
  <c r="CW8" i="21"/>
  <c r="CW9" i="21" s="1"/>
  <c r="CW16" i="21"/>
  <c r="BA6" i="16"/>
  <c r="BA24" i="20"/>
  <c r="CY20" i="20"/>
  <c r="DA26" i="19"/>
  <c r="DB9" i="15"/>
  <c r="C255" i="36" l="1"/>
  <c r="B255" i="36"/>
  <c r="A255" i="36" s="1"/>
  <c r="D255" i="36" s="1"/>
  <c r="CZ20" i="20"/>
  <c r="FN14" i="19"/>
  <c r="FO13" i="19"/>
  <c r="DA13" i="21"/>
  <c r="DA10" i="20"/>
  <c r="DA11" i="20" s="1"/>
  <c r="BA8" i="19"/>
  <c r="BA10" i="19" s="1"/>
  <c r="BB22" i="20"/>
  <c r="BA8" i="16"/>
  <c r="BA9" i="16"/>
  <c r="CZ33" i="19"/>
  <c r="CY35" i="19"/>
  <c r="CX8" i="21"/>
  <c r="CX9" i="21" s="1"/>
  <c r="CX37" i="19"/>
  <c r="CX16" i="21"/>
  <c r="DB26" i="19"/>
  <c r="DC9" i="15"/>
  <c r="AZ30" i="20"/>
  <c r="AZ32" i="20" s="1"/>
  <c r="DA7" i="21"/>
  <c r="DA28" i="19"/>
  <c r="DA16" i="20"/>
  <c r="DA18" i="20" s="1"/>
  <c r="DB23" i="19"/>
  <c r="DC22" i="19"/>
  <c r="F255" i="36" l="1"/>
  <c r="E255" i="36"/>
  <c r="DA20" i="20"/>
  <c r="DB7" i="21"/>
  <c r="DB16" i="20"/>
  <c r="DB18" i="20" s="1"/>
  <c r="DB28" i="19"/>
  <c r="BB6" i="16"/>
  <c r="BB24" i="20"/>
  <c r="DB13" i="21"/>
  <c r="DB10" i="20"/>
  <c r="DB11" i="20" s="1"/>
  <c r="BA27" i="20"/>
  <c r="BA12" i="21"/>
  <c r="BA14" i="21" s="1"/>
  <c r="BA15" i="19"/>
  <c r="BA39" i="19" s="1"/>
  <c r="CY8" i="21"/>
  <c r="CY9" i="21" s="1"/>
  <c r="CY37" i="19"/>
  <c r="CY16" i="21"/>
  <c r="CZ35" i="19"/>
  <c r="DA33" i="19"/>
  <c r="FO14" i="19"/>
  <c r="FP13" i="19"/>
  <c r="DC23" i="19"/>
  <c r="DD22" i="19"/>
  <c r="DC26" i="19"/>
  <c r="DD9" i="15"/>
  <c r="B256" i="36" l="1"/>
  <c r="A256" i="36" s="1"/>
  <c r="D256" i="36" s="1"/>
  <c r="C256" i="36"/>
  <c r="DD23" i="19"/>
  <c r="DE22" i="19"/>
  <c r="DD26" i="19"/>
  <c r="DE9" i="15"/>
  <c r="DC28" i="19"/>
  <c r="DC7" i="21"/>
  <c r="DC16" i="20"/>
  <c r="DC18" i="20" s="1"/>
  <c r="BB8" i="19"/>
  <c r="BB10" i="19" s="1"/>
  <c r="BC22" i="20"/>
  <c r="DC13" i="21"/>
  <c r="DC10" i="20"/>
  <c r="DC11" i="20" s="1"/>
  <c r="BB9" i="16"/>
  <c r="BB8" i="16"/>
  <c r="FQ13" i="19"/>
  <c r="FP14" i="19"/>
  <c r="BA30" i="20"/>
  <c r="BA32" i="20" s="1"/>
  <c r="DB20" i="20"/>
  <c r="DA35" i="19"/>
  <c r="DB33" i="19"/>
  <c r="CZ8" i="21"/>
  <c r="CZ9" i="21" s="1"/>
  <c r="CZ37" i="19"/>
  <c r="CZ16" i="21"/>
  <c r="F256" i="36" l="1"/>
  <c r="E256" i="36"/>
  <c r="DC20" i="20"/>
  <c r="FQ14" i="19"/>
  <c r="FR13" i="19"/>
  <c r="DB35" i="19"/>
  <c r="DC33" i="19"/>
  <c r="DA8" i="21"/>
  <c r="DA9" i="21" s="1"/>
  <c r="DA37" i="19"/>
  <c r="DA16" i="21"/>
  <c r="DE26" i="19"/>
  <c r="DF9" i="15"/>
  <c r="DD28" i="19"/>
  <c r="DD7" i="21"/>
  <c r="DD16" i="20"/>
  <c r="DD18" i="20" s="1"/>
  <c r="BC6" i="16"/>
  <c r="BC24" i="20"/>
  <c r="DE23" i="19"/>
  <c r="DF22" i="19"/>
  <c r="BB27" i="20"/>
  <c r="BB12" i="21"/>
  <c r="BB14" i="21" s="1"/>
  <c r="BB15" i="19"/>
  <c r="BB39" i="19" s="1"/>
  <c r="DD10" i="20"/>
  <c r="DD11" i="20" s="1"/>
  <c r="DD13" i="21"/>
  <c r="C257" i="36" l="1"/>
  <c r="B257" i="36"/>
  <c r="A257" i="36" s="1"/>
  <c r="D257" i="36" s="1"/>
  <c r="DD20" i="20"/>
  <c r="BB30" i="20"/>
  <c r="BB32" i="20" s="1"/>
  <c r="BC8" i="16"/>
  <c r="BC9" i="16"/>
  <c r="DC35" i="19"/>
  <c r="DD33" i="19"/>
  <c r="DB8" i="21"/>
  <c r="DB9" i="21" s="1"/>
  <c r="DB37" i="19"/>
  <c r="DB16" i="21"/>
  <c r="DF26" i="19"/>
  <c r="DG9" i="15"/>
  <c r="DF23" i="19"/>
  <c r="DG22" i="19"/>
  <c r="DE28" i="19"/>
  <c r="DE16" i="20"/>
  <c r="DE18" i="20" s="1"/>
  <c r="DE7" i="21"/>
  <c r="FR14" i="19"/>
  <c r="FS13" i="19"/>
  <c r="DE13" i="21"/>
  <c r="DE10" i="20"/>
  <c r="DE11" i="20" s="1"/>
  <c r="BC8" i="19"/>
  <c r="BC10" i="19" s="1"/>
  <c r="BD22" i="20"/>
  <c r="F257" i="36" l="1"/>
  <c r="E257" i="36"/>
  <c r="DG23" i="19"/>
  <c r="DH22" i="19"/>
  <c r="DD35" i="19"/>
  <c r="DE33" i="19"/>
  <c r="DF10" i="20"/>
  <c r="DF11" i="20" s="1"/>
  <c r="DF13" i="21"/>
  <c r="DC8" i="21"/>
  <c r="DC9" i="21" s="1"/>
  <c r="DC37" i="19"/>
  <c r="DC16" i="21"/>
  <c r="DG26" i="19"/>
  <c r="DH9" i="15"/>
  <c r="FT13" i="19"/>
  <c r="FS14" i="19"/>
  <c r="DF7" i="21"/>
  <c r="DF16" i="20"/>
  <c r="DF18" i="20" s="1"/>
  <c r="DF28" i="19"/>
  <c r="BD6" i="16"/>
  <c r="BD24" i="20"/>
  <c r="DE20" i="20"/>
  <c r="BC27" i="20"/>
  <c r="BC12" i="21"/>
  <c r="BC14" i="21" s="1"/>
  <c r="BC15" i="19"/>
  <c r="BC39" i="19" s="1"/>
  <c r="B258" i="36" l="1"/>
  <c r="A258" i="36" s="1"/>
  <c r="D258" i="36" s="1"/>
  <c r="C258" i="36"/>
  <c r="DF20" i="20"/>
  <c r="BC30" i="20"/>
  <c r="BC32" i="20" s="1"/>
  <c r="BD8" i="19"/>
  <c r="BD10" i="19" s="1"/>
  <c r="BE22" i="20"/>
  <c r="FT14" i="19"/>
  <c r="FU13" i="19"/>
  <c r="DE35" i="19"/>
  <c r="DF33" i="19"/>
  <c r="BD9" i="16"/>
  <c r="BD8" i="16"/>
  <c r="DH26" i="19"/>
  <c r="DI9" i="15"/>
  <c r="DD8" i="21"/>
  <c r="DD9" i="21" s="1"/>
  <c r="DD37" i="19"/>
  <c r="DD16" i="21"/>
  <c r="DG7" i="21"/>
  <c r="DG16" i="20"/>
  <c r="DG18" i="20" s="1"/>
  <c r="DG28" i="19"/>
  <c r="DH23" i="19"/>
  <c r="DI22" i="19"/>
  <c r="DG10" i="20"/>
  <c r="DG11" i="20" s="1"/>
  <c r="DG13" i="21"/>
  <c r="E258" i="36" l="1"/>
  <c r="F258" i="36"/>
  <c r="BD27" i="20"/>
  <c r="BD12" i="21"/>
  <c r="BD14" i="21" s="1"/>
  <c r="BD15" i="19"/>
  <c r="BD39" i="19" s="1"/>
  <c r="DI23" i="19"/>
  <c r="DJ22" i="19"/>
  <c r="DI26" i="19"/>
  <c r="DJ9" i="15"/>
  <c r="BE6" i="16"/>
  <c r="BE24" i="20"/>
  <c r="DH10" i="20"/>
  <c r="DH11" i="20" s="1"/>
  <c r="DH13" i="21"/>
  <c r="DH7" i="21"/>
  <c r="DH16" i="20"/>
  <c r="DH18" i="20" s="1"/>
  <c r="DH28" i="19"/>
  <c r="DG20" i="20"/>
  <c r="DF35" i="19"/>
  <c r="DG33" i="19"/>
  <c r="DE8" i="21"/>
  <c r="DE9" i="21" s="1"/>
  <c r="DE37" i="19"/>
  <c r="DE16" i="21"/>
  <c r="FU14" i="19"/>
  <c r="FV13" i="19"/>
  <c r="C259" i="36" l="1"/>
  <c r="B259" i="36"/>
  <c r="A259" i="36" s="1"/>
  <c r="D259" i="36" s="1"/>
  <c r="DH20" i="20"/>
  <c r="DJ26" i="19"/>
  <c r="DK9" i="15"/>
  <c r="DI7" i="21"/>
  <c r="DI16" i="20"/>
  <c r="DI18" i="20" s="1"/>
  <c r="DI28" i="19"/>
  <c r="DJ23" i="19"/>
  <c r="DK22" i="19"/>
  <c r="DI10" i="20"/>
  <c r="DI11" i="20" s="1"/>
  <c r="DI13" i="21"/>
  <c r="DG35" i="19"/>
  <c r="DH33" i="19"/>
  <c r="DF8" i="21"/>
  <c r="DF9" i="21" s="1"/>
  <c r="DF37" i="19"/>
  <c r="DF16" i="21"/>
  <c r="BE8" i="19"/>
  <c r="BE10" i="19" s="1"/>
  <c r="BF22" i="20"/>
  <c r="BD30" i="20"/>
  <c r="BD32" i="20" s="1"/>
  <c r="FV14" i="19"/>
  <c r="FW13" i="19"/>
  <c r="BE8" i="16"/>
  <c r="BE9" i="16"/>
  <c r="F259" i="36" l="1"/>
  <c r="E259" i="36"/>
  <c r="DI20" i="20"/>
  <c r="DH35" i="19"/>
  <c r="DI33" i="19"/>
  <c r="DJ10" i="20"/>
  <c r="DJ11" i="20" s="1"/>
  <c r="DJ13" i="21"/>
  <c r="FW14" i="19"/>
  <c r="FX13" i="19"/>
  <c r="DG8" i="21"/>
  <c r="DG9" i="21" s="1"/>
  <c r="DG37" i="19"/>
  <c r="DG16" i="21"/>
  <c r="BF6" i="16"/>
  <c r="BF24" i="20"/>
  <c r="DK26" i="19"/>
  <c r="DL9" i="15"/>
  <c r="BE27" i="20"/>
  <c r="BE12" i="21"/>
  <c r="BE14" i="21" s="1"/>
  <c r="BE15" i="19"/>
  <c r="BE39" i="19" s="1"/>
  <c r="DJ7" i="21"/>
  <c r="DJ28" i="19"/>
  <c r="DJ16" i="20"/>
  <c r="DJ18" i="20" s="1"/>
  <c r="DK23" i="19"/>
  <c r="DL22" i="19"/>
  <c r="B260" i="36" l="1"/>
  <c r="A260" i="36" s="1"/>
  <c r="D260" i="36" s="1"/>
  <c r="C260" i="36"/>
  <c r="DJ20" i="20"/>
  <c r="DL23" i="19"/>
  <c r="DM22" i="19"/>
  <c r="DL26" i="19"/>
  <c r="DM9" i="15"/>
  <c r="DK10" i="20"/>
  <c r="DK11" i="20" s="1"/>
  <c r="DK13" i="21"/>
  <c r="DK7" i="21"/>
  <c r="DK28" i="19"/>
  <c r="DK16" i="20"/>
  <c r="DK18" i="20" s="1"/>
  <c r="FX14" i="19"/>
  <c r="FY13" i="19"/>
  <c r="BF8" i="19"/>
  <c r="BF10" i="19" s="1"/>
  <c r="BG22" i="20"/>
  <c r="BF9" i="16"/>
  <c r="BF8" i="16"/>
  <c r="DI35" i="19"/>
  <c r="DJ33" i="19"/>
  <c r="DH8" i="21"/>
  <c r="DH9" i="21" s="1"/>
  <c r="DH37" i="19"/>
  <c r="DH16" i="21"/>
  <c r="BE30" i="20"/>
  <c r="BE32" i="20" s="1"/>
  <c r="F260" i="36" l="1"/>
  <c r="E260" i="36"/>
  <c r="BG6" i="16"/>
  <c r="BG24" i="20"/>
  <c r="DJ35" i="19"/>
  <c r="DK33" i="19"/>
  <c r="BF27" i="20"/>
  <c r="BF12" i="21"/>
  <c r="BF14" i="21" s="1"/>
  <c r="BF15" i="19"/>
  <c r="BF39" i="19" s="1"/>
  <c r="DM26" i="19"/>
  <c r="DN9" i="15"/>
  <c r="DI8" i="21"/>
  <c r="DI9" i="21" s="1"/>
  <c r="DI37" i="19"/>
  <c r="DI16" i="21"/>
  <c r="FY14" i="19"/>
  <c r="FZ13" i="19"/>
  <c r="DL7" i="21"/>
  <c r="DL16" i="20"/>
  <c r="DL18" i="20" s="1"/>
  <c r="DL28" i="19"/>
  <c r="DM23" i="19"/>
  <c r="DN22" i="19"/>
  <c r="DK20" i="20"/>
  <c r="DL10" i="20"/>
  <c r="DL11" i="20" s="1"/>
  <c r="DL13" i="21"/>
  <c r="C261" i="36" l="1"/>
  <c r="B261" i="36"/>
  <c r="A261" i="36" s="1"/>
  <c r="D261" i="36" s="1"/>
  <c r="FZ14" i="19"/>
  <c r="GA13" i="19"/>
  <c r="BF30" i="20"/>
  <c r="BF32" i="20" s="1"/>
  <c r="DN23" i="19"/>
  <c r="DO22" i="19"/>
  <c r="DK35" i="19"/>
  <c r="DL33" i="19"/>
  <c r="DM10" i="20"/>
  <c r="DM11" i="20" s="1"/>
  <c r="DM13" i="21"/>
  <c r="DJ37" i="19"/>
  <c r="DJ8" i="21"/>
  <c r="DJ9" i="21" s="1"/>
  <c r="DJ16" i="21"/>
  <c r="BG8" i="19"/>
  <c r="BG10" i="19" s="1"/>
  <c r="BH22" i="20"/>
  <c r="DN26" i="19"/>
  <c r="DO9" i="15"/>
  <c r="BG9" i="16"/>
  <c r="BG8" i="16"/>
  <c r="DL20" i="20"/>
  <c r="DM7" i="21"/>
  <c r="DM28" i="19"/>
  <c r="DM16" i="20"/>
  <c r="DM18" i="20" s="1"/>
  <c r="F261" i="36" l="1"/>
  <c r="E261" i="36"/>
  <c r="DM20" i="20"/>
  <c r="BG27" i="20"/>
  <c r="BG12" i="21"/>
  <c r="BG14" i="21" s="1"/>
  <c r="BG15" i="19"/>
  <c r="BG39" i="19" s="1"/>
  <c r="DK8" i="21"/>
  <c r="DK9" i="21" s="1"/>
  <c r="DK37" i="19"/>
  <c r="DK16" i="21"/>
  <c r="DO23" i="19"/>
  <c r="DP22" i="19"/>
  <c r="DN10" i="20"/>
  <c r="DN11" i="20" s="1"/>
  <c r="DN13" i="21"/>
  <c r="DO26" i="19"/>
  <c r="DP9" i="15"/>
  <c r="DN7" i="21"/>
  <c r="DN16" i="20"/>
  <c r="DN18" i="20" s="1"/>
  <c r="DN28" i="19"/>
  <c r="GA14" i="19"/>
  <c r="GB13" i="19"/>
  <c r="BH6" i="16"/>
  <c r="BH24" i="20"/>
  <c r="DL35" i="19"/>
  <c r="DM33" i="19"/>
  <c r="C262" i="36" l="1"/>
  <c r="B262" i="36"/>
  <c r="A262" i="36" s="1"/>
  <c r="D262" i="36" s="1"/>
  <c r="DN20" i="20"/>
  <c r="DP23" i="19"/>
  <c r="DQ22" i="19"/>
  <c r="DM35" i="19"/>
  <c r="DN33" i="19"/>
  <c r="DO10" i="20"/>
  <c r="DO11" i="20" s="1"/>
  <c r="DO13" i="21"/>
  <c r="DL8" i="21"/>
  <c r="DL9" i="21" s="1"/>
  <c r="DL37" i="19"/>
  <c r="DL16" i="21"/>
  <c r="BH8" i="19"/>
  <c r="BH10" i="19" s="1"/>
  <c r="BI22" i="20"/>
  <c r="DP26" i="19"/>
  <c r="DQ9" i="15"/>
  <c r="BH8" i="16"/>
  <c r="BH9" i="16"/>
  <c r="DO7" i="21"/>
  <c r="DO28" i="19"/>
  <c r="DO16" i="20"/>
  <c r="DO18" i="20" s="1"/>
  <c r="GB14" i="19"/>
  <c r="GC13" i="19"/>
  <c r="BG30" i="20"/>
  <c r="BG32" i="20" s="1"/>
  <c r="F262" i="36" l="1"/>
  <c r="E262" i="36"/>
  <c r="GC14" i="19"/>
  <c r="GD13" i="19"/>
  <c r="DQ26" i="19"/>
  <c r="DR9" i="15"/>
  <c r="DP7" i="21"/>
  <c r="DP28" i="19"/>
  <c r="DP16" i="20"/>
  <c r="DP18" i="20" s="1"/>
  <c r="DN35" i="19"/>
  <c r="DO33" i="19"/>
  <c r="DO20" i="20"/>
  <c r="BI6" i="16"/>
  <c r="BI24" i="20"/>
  <c r="DM8" i="21"/>
  <c r="DM9" i="21" s="1"/>
  <c r="DM37" i="19"/>
  <c r="DM16" i="21"/>
  <c r="BH27" i="20"/>
  <c r="BH12" i="21"/>
  <c r="BH14" i="21" s="1"/>
  <c r="BH15" i="19"/>
  <c r="BH39" i="19" s="1"/>
  <c r="DQ23" i="19"/>
  <c r="DR22" i="19"/>
  <c r="DP13" i="21"/>
  <c r="DP10" i="20"/>
  <c r="DP11" i="20" s="1"/>
  <c r="B263" i="36" l="1"/>
  <c r="A263" i="36" s="1"/>
  <c r="D263" i="36" s="1"/>
  <c r="C263" i="36"/>
  <c r="DP20" i="20"/>
  <c r="DR23" i="19"/>
  <c r="DS22" i="19"/>
  <c r="DQ13" i="21"/>
  <c r="DQ10" i="20"/>
  <c r="DQ11" i="20" s="1"/>
  <c r="BI8" i="19"/>
  <c r="BI10" i="19" s="1"/>
  <c r="BJ22" i="20"/>
  <c r="BI8" i="16"/>
  <c r="BI9" i="16"/>
  <c r="DR26" i="19"/>
  <c r="DS9" i="15"/>
  <c r="DQ7" i="21"/>
  <c r="DQ16" i="20"/>
  <c r="DQ18" i="20" s="1"/>
  <c r="DQ28" i="19"/>
  <c r="BH30" i="20"/>
  <c r="BH32" i="20"/>
  <c r="DO35" i="19"/>
  <c r="DP33" i="19"/>
  <c r="GD14" i="19"/>
  <c r="GE13" i="19"/>
  <c r="DN8" i="21"/>
  <c r="DN9" i="21" s="1"/>
  <c r="DN37" i="19"/>
  <c r="DN16" i="21"/>
  <c r="F263" i="36" l="1"/>
  <c r="E263" i="36"/>
  <c r="DQ20" i="20"/>
  <c r="BI27" i="20"/>
  <c r="BI12" i="21"/>
  <c r="BI14" i="21" s="1"/>
  <c r="BI15" i="19"/>
  <c r="BI39" i="19" s="1"/>
  <c r="GE14" i="19"/>
  <c r="GF13" i="19"/>
  <c r="DS26" i="19"/>
  <c r="DT9" i="15"/>
  <c r="DS23" i="19"/>
  <c r="DT22" i="19"/>
  <c r="DP35" i="19"/>
  <c r="DQ33" i="19"/>
  <c r="DR7" i="21"/>
  <c r="DR16" i="20"/>
  <c r="DR18" i="20" s="1"/>
  <c r="DR28" i="19"/>
  <c r="DR10" i="20"/>
  <c r="DR11" i="20" s="1"/>
  <c r="DR13" i="21"/>
  <c r="DO8" i="21"/>
  <c r="DO9" i="21" s="1"/>
  <c r="DO37" i="19"/>
  <c r="DO16" i="21"/>
  <c r="BJ6" i="16"/>
  <c r="BJ24" i="20"/>
  <c r="B264" i="36" l="1"/>
  <c r="A264" i="36" s="1"/>
  <c r="D264" i="36" s="1"/>
  <c r="C264" i="36"/>
  <c r="DR20" i="20"/>
  <c r="BJ9" i="16"/>
  <c r="BJ8" i="16"/>
  <c r="BJ8" i="19"/>
  <c r="BJ10" i="19" s="1"/>
  <c r="BK22" i="20"/>
  <c r="GF14" i="19"/>
  <c r="GG13" i="19"/>
  <c r="DQ35" i="19"/>
  <c r="DR33" i="19"/>
  <c r="DP37" i="19"/>
  <c r="DP8" i="21"/>
  <c r="DP9" i="21" s="1"/>
  <c r="DP16" i="21"/>
  <c r="DT23" i="19"/>
  <c r="DU22" i="19"/>
  <c r="DS13" i="21"/>
  <c r="DS10" i="20"/>
  <c r="DS11" i="20" s="1"/>
  <c r="BI30" i="20"/>
  <c r="BI32" i="20" s="1"/>
  <c r="DT26" i="19"/>
  <c r="DU9" i="15"/>
  <c r="DS7" i="21"/>
  <c r="DS28" i="19"/>
  <c r="DS16" i="20"/>
  <c r="DS18" i="20" s="1"/>
  <c r="E264" i="36" l="1"/>
  <c r="F264" i="36"/>
  <c r="DS20" i="20"/>
  <c r="DT10" i="20"/>
  <c r="DT11" i="20" s="1"/>
  <c r="DT13" i="21"/>
  <c r="DS33" i="19"/>
  <c r="DR35" i="19"/>
  <c r="DU23" i="19"/>
  <c r="DV22" i="19"/>
  <c r="DQ8" i="21"/>
  <c r="DQ9" i="21" s="1"/>
  <c r="DQ37" i="19"/>
  <c r="DQ16" i="21"/>
  <c r="GH13" i="19"/>
  <c r="GG14" i="19"/>
  <c r="DU26" i="19"/>
  <c r="DV9" i="15"/>
  <c r="DT7" i="21"/>
  <c r="DT16" i="20"/>
  <c r="DT18" i="20" s="1"/>
  <c r="DT28" i="19"/>
  <c r="BK6" i="16"/>
  <c r="BK24" i="20"/>
  <c r="BJ12" i="21"/>
  <c r="BJ14" i="21" s="1"/>
  <c r="BJ27" i="20"/>
  <c r="BJ15" i="19"/>
  <c r="BJ39" i="19" s="1"/>
  <c r="DT20" i="20" l="1"/>
  <c r="C265" i="36"/>
  <c r="B265" i="36"/>
  <c r="A265" i="36" s="1"/>
  <c r="D265" i="36" s="1"/>
  <c r="BJ30" i="20"/>
  <c r="BJ32" i="20" s="1"/>
  <c r="H5" i="22" s="1"/>
  <c r="DV23" i="19"/>
  <c r="DW22" i="19"/>
  <c r="DV26" i="19"/>
  <c r="DW9" i="15"/>
  <c r="DU13" i="21"/>
  <c r="DU10" i="20"/>
  <c r="DU11" i="20" s="1"/>
  <c r="DU7" i="21"/>
  <c r="DU16" i="20"/>
  <c r="DU18" i="20" s="1"/>
  <c r="DU28" i="19"/>
  <c r="DR8" i="21"/>
  <c r="DR9" i="21" s="1"/>
  <c r="DR37" i="19"/>
  <c r="DR16" i="21"/>
  <c r="BK8" i="19"/>
  <c r="BK10" i="19" s="1"/>
  <c r="BL22" i="20"/>
  <c r="DS35" i="19"/>
  <c r="DT33" i="19"/>
  <c r="BK9" i="16"/>
  <c r="BK8" i="16"/>
  <c r="GI13" i="19"/>
  <c r="GH14" i="19"/>
  <c r="F265" i="36" l="1"/>
  <c r="E265" i="36"/>
  <c r="H6" i="22"/>
  <c r="BL6" i="16"/>
  <c r="BL24" i="20"/>
  <c r="BK12" i="21"/>
  <c r="BK14" i="21" s="1"/>
  <c r="BK27" i="20"/>
  <c r="BK15" i="19"/>
  <c r="BK39" i="19" s="1"/>
  <c r="GJ13" i="19"/>
  <c r="GI14" i="19"/>
  <c r="DW26" i="19"/>
  <c r="DX9" i="15"/>
  <c r="DV7" i="21"/>
  <c r="DV28" i="19"/>
  <c r="DV16" i="20"/>
  <c r="DV18" i="20" s="1"/>
  <c r="DW23" i="19"/>
  <c r="DX22" i="19"/>
  <c r="DT35" i="19"/>
  <c r="DU33" i="19"/>
  <c r="DV10" i="20"/>
  <c r="DV11" i="20" s="1"/>
  <c r="DV13" i="21"/>
  <c r="DS8" i="21"/>
  <c r="DS9" i="21" s="1"/>
  <c r="DS37" i="19"/>
  <c r="DS16" i="21"/>
  <c r="DU20" i="20"/>
  <c r="C266" i="36" l="1"/>
  <c r="B266" i="36"/>
  <c r="A266" i="36" s="1"/>
  <c r="D266" i="36" s="1"/>
  <c r="BK30" i="20"/>
  <c r="BK32" i="20" s="1"/>
  <c r="DX26" i="19"/>
  <c r="DY9" i="15"/>
  <c r="BL8" i="19"/>
  <c r="BL10" i="19" s="1"/>
  <c r="BM22" i="20"/>
  <c r="DU35" i="19"/>
  <c r="DV33" i="19"/>
  <c r="BL8" i="16"/>
  <c r="BL9" i="16"/>
  <c r="DT8" i="21"/>
  <c r="DT9" i="21" s="1"/>
  <c r="DT37" i="19"/>
  <c r="DT16" i="21"/>
  <c r="DW7" i="21"/>
  <c r="DW16" i="20"/>
  <c r="DW18" i="20" s="1"/>
  <c r="DW28" i="19"/>
  <c r="DX23" i="19"/>
  <c r="DY22" i="19"/>
  <c r="DW13" i="21"/>
  <c r="DW10" i="20"/>
  <c r="DW11" i="20" s="1"/>
  <c r="GK13" i="19"/>
  <c r="GJ14" i="19"/>
  <c r="DV20" i="20"/>
  <c r="F266" i="36" l="1"/>
  <c r="E266" i="36"/>
  <c r="DW20" i="20"/>
  <c r="GL13" i="19"/>
  <c r="GK14" i="19"/>
  <c r="BL27" i="20"/>
  <c r="BL12" i="21"/>
  <c r="BL14" i="21" s="1"/>
  <c r="BL15" i="19"/>
  <c r="BL39" i="19" s="1"/>
  <c r="DY26" i="19"/>
  <c r="DZ9" i="15"/>
  <c r="DU8" i="21"/>
  <c r="DU9" i="21" s="1"/>
  <c r="DU37" i="19"/>
  <c r="DU16" i="21"/>
  <c r="BM6" i="16"/>
  <c r="BM24" i="20"/>
  <c r="DY23" i="19"/>
  <c r="DZ22" i="19"/>
  <c r="DX28" i="19"/>
  <c r="DX7" i="21"/>
  <c r="DX16" i="20"/>
  <c r="DX18" i="20" s="1"/>
  <c r="DX10" i="20"/>
  <c r="DX11" i="20" s="1"/>
  <c r="DX13" i="21"/>
  <c r="DV35" i="19"/>
  <c r="DW33" i="19"/>
  <c r="B267" i="36" l="1"/>
  <c r="A267" i="36" s="1"/>
  <c r="D267" i="36" s="1"/>
  <c r="C267" i="36"/>
  <c r="DV8" i="21"/>
  <c r="DV9" i="21" s="1"/>
  <c r="DV37" i="19"/>
  <c r="DV16" i="21"/>
  <c r="DZ23" i="19"/>
  <c r="EA22" i="19"/>
  <c r="DZ26" i="19"/>
  <c r="EA9" i="15"/>
  <c r="DY7" i="21"/>
  <c r="DY16" i="20"/>
  <c r="DY18" i="20" s="1"/>
  <c r="DY28" i="19"/>
  <c r="DY10" i="20"/>
  <c r="DY11" i="20" s="1"/>
  <c r="DY13" i="21"/>
  <c r="BM8" i="19"/>
  <c r="BM10" i="19" s="1"/>
  <c r="BN22" i="20"/>
  <c r="BM8" i="16"/>
  <c r="BM9" i="16"/>
  <c r="BL30" i="20"/>
  <c r="BL32" i="20" s="1"/>
  <c r="DX20" i="20"/>
  <c r="DW35" i="19"/>
  <c r="DX33" i="19"/>
  <c r="GM13" i="19"/>
  <c r="GL14" i="19"/>
  <c r="F267" i="36" l="1"/>
  <c r="E267" i="36"/>
  <c r="DX35" i="19"/>
  <c r="DY33" i="19"/>
  <c r="EA26" i="19"/>
  <c r="EB9" i="15"/>
  <c r="DW8" i="21"/>
  <c r="DW9" i="21" s="1"/>
  <c r="DW37" i="19"/>
  <c r="DW16" i="21"/>
  <c r="BN6" i="16"/>
  <c r="BN24" i="20"/>
  <c r="DZ7" i="21"/>
  <c r="DZ16" i="20"/>
  <c r="DZ18" i="20" s="1"/>
  <c r="DZ28" i="19"/>
  <c r="BM27" i="20"/>
  <c r="BM12" i="21"/>
  <c r="BM14" i="21" s="1"/>
  <c r="BM15" i="19"/>
  <c r="BM39" i="19" s="1"/>
  <c r="EA23" i="19"/>
  <c r="EB22" i="19"/>
  <c r="DZ10" i="20"/>
  <c r="DZ11" i="20" s="1"/>
  <c r="DZ13" i="21"/>
  <c r="DY20" i="20"/>
  <c r="GN13" i="19"/>
  <c r="GM14" i="19"/>
  <c r="C268" i="36" l="1"/>
  <c r="F268" i="36" s="1"/>
  <c r="B268" i="36"/>
  <c r="A268" i="36" s="1"/>
  <c r="D268" i="36" s="1"/>
  <c r="E268" i="36" s="1"/>
  <c r="DZ20" i="20"/>
  <c r="EA13" i="21"/>
  <c r="EA10" i="20"/>
  <c r="EA11" i="20" s="1"/>
  <c r="BN9" i="16"/>
  <c r="BN8" i="16"/>
  <c r="BM30" i="20"/>
  <c r="BM32" i="20" s="1"/>
  <c r="EB26" i="19"/>
  <c r="EC9" i="15"/>
  <c r="EA28" i="19"/>
  <c r="EA7" i="21"/>
  <c r="EA16" i="20"/>
  <c r="EA18" i="20" s="1"/>
  <c r="DY35" i="19"/>
  <c r="DZ33" i="19"/>
  <c r="GO13" i="19"/>
  <c r="GN14" i="19"/>
  <c r="EB23" i="19"/>
  <c r="EC22" i="19"/>
  <c r="BN8" i="19"/>
  <c r="BN10" i="19" s="1"/>
  <c r="BO22" i="20"/>
  <c r="DX8" i="21"/>
  <c r="DX9" i="21" s="1"/>
  <c r="DX37" i="19"/>
  <c r="DX16" i="21"/>
  <c r="C269" i="36" l="1"/>
  <c r="B269" i="36"/>
  <c r="A269" i="36" s="1"/>
  <c r="D269" i="36" s="1"/>
  <c r="EA20" i="20"/>
  <c r="DZ35" i="19"/>
  <c r="EA33" i="19"/>
  <c r="DY8" i="21"/>
  <c r="DY9" i="21" s="1"/>
  <c r="DY37" i="19"/>
  <c r="DY16" i="21"/>
  <c r="BO6" i="16"/>
  <c r="BO24" i="20"/>
  <c r="BN27" i="20"/>
  <c r="BN12" i="21"/>
  <c r="BN14" i="21" s="1"/>
  <c r="BN15" i="19"/>
  <c r="BN39" i="19" s="1"/>
  <c r="EC23" i="19"/>
  <c r="ED22" i="19"/>
  <c r="EB13" i="21"/>
  <c r="EB10" i="20"/>
  <c r="EB11" i="20" s="1"/>
  <c r="EC26" i="19"/>
  <c r="ED9" i="15"/>
  <c r="GP13" i="19"/>
  <c r="GO14" i="19"/>
  <c r="EB7" i="21"/>
  <c r="EB28" i="19"/>
  <c r="EB16" i="20"/>
  <c r="EB18" i="20" s="1"/>
  <c r="E269" i="36" l="1"/>
  <c r="F269" i="36"/>
  <c r="BO8" i="16"/>
  <c r="BO9" i="16"/>
  <c r="ED23" i="19"/>
  <c r="EE22" i="19"/>
  <c r="EC10" i="20"/>
  <c r="EC11" i="20" s="1"/>
  <c r="EC13" i="21"/>
  <c r="BN30" i="20"/>
  <c r="BN32" i="20" s="1"/>
  <c r="GQ13" i="19"/>
  <c r="GP14" i="19"/>
  <c r="ED26" i="19"/>
  <c r="EE9" i="15"/>
  <c r="EA35" i="19"/>
  <c r="EB33" i="19"/>
  <c r="EC7" i="21"/>
  <c r="EC16" i="20"/>
  <c r="EC18" i="20" s="1"/>
  <c r="EC28" i="19"/>
  <c r="DZ8" i="21"/>
  <c r="DZ9" i="21" s="1"/>
  <c r="DZ37" i="19"/>
  <c r="DZ16" i="21"/>
  <c r="EB20" i="20"/>
  <c r="BO8" i="19"/>
  <c r="BO10" i="19" s="1"/>
  <c r="BP22" i="20"/>
  <c r="B270" i="36" l="1"/>
  <c r="A270" i="36" s="1"/>
  <c r="D270" i="36" s="1"/>
  <c r="C270" i="36"/>
  <c r="EA8" i="21"/>
  <c r="EA9" i="21" s="1"/>
  <c r="EA37" i="19"/>
  <c r="EA16" i="21"/>
  <c r="ED16" i="20"/>
  <c r="ED18" i="20" s="1"/>
  <c r="ED7" i="21"/>
  <c r="ED28" i="19"/>
  <c r="EE26" i="19"/>
  <c r="EF9" i="15"/>
  <c r="EE23" i="19"/>
  <c r="EF22" i="19"/>
  <c r="GR13" i="19"/>
  <c r="GQ14" i="19"/>
  <c r="ED10" i="20"/>
  <c r="ED11" i="20" s="1"/>
  <c r="ED13" i="21"/>
  <c r="EC20" i="20"/>
  <c r="BP6" i="16"/>
  <c r="BP24" i="20"/>
  <c r="BO12" i="21"/>
  <c r="BO14" i="21" s="1"/>
  <c r="BO27" i="20"/>
  <c r="BO15" i="19"/>
  <c r="BO39" i="19" s="1"/>
  <c r="EB35" i="19"/>
  <c r="EC33" i="19"/>
  <c r="E270" i="36" l="1"/>
  <c r="F270" i="36"/>
  <c r="EB8" i="21"/>
  <c r="EB9" i="21" s="1"/>
  <c r="EB37" i="19"/>
  <c r="EB16" i="21"/>
  <c r="BO30" i="20"/>
  <c r="BO32" i="20" s="1"/>
  <c r="GS13" i="19"/>
  <c r="GR14" i="19"/>
  <c r="EF23" i="19"/>
  <c r="EG22" i="19"/>
  <c r="ED20" i="20"/>
  <c r="BP8" i="19"/>
  <c r="BP10" i="19" s="1"/>
  <c r="BQ22" i="20"/>
  <c r="EE13" i="21"/>
  <c r="EE10" i="20"/>
  <c r="EE11" i="20" s="1"/>
  <c r="BP9" i="16"/>
  <c r="BP8" i="16"/>
  <c r="EF26" i="19"/>
  <c r="EG9" i="15"/>
  <c r="EC35" i="19"/>
  <c r="ED33" i="19"/>
  <c r="EE7" i="21"/>
  <c r="EE16" i="20"/>
  <c r="EE18" i="20" s="1"/>
  <c r="EE28" i="19"/>
  <c r="B271" i="36" l="1"/>
  <c r="A271" i="36" s="1"/>
  <c r="D271" i="36" s="1"/>
  <c r="C271" i="36"/>
  <c r="GT13" i="19"/>
  <c r="GS14" i="19"/>
  <c r="BP27" i="20"/>
  <c r="BP12" i="21"/>
  <c r="BP14" i="21" s="1"/>
  <c r="BP15" i="19"/>
  <c r="BP39" i="19" s="1"/>
  <c r="ED35" i="19"/>
  <c r="EE33" i="19"/>
  <c r="EC8" i="21"/>
  <c r="EC9" i="21" s="1"/>
  <c r="EC37" i="19"/>
  <c r="EC16" i="21"/>
  <c r="BQ6" i="16"/>
  <c r="BQ24" i="20"/>
  <c r="EG26" i="19"/>
  <c r="EH9" i="15"/>
  <c r="EF7" i="21"/>
  <c r="EF16" i="20"/>
  <c r="EF18" i="20" s="1"/>
  <c r="EF28" i="19"/>
  <c r="EG23" i="19"/>
  <c r="EH22" i="19"/>
  <c r="EF13" i="21"/>
  <c r="EF10" i="20"/>
  <c r="EF11" i="20" s="1"/>
  <c r="EE20" i="20"/>
  <c r="F271" i="36" l="1"/>
  <c r="E271" i="36"/>
  <c r="EF20" i="20"/>
  <c r="EE35" i="19"/>
  <c r="EF33" i="19"/>
  <c r="EH26" i="19"/>
  <c r="EI9" i="15"/>
  <c r="ED8" i="21"/>
  <c r="ED9" i="21" s="1"/>
  <c r="ED37" i="19"/>
  <c r="ED16" i="21"/>
  <c r="EG28" i="19"/>
  <c r="EG7" i="21"/>
  <c r="EG16" i="20"/>
  <c r="EG18" i="20" s="1"/>
  <c r="BQ8" i="19"/>
  <c r="BQ10" i="19" s="1"/>
  <c r="BR22" i="20"/>
  <c r="EH23" i="19"/>
  <c r="EI22" i="19"/>
  <c r="BQ9" i="16"/>
  <c r="BQ8" i="16"/>
  <c r="BP30" i="20"/>
  <c r="BP32" i="20"/>
  <c r="EG13" i="21"/>
  <c r="EG10" i="20"/>
  <c r="EG11" i="20" s="1"/>
  <c r="GU13" i="19"/>
  <c r="GT14" i="19"/>
  <c r="C272" i="36" l="1"/>
  <c r="B272" i="36"/>
  <c r="A272" i="36" s="1"/>
  <c r="D272" i="36" s="1"/>
  <c r="EH10" i="20"/>
  <c r="EH11" i="20" s="1"/>
  <c r="EH13" i="21"/>
  <c r="GV13" i="19"/>
  <c r="GU14" i="19"/>
  <c r="EI23" i="19"/>
  <c r="EJ22" i="19"/>
  <c r="BR6" i="16"/>
  <c r="BR24" i="20"/>
  <c r="EI26" i="19"/>
  <c r="EJ9" i="15"/>
  <c r="BQ27" i="20"/>
  <c r="BQ12" i="21"/>
  <c r="BQ14" i="21" s="1"/>
  <c r="BQ15" i="19"/>
  <c r="BQ39" i="19" s="1"/>
  <c r="EH7" i="21"/>
  <c r="EH16" i="20"/>
  <c r="EH18" i="20" s="1"/>
  <c r="EH28" i="19"/>
  <c r="EG20" i="20"/>
  <c r="EF35" i="19"/>
  <c r="EG33" i="19"/>
  <c r="EE8" i="21"/>
  <c r="EE9" i="21" s="1"/>
  <c r="EE37" i="19"/>
  <c r="EE16" i="21"/>
  <c r="EH20" i="20" l="1"/>
  <c r="F272" i="36"/>
  <c r="E272" i="36"/>
  <c r="EJ23" i="19"/>
  <c r="EK22" i="19"/>
  <c r="EI13" i="21"/>
  <c r="EI10" i="20"/>
  <c r="EI11" i="20" s="1"/>
  <c r="EG35" i="19"/>
  <c r="EH33" i="19"/>
  <c r="BQ30" i="20"/>
  <c r="BQ32" i="20" s="1"/>
  <c r="EF8" i="21"/>
  <c r="EF9" i="21" s="1"/>
  <c r="EF37" i="19"/>
  <c r="EF16" i="21"/>
  <c r="EJ26" i="19"/>
  <c r="EK9" i="15"/>
  <c r="EI7" i="21"/>
  <c r="EI16" i="20"/>
  <c r="EI18" i="20" s="1"/>
  <c r="EI28" i="19"/>
  <c r="GW13" i="19"/>
  <c r="GV14" i="19"/>
  <c r="BR8" i="19"/>
  <c r="BR10" i="19" s="1"/>
  <c r="BS22" i="20"/>
  <c r="BR8" i="16"/>
  <c r="BR9" i="16"/>
  <c r="C273" i="36" l="1"/>
  <c r="B273" i="36"/>
  <c r="A273" i="36" s="1"/>
  <c r="D273" i="36" s="1"/>
  <c r="EH35" i="19"/>
  <c r="EI33" i="19"/>
  <c r="EJ28" i="19"/>
  <c r="EJ7" i="21"/>
  <c r="EJ16" i="20"/>
  <c r="EJ18" i="20" s="1"/>
  <c r="BS6" i="16"/>
  <c r="BS24" i="20"/>
  <c r="BR27" i="20"/>
  <c r="BR12" i="21"/>
  <c r="BR14" i="21" s="1"/>
  <c r="BR15" i="19"/>
  <c r="BR39" i="19" s="1"/>
  <c r="EK26" i="19"/>
  <c r="EL9" i="15"/>
  <c r="EG8" i="21"/>
  <c r="EG9" i="21" s="1"/>
  <c r="EG37" i="19"/>
  <c r="EG16" i="21"/>
  <c r="GX13" i="19"/>
  <c r="GW14" i="19"/>
  <c r="EK23" i="19"/>
  <c r="EL22" i="19"/>
  <c r="EJ13" i="21"/>
  <c r="EJ10" i="20"/>
  <c r="EJ11" i="20" s="1"/>
  <c r="EI20" i="20"/>
  <c r="F273" i="36" l="1"/>
  <c r="E273" i="36"/>
  <c r="BR30" i="20"/>
  <c r="BR32" i="20" s="1"/>
  <c r="BS8" i="19"/>
  <c r="BS10" i="19" s="1"/>
  <c r="BT22" i="20"/>
  <c r="BS8" i="16"/>
  <c r="BS9" i="16"/>
  <c r="EL23" i="19"/>
  <c r="EM22" i="19"/>
  <c r="EJ20" i="20"/>
  <c r="EK13" i="21"/>
  <c r="EK10" i="20"/>
  <c r="EK11" i="20" s="1"/>
  <c r="EL26" i="19"/>
  <c r="EM9" i="15"/>
  <c r="EK7" i="21"/>
  <c r="EK16" i="20"/>
  <c r="EK18" i="20" s="1"/>
  <c r="EK28" i="19"/>
  <c r="EI35" i="19"/>
  <c r="EJ33" i="19"/>
  <c r="GY13" i="19"/>
  <c r="GX14" i="19"/>
  <c r="EH8" i="21"/>
  <c r="EH9" i="21" s="1"/>
  <c r="EH37" i="19"/>
  <c r="EH16" i="21"/>
  <c r="B274" i="36" l="1"/>
  <c r="A274" i="36" s="1"/>
  <c r="D274" i="36" s="1"/>
  <c r="C274" i="36"/>
  <c r="EK20" i="20"/>
  <c r="EL13" i="21"/>
  <c r="EL10" i="20"/>
  <c r="EL11" i="20" s="1"/>
  <c r="GZ13" i="19"/>
  <c r="GY14" i="19"/>
  <c r="EN9" i="15"/>
  <c r="EM26" i="19"/>
  <c r="EJ35" i="19"/>
  <c r="EK33" i="19"/>
  <c r="EL7" i="21"/>
  <c r="EL28" i="19"/>
  <c r="EL16" i="20"/>
  <c r="EL18" i="20" s="1"/>
  <c r="EI8" i="21"/>
  <c r="EI9" i="21" s="1"/>
  <c r="EI37" i="19"/>
  <c r="EI16" i="21"/>
  <c r="BT6" i="16"/>
  <c r="BT24" i="20"/>
  <c r="BS27" i="20"/>
  <c r="BS12" i="21"/>
  <c r="BS14" i="21" s="1"/>
  <c r="BS15" i="19"/>
  <c r="BS39" i="19" s="1"/>
  <c r="EM23" i="19"/>
  <c r="EN22" i="19"/>
  <c r="E274" i="36" l="1"/>
  <c r="F274" i="36"/>
  <c r="EL20" i="20"/>
  <c r="BT8" i="16"/>
  <c r="BT9" i="16"/>
  <c r="EM13" i="21"/>
  <c r="EM10" i="20"/>
  <c r="EM11" i="20" s="1"/>
  <c r="EM7" i="21"/>
  <c r="EM28" i="19"/>
  <c r="EM16" i="20"/>
  <c r="EM18" i="20" s="1"/>
  <c r="HA13" i="19"/>
  <c r="GZ14" i="19"/>
  <c r="EN23" i="19"/>
  <c r="EO22" i="19"/>
  <c r="EJ37" i="19"/>
  <c r="EJ8" i="21"/>
  <c r="EJ9" i="21" s="1"/>
  <c r="EJ16" i="21"/>
  <c r="EN26" i="19"/>
  <c r="EO9" i="15"/>
  <c r="BS30" i="20"/>
  <c r="BS32" i="20"/>
  <c r="BT8" i="19"/>
  <c r="BT10" i="19" s="1"/>
  <c r="BU22" i="20"/>
  <c r="EK35" i="19"/>
  <c r="EL33" i="19"/>
  <c r="C275" i="36" l="1"/>
  <c r="B275" i="36"/>
  <c r="A275" i="36" s="1"/>
  <c r="D275" i="36" s="1"/>
  <c r="EM20" i="20"/>
  <c r="EK8" i="21"/>
  <c r="EK9" i="21" s="1"/>
  <c r="EK37" i="19"/>
  <c r="EK16" i="21"/>
  <c r="BU6" i="16"/>
  <c r="BU24" i="20"/>
  <c r="BT12" i="21"/>
  <c r="BT14" i="21" s="1"/>
  <c r="BT27" i="20"/>
  <c r="BT15" i="19"/>
  <c r="BT39" i="19" s="1"/>
  <c r="EO23" i="19"/>
  <c r="EP22" i="19"/>
  <c r="EN10" i="20"/>
  <c r="EN11" i="20" s="1"/>
  <c r="EN13" i="21"/>
  <c r="EO26" i="19"/>
  <c r="EP9" i="15"/>
  <c r="HB13" i="19"/>
  <c r="HA14" i="19"/>
  <c r="EL35" i="19"/>
  <c r="EM33" i="19"/>
  <c r="EN7" i="21"/>
  <c r="EN28" i="19"/>
  <c r="EN16" i="20"/>
  <c r="EN18" i="20" s="1"/>
  <c r="F275" i="36" l="1"/>
  <c r="E275" i="36"/>
  <c r="EN20" i="20"/>
  <c r="EO7" i="21"/>
  <c r="EO28" i="19"/>
  <c r="EO16" i="20"/>
  <c r="EO18" i="20" s="1"/>
  <c r="BT30" i="20"/>
  <c r="BT32" i="20" s="1"/>
  <c r="BU8" i="19"/>
  <c r="BU10" i="19" s="1"/>
  <c r="BV22" i="20"/>
  <c r="EM35" i="19"/>
  <c r="EN33" i="19"/>
  <c r="BU8" i="16"/>
  <c r="BU9" i="16"/>
  <c r="EL37" i="19"/>
  <c r="EL8" i="21"/>
  <c r="EL9" i="21" s="1"/>
  <c r="EL16" i="21"/>
  <c r="EP23" i="19"/>
  <c r="EQ22" i="19"/>
  <c r="EO13" i="21"/>
  <c r="EO10" i="20"/>
  <c r="EO11" i="20" s="1"/>
  <c r="HC13" i="19"/>
  <c r="HB14" i="19"/>
  <c r="EP26" i="19"/>
  <c r="EQ9" i="15"/>
  <c r="C276" i="36" l="1"/>
  <c r="B276" i="36"/>
  <c r="A276" i="36" s="1"/>
  <c r="D276" i="36" s="1"/>
  <c r="EP28" i="19"/>
  <c r="EP7" i="21"/>
  <c r="EP16" i="20"/>
  <c r="EP18" i="20" s="1"/>
  <c r="BU27" i="20"/>
  <c r="BU12" i="21"/>
  <c r="BU14" i="21" s="1"/>
  <c r="BU15" i="19"/>
  <c r="BU39" i="19" s="1"/>
  <c r="EP13" i="21"/>
  <c r="EP10" i="20"/>
  <c r="EP11" i="20" s="1"/>
  <c r="BV6" i="16"/>
  <c r="BV24" i="20"/>
  <c r="HD13" i="19"/>
  <c r="HC14" i="19"/>
  <c r="EO20" i="20"/>
  <c r="EN35" i="19"/>
  <c r="EO33" i="19"/>
  <c r="EQ26" i="19"/>
  <c r="ER9" i="15"/>
  <c r="EQ23" i="19"/>
  <c r="ER22" i="19"/>
  <c r="EM37" i="19"/>
  <c r="EM8" i="21"/>
  <c r="EM9" i="21" s="1"/>
  <c r="EM16" i="21"/>
  <c r="F276" i="36" l="1"/>
  <c r="E276" i="36"/>
  <c r="EP20" i="20"/>
  <c r="EN8" i="21"/>
  <c r="EN9" i="21" s="1"/>
  <c r="EN37" i="19"/>
  <c r="EN16" i="21"/>
  <c r="ER23" i="19"/>
  <c r="ES22" i="19"/>
  <c r="EQ10" i="20"/>
  <c r="EQ11" i="20" s="1"/>
  <c r="EQ13" i="21"/>
  <c r="HE13" i="19"/>
  <c r="HD14" i="19"/>
  <c r="ER26" i="19"/>
  <c r="ES9" i="15"/>
  <c r="BU30" i="20"/>
  <c r="BU32" i="20" s="1"/>
  <c r="EQ7" i="21"/>
  <c r="EQ28" i="19"/>
  <c r="EQ16" i="20"/>
  <c r="EQ18" i="20" s="1"/>
  <c r="BV8" i="19"/>
  <c r="BV10" i="19" s="1"/>
  <c r="BW22" i="20"/>
  <c r="BV9" i="16"/>
  <c r="BV8" i="16"/>
  <c r="EO35" i="19"/>
  <c r="EP33" i="19"/>
  <c r="C277" i="36" l="1"/>
  <c r="B277" i="36"/>
  <c r="A277" i="36" s="1"/>
  <c r="D277" i="36" s="1"/>
  <c r="EP35" i="19"/>
  <c r="EQ33" i="19"/>
  <c r="BV12" i="21"/>
  <c r="BV14" i="21" s="1"/>
  <c r="BV27" i="20"/>
  <c r="BV15" i="19"/>
  <c r="BV39" i="19" s="1"/>
  <c r="EO8" i="21"/>
  <c r="EO9" i="21" s="1"/>
  <c r="EO37" i="19"/>
  <c r="EO16" i="21"/>
  <c r="ES23" i="19"/>
  <c r="ET22" i="19"/>
  <c r="ES26" i="19"/>
  <c r="ET9" i="15"/>
  <c r="ER10" i="20"/>
  <c r="ER11" i="20" s="1"/>
  <c r="ER13" i="21"/>
  <c r="BW6" i="16"/>
  <c r="BW24" i="20"/>
  <c r="ER16" i="20"/>
  <c r="ER18" i="20" s="1"/>
  <c r="ER7" i="21"/>
  <c r="ER28" i="19"/>
  <c r="EQ20" i="20"/>
  <c r="HF13" i="19"/>
  <c r="HE14" i="19"/>
  <c r="F277" i="36" l="1"/>
  <c r="E277" i="36"/>
  <c r="BW8" i="19"/>
  <c r="BW10" i="19" s="1"/>
  <c r="BX22" i="20"/>
  <c r="BW9" i="16"/>
  <c r="BW8" i="16"/>
  <c r="HG13" i="19"/>
  <c r="HF14" i="19"/>
  <c r="ET26" i="19"/>
  <c r="EU9" i="15"/>
  <c r="BV30" i="20"/>
  <c r="BV32" i="20" s="1"/>
  <c r="I5" i="22" s="1"/>
  <c r="I6" i="22" s="1"/>
  <c r="ES7" i="21"/>
  <c r="ES28" i="19"/>
  <c r="ES16" i="20"/>
  <c r="ES18" i="20" s="1"/>
  <c r="ET23" i="19"/>
  <c r="EU22" i="19"/>
  <c r="EQ35" i="19"/>
  <c r="ER33" i="19"/>
  <c r="ER20" i="20"/>
  <c r="ES10" i="20"/>
  <c r="ES11" i="20" s="1"/>
  <c r="ES13" i="21"/>
  <c r="EP8" i="21"/>
  <c r="EP9" i="21" s="1"/>
  <c r="EP37" i="19"/>
  <c r="EP16" i="21"/>
  <c r="B278" i="36" l="1"/>
  <c r="A278" i="36" s="1"/>
  <c r="D278" i="36" s="1"/>
  <c r="C278" i="36"/>
  <c r="ES20" i="20"/>
  <c r="HH13" i="19"/>
  <c r="HG14" i="19"/>
  <c r="ER35" i="19"/>
  <c r="ES33" i="19"/>
  <c r="EQ8" i="21"/>
  <c r="EQ9" i="21" s="1"/>
  <c r="EQ37" i="19"/>
  <c r="EQ16" i="21"/>
  <c r="EU23" i="19"/>
  <c r="EV22" i="19"/>
  <c r="EV9" i="15"/>
  <c r="EU26" i="19"/>
  <c r="BX6" i="16"/>
  <c r="BX24" i="20"/>
  <c r="ET10" i="20"/>
  <c r="ET11" i="20" s="1"/>
  <c r="ET13" i="21"/>
  <c r="ET7" i="21"/>
  <c r="ET16" i="20"/>
  <c r="ET18" i="20" s="1"/>
  <c r="ET28" i="19"/>
  <c r="BW12" i="21"/>
  <c r="BW14" i="21" s="1"/>
  <c r="BW27" i="20"/>
  <c r="BW15" i="19"/>
  <c r="BW39" i="19" s="1"/>
  <c r="F278" i="36" l="1"/>
  <c r="E278" i="36"/>
  <c r="ET20" i="20"/>
  <c r="BW30" i="20"/>
  <c r="BW32" i="20" s="1"/>
  <c r="BX8" i="19"/>
  <c r="BX10" i="19" s="1"/>
  <c r="BY22" i="20"/>
  <c r="BX9" i="16"/>
  <c r="BX8" i="16"/>
  <c r="ES35" i="19"/>
  <c r="ET33" i="19"/>
  <c r="EU7" i="21"/>
  <c r="EU28" i="19"/>
  <c r="EU16" i="20"/>
  <c r="EU18" i="20" s="1"/>
  <c r="ER8" i="21"/>
  <c r="ER9" i="21" s="1"/>
  <c r="ER37" i="19"/>
  <c r="ER16" i="21"/>
  <c r="EV26" i="19"/>
  <c r="EW9" i="15"/>
  <c r="EV23" i="19"/>
  <c r="EW22" i="19"/>
  <c r="HI13" i="19"/>
  <c r="HH14" i="19"/>
  <c r="EU10" i="20"/>
  <c r="EU11" i="20" s="1"/>
  <c r="EU13" i="21"/>
  <c r="C279" i="36" l="1"/>
  <c r="B279" i="36"/>
  <c r="A279" i="36" s="1"/>
  <c r="D279" i="36" s="1"/>
  <c r="ES8" i="21"/>
  <c r="ES9" i="21" s="1"/>
  <c r="ES37" i="19"/>
  <c r="ES16" i="21"/>
  <c r="HJ13" i="19"/>
  <c r="HI14" i="19"/>
  <c r="EW23" i="19"/>
  <c r="EX22" i="19"/>
  <c r="EU20" i="20"/>
  <c r="BY6" i="16"/>
  <c r="BY24" i="20"/>
  <c r="EV10" i="20"/>
  <c r="EV11" i="20" s="1"/>
  <c r="EV13" i="21"/>
  <c r="BX27" i="20"/>
  <c r="BX12" i="21"/>
  <c r="BX14" i="21" s="1"/>
  <c r="BX15" i="19"/>
  <c r="BX39" i="19" s="1"/>
  <c r="EW26" i="19"/>
  <c r="EX9" i="15"/>
  <c r="EV7" i="21"/>
  <c r="EV28" i="19"/>
  <c r="EV16" i="20"/>
  <c r="EV18" i="20" s="1"/>
  <c r="ET35" i="19"/>
  <c r="EU33" i="19"/>
  <c r="F279" i="36" l="1"/>
  <c r="E279" i="36"/>
  <c r="EV20" i="20"/>
  <c r="EW13" i="21"/>
  <c r="EW10" i="20"/>
  <c r="EW11" i="20" s="1"/>
  <c r="BX30" i="20"/>
  <c r="BX32" i="20" s="1"/>
  <c r="HK13" i="19"/>
  <c r="HJ14" i="19"/>
  <c r="EX26" i="19"/>
  <c r="EY9" i="15"/>
  <c r="EW16" i="20"/>
  <c r="EW18" i="20" s="1"/>
  <c r="EW7" i="21"/>
  <c r="EW28" i="19"/>
  <c r="BY8" i="19"/>
  <c r="BY10" i="19" s="1"/>
  <c r="BZ22" i="20"/>
  <c r="BY9" i="16"/>
  <c r="BY8" i="16"/>
  <c r="EU35" i="19"/>
  <c r="EV33" i="19"/>
  <c r="ET8" i="21"/>
  <c r="ET9" i="21" s="1"/>
  <c r="ET37" i="19"/>
  <c r="ET16" i="21"/>
  <c r="EX23" i="19"/>
  <c r="EY22" i="19"/>
  <c r="C280" i="36" l="1"/>
  <c r="F280" i="36" s="1"/>
  <c r="B280" i="36"/>
  <c r="A280" i="36" s="1"/>
  <c r="D280" i="36" s="1"/>
  <c r="EW20" i="20"/>
  <c r="EX10" i="20"/>
  <c r="EX11" i="20" s="1"/>
  <c r="EX13" i="21"/>
  <c r="BZ6" i="16"/>
  <c r="BZ24" i="20"/>
  <c r="HL13" i="19"/>
  <c r="HK14" i="19"/>
  <c r="BY27" i="20"/>
  <c r="BY12" i="21"/>
  <c r="BY14" i="21" s="1"/>
  <c r="BY15" i="19"/>
  <c r="BY39" i="19" s="1"/>
  <c r="EV35" i="19"/>
  <c r="EW33" i="19"/>
  <c r="EU8" i="21"/>
  <c r="EU9" i="21" s="1"/>
  <c r="EU37" i="19"/>
  <c r="EU16" i="21"/>
  <c r="EY26" i="19"/>
  <c r="EZ9" i="15"/>
  <c r="EY23" i="19"/>
  <c r="EZ22" i="19"/>
  <c r="EX16" i="20"/>
  <c r="EX18" i="20" s="1"/>
  <c r="EX20" i="20" s="1"/>
  <c r="EX7" i="21"/>
  <c r="EX28" i="19"/>
  <c r="E280" i="36" l="1"/>
  <c r="B281" i="36"/>
  <c r="A281" i="36" s="1"/>
  <c r="D281" i="36" s="1"/>
  <c r="C281" i="36"/>
  <c r="EW35" i="19"/>
  <c r="EX33" i="19"/>
  <c r="EV8" i="21"/>
  <c r="EV9" i="21" s="1"/>
  <c r="EV37" i="19"/>
  <c r="EV16" i="21"/>
  <c r="EZ23" i="19"/>
  <c r="FA22" i="19"/>
  <c r="HM13" i="19"/>
  <c r="HL14" i="19"/>
  <c r="EY10" i="20"/>
  <c r="EY11" i="20" s="1"/>
  <c r="EY13" i="21"/>
  <c r="BZ8" i="19"/>
  <c r="BZ10" i="19" s="1"/>
  <c r="CA22" i="20"/>
  <c r="EZ26" i="19"/>
  <c r="FA9" i="15"/>
  <c r="BZ9" i="16"/>
  <c r="BZ8" i="16"/>
  <c r="EY7" i="21"/>
  <c r="EY28" i="19"/>
  <c r="EY16" i="20"/>
  <c r="EY18" i="20" s="1"/>
  <c r="BY30" i="20"/>
  <c r="BY32" i="20" s="1"/>
  <c r="E281" i="36" l="1"/>
  <c r="F281" i="36"/>
  <c r="EY20" i="20"/>
  <c r="FA26" i="19"/>
  <c r="FB9" i="15"/>
  <c r="FA23" i="19"/>
  <c r="FB22" i="19"/>
  <c r="EZ7" i="21"/>
  <c r="EZ28" i="19"/>
  <c r="EZ16" i="20"/>
  <c r="EZ18" i="20" s="1"/>
  <c r="EZ10" i="20"/>
  <c r="EZ11" i="20" s="1"/>
  <c r="EZ13" i="21"/>
  <c r="CA6" i="16"/>
  <c r="CA24" i="20"/>
  <c r="BZ27" i="20"/>
  <c r="BZ12" i="21"/>
  <c r="BZ14" i="21" s="1"/>
  <c r="BZ15" i="19"/>
  <c r="BZ39" i="19" s="1"/>
  <c r="EX35" i="19"/>
  <c r="EY33" i="19"/>
  <c r="HN13" i="19"/>
  <c r="HM14" i="19"/>
  <c r="EW8" i="21"/>
  <c r="EW9" i="21" s="1"/>
  <c r="EW37" i="19"/>
  <c r="EW16" i="21"/>
  <c r="B282" i="36" l="1"/>
  <c r="A282" i="36" s="1"/>
  <c r="D282" i="36" s="1"/>
  <c r="C282" i="36"/>
  <c r="EZ20" i="20"/>
  <c r="HO13" i="19"/>
  <c r="HN14" i="19"/>
  <c r="FB23" i="19"/>
  <c r="FC22" i="19"/>
  <c r="CA8" i="19"/>
  <c r="CA10" i="19" s="1"/>
  <c r="CB22" i="20"/>
  <c r="FA13" i="21"/>
  <c r="FA10" i="20"/>
  <c r="FA11" i="20" s="1"/>
  <c r="EX8" i="21"/>
  <c r="EX9" i="21" s="1"/>
  <c r="EX37" i="19"/>
  <c r="EX16" i="21"/>
  <c r="CA9" i="16"/>
  <c r="CA8" i="16"/>
  <c r="FB26" i="19"/>
  <c r="FC9" i="15"/>
  <c r="FA7" i="21"/>
  <c r="FA28" i="19"/>
  <c r="FA16" i="20"/>
  <c r="FA18" i="20" s="1"/>
  <c r="BZ30" i="20"/>
  <c r="BZ32" i="20" s="1"/>
  <c r="EY35" i="19"/>
  <c r="EZ33" i="19"/>
  <c r="E282" i="36" l="1"/>
  <c r="F282" i="36"/>
  <c r="FA20" i="20"/>
  <c r="EY37" i="19"/>
  <c r="EY8" i="21"/>
  <c r="EY9" i="21" s="1"/>
  <c r="EY16" i="21"/>
  <c r="FB28" i="19"/>
  <c r="FB7" i="21"/>
  <c r="FB16" i="20"/>
  <c r="FB18" i="20" s="1"/>
  <c r="CA27" i="20"/>
  <c r="CA12" i="21"/>
  <c r="CA14" i="21" s="1"/>
  <c r="CA15" i="19"/>
  <c r="CA39" i="19" s="1"/>
  <c r="FC26" i="19"/>
  <c r="FD9" i="15"/>
  <c r="CB6" i="16"/>
  <c r="CB24" i="20"/>
  <c r="FC23" i="19"/>
  <c r="FD22" i="19"/>
  <c r="FB13" i="21"/>
  <c r="FB10" i="20"/>
  <c r="FB11" i="20" s="1"/>
  <c r="HP13" i="19"/>
  <c r="HO14" i="19"/>
  <c r="EZ35" i="19"/>
  <c r="FA33" i="19"/>
  <c r="C283" i="36" l="1"/>
  <c r="B283" i="36"/>
  <c r="A283" i="36" s="1"/>
  <c r="D283" i="36" s="1"/>
  <c r="FB20" i="20"/>
  <c r="FA35" i="19"/>
  <c r="FB33" i="19"/>
  <c r="EZ8" i="21"/>
  <c r="EZ9" i="21" s="1"/>
  <c r="EZ37" i="19"/>
  <c r="EZ16" i="21"/>
  <c r="FD23" i="19"/>
  <c r="FE22" i="19"/>
  <c r="CA30" i="20"/>
  <c r="CA32" i="20" s="1"/>
  <c r="FC10" i="20"/>
  <c r="FC11" i="20" s="1"/>
  <c r="FC13" i="21"/>
  <c r="HQ13" i="19"/>
  <c r="HP14" i="19"/>
  <c r="CB8" i="19"/>
  <c r="CB10" i="19" s="1"/>
  <c r="CC22" i="20"/>
  <c r="CB9" i="16"/>
  <c r="CB8" i="16"/>
  <c r="FD26" i="19"/>
  <c r="FE9" i="15"/>
  <c r="FC7" i="21"/>
  <c r="FC28" i="19"/>
  <c r="FC16" i="20"/>
  <c r="FC18" i="20" s="1"/>
  <c r="FC20" i="20" s="1"/>
  <c r="E283" i="36" l="1"/>
  <c r="F283" i="36"/>
  <c r="CC6" i="16"/>
  <c r="CC24" i="20"/>
  <c r="CB12" i="21"/>
  <c r="CB14" i="21" s="1"/>
  <c r="CB27" i="20"/>
  <c r="CB15" i="19"/>
  <c r="CB39" i="19" s="1"/>
  <c r="FE23" i="19"/>
  <c r="FF22" i="19"/>
  <c r="FD13" i="21"/>
  <c r="FD10" i="20"/>
  <c r="FD11" i="20" s="1"/>
  <c r="FE26" i="19"/>
  <c r="FF9" i="15"/>
  <c r="HR13" i="19"/>
  <c r="HQ14" i="19"/>
  <c r="FD7" i="21"/>
  <c r="FD28" i="19"/>
  <c r="FD16" i="20"/>
  <c r="FD18" i="20" s="1"/>
  <c r="FB35" i="19"/>
  <c r="FC33" i="19"/>
  <c r="FA8" i="21"/>
  <c r="FA9" i="21" s="1"/>
  <c r="FA37" i="19"/>
  <c r="FA16" i="21"/>
  <c r="C284" i="36" l="1"/>
  <c r="B284" i="36"/>
  <c r="A284" i="36" s="1"/>
  <c r="D284" i="36" s="1"/>
  <c r="FF23" i="19"/>
  <c r="FG22" i="19"/>
  <c r="FE13" i="21"/>
  <c r="FE10" i="20"/>
  <c r="FE11" i="20" s="1"/>
  <c r="HS13" i="19"/>
  <c r="HR14" i="19"/>
  <c r="FC35" i="19"/>
  <c r="FD33" i="19"/>
  <c r="FF26" i="19"/>
  <c r="FG9" i="15"/>
  <c r="CB30" i="20"/>
  <c r="CB32" i="20" s="1"/>
  <c r="FB8" i="21"/>
  <c r="FB9" i="21" s="1"/>
  <c r="FB37" i="19"/>
  <c r="FB16" i="21"/>
  <c r="FE7" i="21"/>
  <c r="FE28" i="19"/>
  <c r="FE16" i="20"/>
  <c r="FE18" i="20" s="1"/>
  <c r="FD20" i="20"/>
  <c r="CC8" i="19"/>
  <c r="CC10" i="19" s="1"/>
  <c r="CD22" i="20"/>
  <c r="CC8" i="16"/>
  <c r="CC9" i="16"/>
  <c r="F284" i="36" l="1"/>
  <c r="E284" i="36"/>
  <c r="CD6" i="16"/>
  <c r="CD24" i="20"/>
  <c r="HT13" i="19"/>
  <c r="HS14" i="19"/>
  <c r="CC27" i="20"/>
  <c r="CC12" i="21"/>
  <c r="CC14" i="21" s="1"/>
  <c r="CC15" i="19"/>
  <c r="CC39" i="19" s="1"/>
  <c r="FE20" i="20"/>
  <c r="FG26" i="19"/>
  <c r="FH9" i="15"/>
  <c r="FF7" i="21"/>
  <c r="FF16" i="20"/>
  <c r="FF18" i="20" s="1"/>
  <c r="FF28" i="19"/>
  <c r="FD35" i="19"/>
  <c r="FE33" i="19"/>
  <c r="FG23" i="19"/>
  <c r="FH22" i="19"/>
  <c r="FC8" i="21"/>
  <c r="FC9" i="21" s="1"/>
  <c r="FC37" i="19"/>
  <c r="FC16" i="21"/>
  <c r="FF13" i="21"/>
  <c r="FF10" i="20"/>
  <c r="FF11" i="20" s="1"/>
  <c r="C285" i="36" l="1"/>
  <c r="B285" i="36"/>
  <c r="A285" i="36" s="1"/>
  <c r="D285" i="36" s="1"/>
  <c r="FF20" i="20"/>
  <c r="CD8" i="19"/>
  <c r="CD10" i="19" s="1"/>
  <c r="CE22" i="20"/>
  <c r="CC30" i="20"/>
  <c r="CC32" i="20" s="1"/>
  <c r="HU13" i="19"/>
  <c r="HT14" i="19"/>
  <c r="FH23" i="19"/>
  <c r="FI22" i="19"/>
  <c r="FH26" i="19"/>
  <c r="FI9" i="15"/>
  <c r="FG13" i="21"/>
  <c r="FG10" i="20"/>
  <c r="FG11" i="20" s="1"/>
  <c r="FG7" i="21"/>
  <c r="FG28" i="19"/>
  <c r="FG16" i="20"/>
  <c r="FG18" i="20" s="1"/>
  <c r="CD8" i="16"/>
  <c r="CD9" i="16"/>
  <c r="FE35" i="19"/>
  <c r="FF33" i="19"/>
  <c r="FD8" i="21"/>
  <c r="FD9" i="21" s="1"/>
  <c r="FD37" i="19"/>
  <c r="FD16" i="21"/>
  <c r="F285" i="36" l="1"/>
  <c r="E285" i="36"/>
  <c r="FI26" i="19"/>
  <c r="FJ9" i="15"/>
  <c r="FG20" i="20"/>
  <c r="HV13" i="19"/>
  <c r="HU14" i="19"/>
  <c r="FF35" i="19"/>
  <c r="FG33" i="19"/>
  <c r="FE37" i="19"/>
  <c r="FE8" i="21"/>
  <c r="FE9" i="21" s="1"/>
  <c r="FE16" i="21"/>
  <c r="FH7" i="21"/>
  <c r="FH28" i="19"/>
  <c r="FH16" i="20"/>
  <c r="FH18" i="20" s="1"/>
  <c r="CE6" i="16"/>
  <c r="CE24" i="20"/>
  <c r="FI23" i="19"/>
  <c r="FJ22" i="19"/>
  <c r="CD12" i="21"/>
  <c r="CD14" i="21" s="1"/>
  <c r="CD27" i="20"/>
  <c r="CD15" i="19"/>
  <c r="CD39" i="19" s="1"/>
  <c r="FH13" i="21"/>
  <c r="FH10" i="20"/>
  <c r="FH11" i="20" s="1"/>
  <c r="B286" i="36" l="1"/>
  <c r="A286" i="36" s="1"/>
  <c r="D286" i="36" s="1"/>
  <c r="C286" i="36"/>
  <c r="CE8" i="19"/>
  <c r="CE10" i="19" s="1"/>
  <c r="CF22" i="20"/>
  <c r="FG35" i="19"/>
  <c r="FH33" i="19"/>
  <c r="CE8" i="16"/>
  <c r="CE9" i="16"/>
  <c r="FF37" i="19"/>
  <c r="FF8" i="21"/>
  <c r="FF9" i="21" s="1"/>
  <c r="FF16" i="21"/>
  <c r="FH20" i="20"/>
  <c r="HW13" i="19"/>
  <c r="HV14" i="19"/>
  <c r="CD30" i="20"/>
  <c r="CD32" i="20" s="1"/>
  <c r="FJ23" i="19"/>
  <c r="FK22" i="19"/>
  <c r="FJ26" i="19"/>
  <c r="FK9" i="15"/>
  <c r="FI13" i="21"/>
  <c r="FI10" i="20"/>
  <c r="FI11" i="20" s="1"/>
  <c r="FI7" i="21"/>
  <c r="FI28" i="19"/>
  <c r="FI16" i="20"/>
  <c r="FI18" i="20" s="1"/>
  <c r="F286" i="36" l="1"/>
  <c r="E286" i="36"/>
  <c r="HX13" i="19"/>
  <c r="HW14" i="19"/>
  <c r="FJ7" i="21"/>
  <c r="FJ16" i="20"/>
  <c r="FJ18" i="20" s="1"/>
  <c r="FJ28" i="19"/>
  <c r="CF6" i="16"/>
  <c r="CF24" i="20"/>
  <c r="FK26" i="19"/>
  <c r="FL9" i="15"/>
  <c r="FH35" i="19"/>
  <c r="FI33" i="19"/>
  <c r="FG8" i="21"/>
  <c r="FG9" i="21" s="1"/>
  <c r="FG37" i="19"/>
  <c r="FG16" i="21"/>
  <c r="FI20" i="20"/>
  <c r="FK23" i="19"/>
  <c r="FL22" i="19"/>
  <c r="FJ13" i="21"/>
  <c r="FJ10" i="20"/>
  <c r="FJ11" i="20" s="1"/>
  <c r="CE27" i="20"/>
  <c r="CE12" i="21"/>
  <c r="CE14" i="21" s="1"/>
  <c r="CE15" i="19"/>
  <c r="CE39" i="19" s="1"/>
  <c r="C287" i="36" l="1"/>
  <c r="B287" i="36"/>
  <c r="A287" i="36" s="1"/>
  <c r="D287" i="36" s="1"/>
  <c r="CF8" i="19"/>
  <c r="CF10" i="19" s="1"/>
  <c r="CG22" i="20"/>
  <c r="CE30" i="20"/>
  <c r="CE32" i="20" s="1"/>
  <c r="CF8" i="16"/>
  <c r="CF9" i="16"/>
  <c r="FI35" i="19"/>
  <c r="FJ33" i="19"/>
  <c r="FJ20" i="20"/>
  <c r="FH8" i="21"/>
  <c r="FH9" i="21" s="1"/>
  <c r="FH37" i="19"/>
  <c r="FH16" i="21"/>
  <c r="FL23" i="19"/>
  <c r="FM22" i="19"/>
  <c r="FL26" i="19"/>
  <c r="FM9" i="15"/>
  <c r="FK10" i="20"/>
  <c r="FK11" i="20" s="1"/>
  <c r="FK13" i="21"/>
  <c r="FK7" i="21"/>
  <c r="FK28" i="19"/>
  <c r="FK16" i="20"/>
  <c r="FK18" i="20" s="1"/>
  <c r="HY13" i="19"/>
  <c r="HX14" i="19"/>
  <c r="E287" i="36" l="1"/>
  <c r="F287" i="36"/>
  <c r="FK20" i="20"/>
  <c r="FM23" i="19"/>
  <c r="FN22" i="19"/>
  <c r="FL13" i="21"/>
  <c r="FL10" i="20"/>
  <c r="FL11" i="20" s="1"/>
  <c r="FJ35" i="19"/>
  <c r="FK33" i="19"/>
  <c r="CG6" i="16"/>
  <c r="CG24" i="20"/>
  <c r="FM26" i="19"/>
  <c r="FN9" i="15"/>
  <c r="HZ13" i="19"/>
  <c r="HY14" i="19"/>
  <c r="FL28" i="19"/>
  <c r="FL7" i="21"/>
  <c r="FL16" i="20"/>
  <c r="FL18" i="20" s="1"/>
  <c r="FI8" i="21"/>
  <c r="FI9" i="21" s="1"/>
  <c r="FI37" i="19"/>
  <c r="FI16" i="21"/>
  <c r="CF27" i="20"/>
  <c r="CF12" i="21"/>
  <c r="CF14" i="21" s="1"/>
  <c r="CF15" i="19"/>
  <c r="CF39" i="19" s="1"/>
  <c r="B288" i="36" l="1"/>
  <c r="A288" i="36" s="1"/>
  <c r="D288" i="36" s="1"/>
  <c r="C288" i="36"/>
  <c r="FK35" i="19"/>
  <c r="FL33" i="19"/>
  <c r="CF30" i="20"/>
  <c r="CF32" i="20"/>
  <c r="FJ8" i="21"/>
  <c r="FJ9" i="21" s="1"/>
  <c r="FJ37" i="19"/>
  <c r="FJ16" i="21"/>
  <c r="FN26" i="19"/>
  <c r="FO9" i="15"/>
  <c r="FM7" i="21"/>
  <c r="FM28" i="19"/>
  <c r="FM16" i="20"/>
  <c r="FM18" i="20" s="1"/>
  <c r="CG8" i="19"/>
  <c r="CG10" i="19" s="1"/>
  <c r="CH22" i="20"/>
  <c r="FN23" i="19"/>
  <c r="FO22" i="19"/>
  <c r="IA13" i="19"/>
  <c r="HZ14" i="19"/>
  <c r="FL20" i="20"/>
  <c r="CG9" i="16"/>
  <c r="CG8" i="16"/>
  <c r="FM13" i="21"/>
  <c r="FM10" i="20"/>
  <c r="FM11" i="20" s="1"/>
  <c r="F288" i="36" l="1"/>
  <c r="E288" i="36"/>
  <c r="FM20" i="20"/>
  <c r="FN10" i="20"/>
  <c r="FN11" i="20" s="1"/>
  <c r="FN13" i="21"/>
  <c r="FN7" i="21"/>
  <c r="FN16" i="20"/>
  <c r="FN18" i="20" s="1"/>
  <c r="FN28" i="19"/>
  <c r="CH6" i="16"/>
  <c r="CH24" i="20"/>
  <c r="CG27" i="20"/>
  <c r="CG12" i="21"/>
  <c r="CG14" i="21" s="1"/>
  <c r="CG15" i="19"/>
  <c r="CG39" i="19" s="1"/>
  <c r="IB13" i="19"/>
  <c r="IA14" i="19"/>
  <c r="FL35" i="19"/>
  <c r="FM33" i="19"/>
  <c r="FO23" i="19"/>
  <c r="FP22" i="19"/>
  <c r="FO26" i="19"/>
  <c r="FP9" i="15"/>
  <c r="FK8" i="21"/>
  <c r="FK9" i="21" s="1"/>
  <c r="FK37" i="19"/>
  <c r="FK16" i="21"/>
  <c r="C289" i="36" l="1"/>
  <c r="B289" i="36"/>
  <c r="A289" i="36" s="1"/>
  <c r="D289" i="36" s="1"/>
  <c r="FN20" i="20"/>
  <c r="CG30" i="20"/>
  <c r="CG32" i="20" s="1"/>
  <c r="CH8" i="19"/>
  <c r="CH10" i="19" s="1"/>
  <c r="CI22" i="20"/>
  <c r="FL8" i="21"/>
  <c r="FL9" i="21" s="1"/>
  <c r="FL37" i="19"/>
  <c r="FL16" i="21"/>
  <c r="FP26" i="19"/>
  <c r="FQ9" i="15"/>
  <c r="IC13" i="19"/>
  <c r="IB14" i="19"/>
  <c r="FO7" i="21"/>
  <c r="FO28" i="19"/>
  <c r="FO16" i="20"/>
  <c r="FO18" i="20" s="1"/>
  <c r="FP23" i="19"/>
  <c r="FQ22" i="19"/>
  <c r="FO13" i="21"/>
  <c r="FO10" i="20"/>
  <c r="FO11" i="20" s="1"/>
  <c r="CH8" i="16"/>
  <c r="CH9" i="16"/>
  <c r="FM35" i="19"/>
  <c r="FN33" i="19"/>
  <c r="F289" i="36" l="1"/>
  <c r="E289" i="36"/>
  <c r="FM8" i="21"/>
  <c r="FM9" i="21" s="1"/>
  <c r="FM37" i="19"/>
  <c r="FM16" i="21"/>
  <c r="ID13" i="19"/>
  <c r="IC14" i="19"/>
  <c r="FQ26" i="19"/>
  <c r="FR9" i="15"/>
  <c r="CI6" i="16"/>
  <c r="CI24" i="20"/>
  <c r="FQ23" i="19"/>
  <c r="FR22" i="19"/>
  <c r="FP28" i="19"/>
  <c r="FP7" i="21"/>
  <c r="FP16" i="20"/>
  <c r="FP18" i="20" s="1"/>
  <c r="CH27" i="20"/>
  <c r="CH12" i="21"/>
  <c r="CH14" i="21" s="1"/>
  <c r="CH15" i="19"/>
  <c r="CH39" i="19" s="1"/>
  <c r="FP10" i="20"/>
  <c r="FP11" i="20" s="1"/>
  <c r="FP13" i="21"/>
  <c r="FO33" i="19"/>
  <c r="FN35" i="19"/>
  <c r="FO20" i="20"/>
  <c r="C290" i="36" l="1"/>
  <c r="B290" i="36"/>
  <c r="A290" i="36" s="1"/>
  <c r="D290" i="36" s="1"/>
  <c r="FN8" i="21"/>
  <c r="FN9" i="21" s="1"/>
  <c r="FN37" i="19"/>
  <c r="FN16" i="21"/>
  <c r="FR23" i="19"/>
  <c r="FS22" i="19"/>
  <c r="FO35" i="19"/>
  <c r="FP33" i="19"/>
  <c r="FQ13" i="21"/>
  <c r="FQ10" i="20"/>
  <c r="FQ11" i="20" s="1"/>
  <c r="CI8" i="19"/>
  <c r="CI10" i="19" s="1"/>
  <c r="CJ22" i="20"/>
  <c r="CI9" i="16"/>
  <c r="CI8" i="16"/>
  <c r="CH30" i="20"/>
  <c r="CH32" i="20" s="1"/>
  <c r="J5" i="22" s="1"/>
  <c r="J6" i="22" s="1"/>
  <c r="FR26" i="19"/>
  <c r="FS9" i="15"/>
  <c r="IE13" i="19"/>
  <c r="ID14" i="19"/>
  <c r="FP20" i="20"/>
  <c r="FQ7" i="21"/>
  <c r="FQ16" i="20"/>
  <c r="FQ18" i="20" s="1"/>
  <c r="FQ28" i="19"/>
  <c r="F290" i="36" l="1"/>
  <c r="E290" i="36"/>
  <c r="FQ20" i="20"/>
  <c r="FP35" i="19"/>
  <c r="FQ33" i="19"/>
  <c r="FO8" i="21"/>
  <c r="FO9" i="21" s="1"/>
  <c r="FO37" i="19"/>
  <c r="FO16" i="21"/>
  <c r="FS23" i="19"/>
  <c r="FT22" i="19"/>
  <c r="IF13" i="19"/>
  <c r="IE14" i="19"/>
  <c r="CJ6" i="16"/>
  <c r="CJ24" i="20"/>
  <c r="FR10" i="20"/>
  <c r="FR11" i="20" s="1"/>
  <c r="FR13" i="21"/>
  <c r="CI12" i="21"/>
  <c r="CI14" i="21" s="1"/>
  <c r="CI27" i="20"/>
  <c r="CI15" i="19"/>
  <c r="CI39" i="19" s="1"/>
  <c r="FS26" i="19"/>
  <c r="FT9" i="15"/>
  <c r="FR7" i="21"/>
  <c r="FR28" i="19"/>
  <c r="FR16" i="20"/>
  <c r="FR18" i="20" s="1"/>
  <c r="C291" i="36" l="1"/>
  <c r="B291" i="36"/>
  <c r="A291" i="36" s="1"/>
  <c r="D291" i="36" s="1"/>
  <c r="FR20" i="20"/>
  <c r="CI30" i="20"/>
  <c r="CI32" i="20" s="1"/>
  <c r="FT23" i="19"/>
  <c r="FU22" i="19"/>
  <c r="FS13" i="21"/>
  <c r="FS10" i="20"/>
  <c r="FS11" i="20" s="1"/>
  <c r="CJ8" i="19"/>
  <c r="CJ10" i="19" s="1"/>
  <c r="CK22" i="20"/>
  <c r="FT26" i="19"/>
  <c r="FU9" i="15"/>
  <c r="CJ9" i="16"/>
  <c r="CJ8" i="16"/>
  <c r="FS7" i="21"/>
  <c r="FS16" i="20"/>
  <c r="FS18" i="20" s="1"/>
  <c r="FS28" i="19"/>
  <c r="FQ35" i="19"/>
  <c r="FR33" i="19"/>
  <c r="IG13" i="19"/>
  <c r="IF14" i="19"/>
  <c r="FP8" i="21"/>
  <c r="FP9" i="21" s="1"/>
  <c r="FP37" i="19"/>
  <c r="FP16" i="21"/>
  <c r="F291" i="36" l="1"/>
  <c r="E291" i="36"/>
  <c r="FS20" i="20"/>
  <c r="CJ27" i="20"/>
  <c r="CJ12" i="21"/>
  <c r="CJ14" i="21" s="1"/>
  <c r="CJ15" i="19"/>
  <c r="CJ39" i="19" s="1"/>
  <c r="IH13" i="19"/>
  <c r="IH14" i="19" s="1"/>
  <c r="IG14" i="19"/>
  <c r="FR35" i="19"/>
  <c r="FS33" i="19"/>
  <c r="FU26" i="19"/>
  <c r="FV9" i="15"/>
  <c r="FU23" i="19"/>
  <c r="FV22" i="19"/>
  <c r="FQ37" i="19"/>
  <c r="FQ8" i="21"/>
  <c r="FQ9" i="21" s="1"/>
  <c r="FQ16" i="21"/>
  <c r="FT28" i="19"/>
  <c r="FT7" i="21"/>
  <c r="FT16" i="20"/>
  <c r="FT18" i="20" s="1"/>
  <c r="FT13" i="21"/>
  <c r="FT10" i="20"/>
  <c r="FT11" i="20" s="1"/>
  <c r="CK6" i="16"/>
  <c r="CK24" i="20"/>
  <c r="C292" i="36" l="1"/>
  <c r="F292" i="36" s="1"/>
  <c r="B292" i="36"/>
  <c r="A292" i="36" s="1"/>
  <c r="D292" i="36" s="1"/>
  <c r="E292" i="36" s="1"/>
  <c r="FT20" i="20"/>
  <c r="CK8" i="16"/>
  <c r="CK9" i="16"/>
  <c r="FR8" i="21"/>
  <c r="FR9" i="21" s="1"/>
  <c r="FR37" i="19"/>
  <c r="FR16" i="21"/>
  <c r="FV23" i="19"/>
  <c r="FW22" i="19"/>
  <c r="FU10" i="20"/>
  <c r="FU11" i="20" s="1"/>
  <c r="FU13" i="21"/>
  <c r="FV26" i="19"/>
  <c r="FW9" i="15"/>
  <c r="FU28" i="19"/>
  <c r="FU7" i="21"/>
  <c r="FU16" i="20"/>
  <c r="FU18" i="20" s="1"/>
  <c r="CJ30" i="20"/>
  <c r="CJ32" i="20" s="1"/>
  <c r="CK8" i="19"/>
  <c r="CK10" i="19" s="1"/>
  <c r="CL22" i="20"/>
  <c r="FS35" i="19"/>
  <c r="FT33" i="19"/>
  <c r="C293" i="36" l="1"/>
  <c r="B293" i="36"/>
  <c r="A293" i="36" s="1"/>
  <c r="D293" i="36" s="1"/>
  <c r="FS8" i="21"/>
  <c r="FS9" i="21" s="1"/>
  <c r="FS37" i="19"/>
  <c r="FS16" i="21"/>
  <c r="FT35" i="19"/>
  <c r="FU33" i="19"/>
  <c r="FW26" i="19"/>
  <c r="FX9" i="15"/>
  <c r="CL6" i="16"/>
  <c r="CL24" i="20"/>
  <c r="FV7" i="21"/>
  <c r="FV28" i="19"/>
  <c r="FV16" i="20"/>
  <c r="FV18" i="20" s="1"/>
  <c r="CK27" i="20"/>
  <c r="CK12" i="21"/>
  <c r="CK14" i="21" s="1"/>
  <c r="CK15" i="19"/>
  <c r="CK39" i="19" s="1"/>
  <c r="FW23" i="19"/>
  <c r="FX22" i="19"/>
  <c r="FU20" i="20"/>
  <c r="FV13" i="21"/>
  <c r="FV10" i="20"/>
  <c r="FV11" i="20" s="1"/>
  <c r="E293" i="36" l="1"/>
  <c r="F293" i="36"/>
  <c r="FX26" i="19"/>
  <c r="FY9" i="15"/>
  <c r="FW7" i="21"/>
  <c r="FW28" i="19"/>
  <c r="FW16" i="20"/>
  <c r="FW18" i="20" s="1"/>
  <c r="CK30" i="20"/>
  <c r="CK32" i="20" s="1"/>
  <c r="FV20" i="20"/>
  <c r="FU35" i="19"/>
  <c r="FV33" i="19"/>
  <c r="FX23" i="19"/>
  <c r="FY22" i="19"/>
  <c r="FT37" i="19"/>
  <c r="FT8" i="21"/>
  <c r="FT9" i="21" s="1"/>
  <c r="FT16" i="21"/>
  <c r="FW10" i="20"/>
  <c r="FW11" i="20" s="1"/>
  <c r="FW13" i="21"/>
  <c r="CL8" i="19"/>
  <c r="CL10" i="19" s="1"/>
  <c r="CM22" i="20"/>
  <c r="CL9" i="16"/>
  <c r="CL8" i="16"/>
  <c r="B294" i="36" l="1"/>
  <c r="A294" i="36" s="1"/>
  <c r="D294" i="36" s="1"/>
  <c r="C294" i="36"/>
  <c r="FW20" i="20"/>
  <c r="CM6" i="16"/>
  <c r="CM24" i="20"/>
  <c r="FY23" i="19"/>
  <c r="FZ22" i="19"/>
  <c r="CL27" i="20"/>
  <c r="CL12" i="21"/>
  <c r="CL14" i="21" s="1"/>
  <c r="CL15" i="19"/>
  <c r="CL39" i="19" s="1"/>
  <c r="FX10" i="20"/>
  <c r="FX11" i="20" s="1"/>
  <c r="FX13" i="21"/>
  <c r="FV35" i="19"/>
  <c r="FW33" i="19"/>
  <c r="FY26" i="19"/>
  <c r="FZ9" i="15"/>
  <c r="FU8" i="21"/>
  <c r="FU9" i="21" s="1"/>
  <c r="FU37" i="19"/>
  <c r="FU16" i="21"/>
  <c r="FX7" i="21"/>
  <c r="FX28" i="19"/>
  <c r="FX16" i="20"/>
  <c r="FX18" i="20" s="1"/>
  <c r="F294" i="36" l="1"/>
  <c r="E294" i="36"/>
  <c r="FX20" i="20"/>
  <c r="CM8" i="19"/>
  <c r="CM10" i="19" s="1"/>
  <c r="CN22" i="20"/>
  <c r="FZ26" i="19"/>
  <c r="GA9" i="15"/>
  <c r="CL30" i="20"/>
  <c r="CL32" i="20" s="1"/>
  <c r="FY7" i="21"/>
  <c r="FY16" i="20"/>
  <c r="FY18" i="20" s="1"/>
  <c r="FY28" i="19"/>
  <c r="FW35" i="19"/>
  <c r="FX33" i="19"/>
  <c r="FZ23" i="19"/>
  <c r="GA22" i="19"/>
  <c r="FV8" i="21"/>
  <c r="FV9" i="21" s="1"/>
  <c r="FV37" i="19"/>
  <c r="FV16" i="21"/>
  <c r="FY13" i="21"/>
  <c r="FY10" i="20"/>
  <c r="FY11" i="20" s="1"/>
  <c r="CM9" i="16"/>
  <c r="CM8" i="16"/>
  <c r="B295" i="36" l="1"/>
  <c r="A295" i="36" s="1"/>
  <c r="D295" i="36" s="1"/>
  <c r="C295" i="36"/>
  <c r="GA23" i="19"/>
  <c r="GB22" i="19"/>
  <c r="FZ13" i="21"/>
  <c r="FZ10" i="20"/>
  <c r="FZ11" i="20" s="1"/>
  <c r="GA26" i="19"/>
  <c r="GB9" i="15"/>
  <c r="FX35" i="19"/>
  <c r="FY33" i="19"/>
  <c r="FZ7" i="21"/>
  <c r="FZ16" i="20"/>
  <c r="FZ18" i="20" s="1"/>
  <c r="FZ28" i="19"/>
  <c r="FW37" i="19"/>
  <c r="FW8" i="21"/>
  <c r="FW9" i="21" s="1"/>
  <c r="FW16" i="21"/>
  <c r="CN6" i="16"/>
  <c r="CN24" i="20"/>
  <c r="CM27" i="20"/>
  <c r="CM12" i="21"/>
  <c r="CM14" i="21" s="1"/>
  <c r="CM15" i="19"/>
  <c r="CM39" i="19" s="1"/>
  <c r="FY20" i="20"/>
  <c r="F295" i="36" l="1"/>
  <c r="E295" i="36"/>
  <c r="CN9" i="16"/>
  <c r="CN8" i="16"/>
  <c r="FX8" i="21"/>
  <c r="FX9" i="21" s="1"/>
  <c r="FX37" i="19"/>
  <c r="FX16" i="21"/>
  <c r="GB26" i="19"/>
  <c r="GC9" i="15"/>
  <c r="GA7" i="21"/>
  <c r="GA28" i="19"/>
  <c r="GA16" i="20"/>
  <c r="GA18" i="20" s="1"/>
  <c r="CM30" i="20"/>
  <c r="CM32" i="20" s="1"/>
  <c r="FZ20" i="20"/>
  <c r="GB23" i="19"/>
  <c r="GC22" i="19"/>
  <c r="GA13" i="21"/>
  <c r="GA10" i="20"/>
  <c r="GA11" i="20" s="1"/>
  <c r="CN8" i="19"/>
  <c r="CN10" i="19" s="1"/>
  <c r="CO22" i="20"/>
  <c r="FY35" i="19"/>
  <c r="FZ33" i="19"/>
  <c r="B296" i="36" l="1"/>
  <c r="A296" i="36" s="1"/>
  <c r="D296" i="36" s="1"/>
  <c r="C296" i="36"/>
  <c r="GB13" i="21"/>
  <c r="GB10" i="20"/>
  <c r="GB11" i="20" s="1"/>
  <c r="GC26" i="19"/>
  <c r="GD9" i="15"/>
  <c r="FZ35" i="19"/>
  <c r="GA33" i="19"/>
  <c r="FY8" i="21"/>
  <c r="FY9" i="21" s="1"/>
  <c r="FY37" i="19"/>
  <c r="FY16" i="21"/>
  <c r="GB16" i="20"/>
  <c r="GB18" i="20" s="1"/>
  <c r="GB28" i="19"/>
  <c r="GB7" i="21"/>
  <c r="CO6" i="16"/>
  <c r="CO24" i="20"/>
  <c r="CN27" i="20"/>
  <c r="CN12" i="21"/>
  <c r="CN14" i="21" s="1"/>
  <c r="CN15" i="19"/>
  <c r="CN39" i="19" s="1"/>
  <c r="GA20" i="20"/>
  <c r="GC23" i="19"/>
  <c r="GD22" i="19"/>
  <c r="F296" i="36" l="1"/>
  <c r="E296" i="36"/>
  <c r="GB20" i="20"/>
  <c r="CN30" i="20"/>
  <c r="CN32" i="20" s="1"/>
  <c r="CO8" i="19"/>
  <c r="CO10" i="19" s="1"/>
  <c r="CP22" i="20"/>
  <c r="GA35" i="19"/>
  <c r="GB33" i="19"/>
  <c r="GD23" i="19"/>
  <c r="GE22" i="19"/>
  <c r="CO9" i="16"/>
  <c r="CO8" i="16"/>
  <c r="FZ8" i="21"/>
  <c r="FZ9" i="21" s="1"/>
  <c r="FZ37" i="19"/>
  <c r="FZ16" i="21"/>
  <c r="GC13" i="21"/>
  <c r="GC10" i="20"/>
  <c r="GC11" i="20" s="1"/>
  <c r="GD26" i="19"/>
  <c r="GE9" i="15"/>
  <c r="GC7" i="21"/>
  <c r="GC28" i="19"/>
  <c r="GC16" i="20"/>
  <c r="GC18" i="20" s="1"/>
  <c r="C297" i="36" l="1"/>
  <c r="B297" i="36"/>
  <c r="A297" i="36" s="1"/>
  <c r="D297" i="36" s="1"/>
  <c r="GD13" i="21"/>
  <c r="GD10" i="20"/>
  <c r="GD11" i="20" s="1"/>
  <c r="GB35" i="19"/>
  <c r="GC33" i="19"/>
  <c r="GC20" i="20"/>
  <c r="GA8" i="21"/>
  <c r="GA9" i="21" s="1"/>
  <c r="GA37" i="19"/>
  <c r="GA16" i="21"/>
  <c r="CP6" i="16"/>
  <c r="CP24" i="20"/>
  <c r="CO27" i="20"/>
  <c r="CO12" i="21"/>
  <c r="CO14" i="21" s="1"/>
  <c r="CO15" i="19"/>
  <c r="CO39" i="19" s="1"/>
  <c r="GE26" i="19"/>
  <c r="GF9" i="15"/>
  <c r="GD28" i="19"/>
  <c r="GD7" i="21"/>
  <c r="GD16" i="20"/>
  <c r="GD18" i="20" s="1"/>
  <c r="GE23" i="19"/>
  <c r="GF22" i="19"/>
  <c r="F297" i="36" l="1"/>
  <c r="E297" i="36"/>
  <c r="GD20" i="20"/>
  <c r="GE7" i="21"/>
  <c r="GE16" i="20"/>
  <c r="GE18" i="20" s="1"/>
  <c r="GE28" i="19"/>
  <c r="GF23" i="19"/>
  <c r="GG22" i="19"/>
  <c r="GE10" i="20"/>
  <c r="GE11" i="20" s="1"/>
  <c r="GE13" i="21"/>
  <c r="CO30" i="20"/>
  <c r="CO32" i="20" s="1"/>
  <c r="CQ22" i="20"/>
  <c r="CP8" i="19"/>
  <c r="CP10" i="19" s="1"/>
  <c r="GC35" i="19"/>
  <c r="GD33" i="19"/>
  <c r="CP8" i="16"/>
  <c r="CP9" i="16"/>
  <c r="GB8" i="21"/>
  <c r="GB9" i="21" s="1"/>
  <c r="GB37" i="19"/>
  <c r="GB16" i="21"/>
  <c r="GF26" i="19"/>
  <c r="GG9" i="15"/>
  <c r="B298" i="36" l="1"/>
  <c r="A298" i="36" s="1"/>
  <c r="D298" i="36" s="1"/>
  <c r="C298" i="36"/>
  <c r="GG26" i="19"/>
  <c r="GH9" i="15"/>
  <c r="GE33" i="19"/>
  <c r="GD35" i="19"/>
  <c r="GG23" i="19"/>
  <c r="GH22" i="19"/>
  <c r="GF7" i="21"/>
  <c r="GF28" i="19"/>
  <c r="GF16" i="20"/>
  <c r="GF18" i="20" s="1"/>
  <c r="GC8" i="21"/>
  <c r="GC9" i="21" s="1"/>
  <c r="GC37" i="19"/>
  <c r="GC16" i="21"/>
  <c r="GF13" i="21"/>
  <c r="GF10" i="20"/>
  <c r="GF11" i="20" s="1"/>
  <c r="CP27" i="20"/>
  <c r="CP12" i="21"/>
  <c r="CP14" i="21" s="1"/>
  <c r="CP15" i="19"/>
  <c r="CP39" i="19" s="1"/>
  <c r="CQ6" i="16"/>
  <c r="CQ24" i="20"/>
  <c r="GE20" i="20"/>
  <c r="F298" i="36" l="1"/>
  <c r="E298" i="36"/>
  <c r="CP30" i="20"/>
  <c r="CP32" i="20" s="1"/>
  <c r="GH23" i="19"/>
  <c r="GI22" i="19"/>
  <c r="GG13" i="21"/>
  <c r="GG10" i="20"/>
  <c r="GG11" i="20" s="1"/>
  <c r="GD8" i="21"/>
  <c r="GD9" i="21" s="1"/>
  <c r="GD37" i="19"/>
  <c r="GD16" i="21"/>
  <c r="CQ8" i="19"/>
  <c r="CQ10" i="19" s="1"/>
  <c r="CR22" i="20"/>
  <c r="GE35" i="19"/>
  <c r="GF33" i="19"/>
  <c r="CQ9" i="16"/>
  <c r="CQ8" i="16"/>
  <c r="GH26" i="19"/>
  <c r="GI9" i="15"/>
  <c r="GF20" i="20"/>
  <c r="GG7" i="21"/>
  <c r="GG28" i="19"/>
  <c r="GG16" i="20"/>
  <c r="GG18" i="20" s="1"/>
  <c r="B299" i="36" l="1"/>
  <c r="A299" i="36" s="1"/>
  <c r="D299" i="36" s="1"/>
  <c r="D300" i="36" s="1"/>
  <c r="C299" i="36"/>
  <c r="GG20" i="20"/>
  <c r="GF35" i="19"/>
  <c r="GG33" i="19"/>
  <c r="GE8" i="21"/>
  <c r="GE9" i="21" s="1"/>
  <c r="GE37" i="19"/>
  <c r="GE16" i="21"/>
  <c r="GJ22" i="19"/>
  <c r="GI23" i="19"/>
  <c r="CR6" i="16"/>
  <c r="CR24" i="20"/>
  <c r="GH13" i="21"/>
  <c r="GH10" i="20"/>
  <c r="GH11" i="20" s="1"/>
  <c r="GI26" i="19"/>
  <c r="GJ9" i="15"/>
  <c r="CQ27" i="20"/>
  <c r="CQ12" i="21"/>
  <c r="CQ14" i="21" s="1"/>
  <c r="CQ15" i="19"/>
  <c r="CQ39" i="19" s="1"/>
  <c r="GH7" i="21"/>
  <c r="GH16" i="20"/>
  <c r="GH18" i="20" s="1"/>
  <c r="GH28" i="19"/>
  <c r="F299" i="36" l="1"/>
  <c r="F300" i="36" s="1"/>
  <c r="E299" i="36"/>
  <c r="GI13" i="21"/>
  <c r="GI10" i="20"/>
  <c r="GI11" i="20" s="1"/>
  <c r="CQ30" i="20"/>
  <c r="CQ32" i="20" s="1"/>
  <c r="GJ23" i="19"/>
  <c r="GK22" i="19"/>
  <c r="GJ26" i="19"/>
  <c r="GK9" i="15"/>
  <c r="GI7" i="21"/>
  <c r="GI28" i="19"/>
  <c r="GI16" i="20"/>
  <c r="GI18" i="20" s="1"/>
  <c r="GH20" i="20"/>
  <c r="CS22" i="20"/>
  <c r="CR8" i="19"/>
  <c r="CR10" i="19" s="1"/>
  <c r="GH33" i="19"/>
  <c r="GG35" i="19"/>
  <c r="CR8" i="16"/>
  <c r="CR9" i="16"/>
  <c r="GF8" i="21"/>
  <c r="GF9" i="21" s="1"/>
  <c r="GF37" i="19"/>
  <c r="GF16" i="21"/>
  <c r="GI20" i="20" l="1"/>
  <c r="CR27" i="20"/>
  <c r="CR12" i="21"/>
  <c r="CR14" i="21" s="1"/>
  <c r="CR15" i="19"/>
  <c r="CR39" i="19" s="1"/>
  <c r="GK23" i="19"/>
  <c r="GL22" i="19"/>
  <c r="GK26" i="19"/>
  <c r="GL9" i="15"/>
  <c r="CS6" i="16"/>
  <c r="CS24" i="20"/>
  <c r="GJ7" i="21"/>
  <c r="GJ28" i="19"/>
  <c r="GJ16" i="20"/>
  <c r="GJ18" i="20" s="1"/>
  <c r="GJ10" i="20"/>
  <c r="GJ11" i="20" s="1"/>
  <c r="GJ13" i="21"/>
  <c r="GG8" i="21"/>
  <c r="GG9" i="21" s="1"/>
  <c r="GG37" i="19"/>
  <c r="GG16" i="21"/>
  <c r="GI33" i="19"/>
  <c r="GH35" i="19"/>
  <c r="GL26" i="19" l="1"/>
  <c r="GM9" i="15"/>
  <c r="CS9" i="16"/>
  <c r="CS8" i="16"/>
  <c r="GK7" i="21"/>
  <c r="GK28" i="19"/>
  <c r="GK16" i="20"/>
  <c r="GK18" i="20" s="1"/>
  <c r="GH37" i="19"/>
  <c r="GH8" i="21"/>
  <c r="GH9" i="21" s="1"/>
  <c r="GH16" i="21"/>
  <c r="GL23" i="19"/>
  <c r="GM22" i="19"/>
  <c r="GJ33" i="19"/>
  <c r="GI35" i="19"/>
  <c r="GJ20" i="20"/>
  <c r="GK10" i="20"/>
  <c r="GK11" i="20" s="1"/>
  <c r="GK13" i="21"/>
  <c r="CS8" i="19"/>
  <c r="CS10" i="19" s="1"/>
  <c r="CT22" i="20"/>
  <c r="CR30" i="20"/>
  <c r="CR32" i="20" s="1"/>
  <c r="GK20" i="20" l="1"/>
  <c r="GI8" i="21"/>
  <c r="GI9" i="21" s="1"/>
  <c r="GI37" i="19"/>
  <c r="GI16" i="21"/>
  <c r="CT6" i="16"/>
  <c r="CT24" i="20"/>
  <c r="GK33" i="19"/>
  <c r="GJ35" i="19"/>
  <c r="CS27" i="20"/>
  <c r="CS12" i="21"/>
  <c r="CS14" i="21" s="1"/>
  <c r="CS15" i="19"/>
  <c r="CS39" i="19" s="1"/>
  <c r="GM23" i="19"/>
  <c r="GN22" i="19"/>
  <c r="GL10" i="20"/>
  <c r="GL11" i="20" s="1"/>
  <c r="GL13" i="21"/>
  <c r="GM26" i="19"/>
  <c r="GN9" i="15"/>
  <c r="GL7" i="21"/>
  <c r="GL28" i="19"/>
  <c r="GL16" i="20"/>
  <c r="GL18" i="20" s="1"/>
  <c r="CT8" i="19" l="1"/>
  <c r="CT10" i="19" s="1"/>
  <c r="CU22" i="20"/>
  <c r="GN23" i="19"/>
  <c r="GO22" i="19"/>
  <c r="CT8" i="16"/>
  <c r="CT9" i="16"/>
  <c r="GL20" i="20"/>
  <c r="GM13" i="21"/>
  <c r="GM10" i="20"/>
  <c r="GM11" i="20" s="1"/>
  <c r="GN26" i="19"/>
  <c r="GO9" i="15"/>
  <c r="CS30" i="20"/>
  <c r="CS32" i="20" s="1"/>
  <c r="GM7" i="21"/>
  <c r="GM28" i="19"/>
  <c r="GM16" i="20"/>
  <c r="GM18" i="20" s="1"/>
  <c r="GM20" i="20" s="1"/>
  <c r="GJ8" i="21"/>
  <c r="GJ9" i="21" s="1"/>
  <c r="GJ37" i="19"/>
  <c r="GJ16" i="21"/>
  <c r="GL33" i="19"/>
  <c r="GK35" i="19"/>
  <c r="GK37" i="19" l="1"/>
  <c r="GK8" i="21"/>
  <c r="GK9" i="21" s="1"/>
  <c r="GK16" i="21"/>
  <c r="GM33" i="19"/>
  <c r="GL35" i="19"/>
  <c r="GO26" i="19"/>
  <c r="GP9" i="15"/>
  <c r="GN7" i="21"/>
  <c r="GN28" i="19"/>
  <c r="GN16" i="20"/>
  <c r="GN18" i="20" s="1"/>
  <c r="GP22" i="19"/>
  <c r="GO23" i="19"/>
  <c r="GN13" i="21"/>
  <c r="GN10" i="20"/>
  <c r="GN11" i="20" s="1"/>
  <c r="CU6" i="16"/>
  <c r="CU24" i="20"/>
  <c r="CT27" i="20"/>
  <c r="CT12" i="21"/>
  <c r="CT14" i="21" s="1"/>
  <c r="CT15" i="19"/>
  <c r="CT39" i="19" s="1"/>
  <c r="CU9" i="16" l="1"/>
  <c r="CU8" i="16"/>
  <c r="GP26" i="19"/>
  <c r="GQ9" i="15"/>
  <c r="GO7" i="21"/>
  <c r="GO28" i="19"/>
  <c r="GO16" i="20"/>
  <c r="GO18" i="20" s="1"/>
  <c r="GO20" i="20" s="1"/>
  <c r="GO13" i="21"/>
  <c r="GO10" i="20"/>
  <c r="GO11" i="20" s="1"/>
  <c r="GL37" i="19"/>
  <c r="GL8" i="21"/>
  <c r="GL9" i="21" s="1"/>
  <c r="GL16" i="21"/>
  <c r="GQ22" i="19"/>
  <c r="GP23" i="19"/>
  <c r="GN33" i="19"/>
  <c r="GM35" i="19"/>
  <c r="CT30" i="20"/>
  <c r="CT32" i="20" s="1"/>
  <c r="K5" i="22" s="1"/>
  <c r="K6" i="22" s="1"/>
  <c r="GN20" i="20"/>
  <c r="CU8" i="19"/>
  <c r="CU10" i="19" s="1"/>
  <c r="CV22" i="20"/>
  <c r="GM8" i="21" l="1"/>
  <c r="GM9" i="21" s="1"/>
  <c r="GM37" i="19"/>
  <c r="GM16" i="21"/>
  <c r="GO33" i="19"/>
  <c r="GN35" i="19"/>
  <c r="CV6" i="16"/>
  <c r="CV24" i="20"/>
  <c r="GP13" i="21"/>
  <c r="GP10" i="20"/>
  <c r="GP11" i="20" s="1"/>
  <c r="CU27" i="20"/>
  <c r="CU12" i="21"/>
  <c r="CU14" i="21" s="1"/>
  <c r="CU15" i="19"/>
  <c r="CU39" i="19" s="1"/>
  <c r="GQ23" i="19"/>
  <c r="GR22" i="19"/>
  <c r="GQ26" i="19"/>
  <c r="GR9" i="15"/>
  <c r="GP7" i="21"/>
  <c r="GP28" i="19"/>
  <c r="GP16" i="20"/>
  <c r="GP18" i="20" s="1"/>
  <c r="GP20" i="20" l="1"/>
  <c r="GQ16" i="20"/>
  <c r="GQ18" i="20" s="1"/>
  <c r="GQ7" i="21"/>
  <c r="GQ28" i="19"/>
  <c r="GR23" i="19"/>
  <c r="GS22" i="19"/>
  <c r="CV8" i="19"/>
  <c r="CV10" i="19" s="1"/>
  <c r="CW22" i="20"/>
  <c r="GQ10" i="20"/>
  <c r="GQ11" i="20" s="1"/>
  <c r="GQ13" i="21"/>
  <c r="CV9" i="16"/>
  <c r="CV8" i="16"/>
  <c r="GN37" i="19"/>
  <c r="GN8" i="21"/>
  <c r="GN9" i="21" s="1"/>
  <c r="GN16" i="21"/>
  <c r="GP33" i="19"/>
  <c r="GO35" i="19"/>
  <c r="CU30" i="20"/>
  <c r="CU32" i="20" s="1"/>
  <c r="GR26" i="19"/>
  <c r="GS9" i="15"/>
  <c r="GO8" i="21" l="1"/>
  <c r="GO9" i="21" s="1"/>
  <c r="GO37" i="19"/>
  <c r="GO16" i="21"/>
  <c r="GQ33" i="19"/>
  <c r="GP35" i="19"/>
  <c r="CW6" i="16"/>
  <c r="CW24" i="20"/>
  <c r="GS26" i="19"/>
  <c r="GT9" i="15"/>
  <c r="CV27" i="20"/>
  <c r="CV12" i="21"/>
  <c r="CV14" i="21" s="1"/>
  <c r="CV15" i="19"/>
  <c r="CV39" i="19" s="1"/>
  <c r="GR7" i="21"/>
  <c r="GR16" i="20"/>
  <c r="GR18" i="20" s="1"/>
  <c r="GR28" i="19"/>
  <c r="GS23" i="19"/>
  <c r="GT22" i="19"/>
  <c r="GR13" i="21"/>
  <c r="GR10" i="20"/>
  <c r="GR11" i="20" s="1"/>
  <c r="GQ20" i="20"/>
  <c r="GR20" i="20" l="1"/>
  <c r="CW8" i="16"/>
  <c r="CW9" i="16"/>
  <c r="GS13" i="21"/>
  <c r="GS10" i="20"/>
  <c r="GS11" i="20" s="1"/>
  <c r="GS7" i="21"/>
  <c r="GS16" i="20"/>
  <c r="GS18" i="20" s="1"/>
  <c r="GS28" i="19"/>
  <c r="CW8" i="19"/>
  <c r="CW10" i="19" s="1"/>
  <c r="CX22" i="20"/>
  <c r="GP37" i="19"/>
  <c r="GP8" i="21"/>
  <c r="GP9" i="21" s="1"/>
  <c r="GP16" i="21"/>
  <c r="GR33" i="19"/>
  <c r="GQ35" i="19"/>
  <c r="CV30" i="20"/>
  <c r="CV32" i="20" s="1"/>
  <c r="GT23" i="19"/>
  <c r="GU22" i="19"/>
  <c r="GT26" i="19"/>
  <c r="GU9" i="15"/>
  <c r="GS20" i="20" l="1"/>
  <c r="GQ8" i="21"/>
  <c r="GQ9" i="21" s="1"/>
  <c r="GQ37" i="19"/>
  <c r="GQ16" i="21"/>
  <c r="GU26" i="19"/>
  <c r="GV9" i="15"/>
  <c r="GS33" i="19"/>
  <c r="GR35" i="19"/>
  <c r="GT28" i="19"/>
  <c r="GT7" i="21"/>
  <c r="GT16" i="20"/>
  <c r="GT18" i="20" s="1"/>
  <c r="GU23" i="19"/>
  <c r="GV22" i="19"/>
  <c r="GT13" i="21"/>
  <c r="GT10" i="20"/>
  <c r="GT11" i="20" s="1"/>
  <c r="CX6" i="16"/>
  <c r="CX24" i="20"/>
  <c r="CW27" i="20"/>
  <c r="CW12" i="21"/>
  <c r="CW14" i="21" s="1"/>
  <c r="CW15" i="19"/>
  <c r="CW39" i="19" s="1"/>
  <c r="GT33" i="19" l="1"/>
  <c r="GS35" i="19"/>
  <c r="GV26" i="19"/>
  <c r="GW9" i="15"/>
  <c r="GV23" i="19"/>
  <c r="GW22" i="19"/>
  <c r="GU7" i="21"/>
  <c r="GU16" i="20"/>
  <c r="GU18" i="20" s="1"/>
  <c r="GU28" i="19"/>
  <c r="GU13" i="21"/>
  <c r="GU10" i="20"/>
  <c r="GU11" i="20" s="1"/>
  <c r="CW30" i="20"/>
  <c r="CW32" i="20" s="1"/>
  <c r="GT20" i="20"/>
  <c r="CX8" i="19"/>
  <c r="CX10" i="19" s="1"/>
  <c r="CY22" i="20"/>
  <c r="CX8" i="16"/>
  <c r="CX9" i="16"/>
  <c r="GR8" i="21"/>
  <c r="GR9" i="21" s="1"/>
  <c r="GR37" i="19"/>
  <c r="GR16" i="21"/>
  <c r="GU20" i="20" l="1"/>
  <c r="CX27" i="20"/>
  <c r="CX12" i="21"/>
  <c r="CX14" i="21" s="1"/>
  <c r="CX15" i="19"/>
  <c r="CX39" i="19" s="1"/>
  <c r="GW23" i="19"/>
  <c r="GX22" i="19"/>
  <c r="GV13" i="21"/>
  <c r="GV10" i="20"/>
  <c r="GV11" i="20" s="1"/>
  <c r="GW26" i="19"/>
  <c r="GX9" i="15"/>
  <c r="GV28" i="19"/>
  <c r="GV16" i="20"/>
  <c r="GV18" i="20" s="1"/>
  <c r="GV7" i="21"/>
  <c r="GS37" i="19"/>
  <c r="GS8" i="21"/>
  <c r="GS9" i="21" s="1"/>
  <c r="GS16" i="21"/>
  <c r="CY6" i="16"/>
  <c r="CY24" i="20"/>
  <c r="GU33" i="19"/>
  <c r="GT35" i="19"/>
  <c r="GV20" i="20" l="1"/>
  <c r="GT8" i="21"/>
  <c r="GT9" i="21" s="1"/>
  <c r="GT37" i="19"/>
  <c r="GT16" i="21"/>
  <c r="GX23" i="19"/>
  <c r="GY22" i="19"/>
  <c r="GW13" i="21"/>
  <c r="GW10" i="20"/>
  <c r="GW11" i="20" s="1"/>
  <c r="GV33" i="19"/>
  <c r="GU35" i="19"/>
  <c r="CY8" i="19"/>
  <c r="CY10" i="19" s="1"/>
  <c r="CZ22" i="20"/>
  <c r="GX26" i="19"/>
  <c r="GY9" i="15"/>
  <c r="CY9" i="16"/>
  <c r="CY8" i="16"/>
  <c r="GW7" i="21"/>
  <c r="GW28" i="19"/>
  <c r="GW16" i="20"/>
  <c r="GW18" i="20" s="1"/>
  <c r="CX30" i="20"/>
  <c r="CX32" i="20" s="1"/>
  <c r="GZ9" i="15" l="1"/>
  <c r="GY26" i="19"/>
  <c r="GX28" i="19"/>
  <c r="GX7" i="21"/>
  <c r="GX16" i="20"/>
  <c r="GX18" i="20" s="1"/>
  <c r="GY23" i="19"/>
  <c r="GZ22" i="19"/>
  <c r="CZ6" i="16"/>
  <c r="CZ24" i="20"/>
  <c r="GX13" i="21"/>
  <c r="GX10" i="20"/>
  <c r="GX11" i="20" s="1"/>
  <c r="GW20" i="20"/>
  <c r="CY27" i="20"/>
  <c r="CY12" i="21"/>
  <c r="CY14" i="21" s="1"/>
  <c r="CY15" i="19"/>
  <c r="CY39" i="19" s="1"/>
  <c r="GU8" i="21"/>
  <c r="GU9" i="21" s="1"/>
  <c r="GU37" i="19"/>
  <c r="GU16" i="21"/>
  <c r="GW33" i="19"/>
  <c r="GV35" i="19"/>
  <c r="GX20" i="20" l="1"/>
  <c r="GX33" i="19"/>
  <c r="GW35" i="19"/>
  <c r="CZ8" i="16"/>
  <c r="CZ9" i="16"/>
  <c r="GZ23" i="19"/>
  <c r="HA22" i="19"/>
  <c r="GV8" i="21"/>
  <c r="GV9" i="21" s="1"/>
  <c r="GV37" i="19"/>
  <c r="GV16" i="21"/>
  <c r="GY13" i="21"/>
  <c r="GY10" i="20"/>
  <c r="GY11" i="20" s="1"/>
  <c r="CY30" i="20"/>
  <c r="CY32" i="20" s="1"/>
  <c r="GY7" i="21"/>
  <c r="GY16" i="20"/>
  <c r="GY18" i="20" s="1"/>
  <c r="GY28" i="19"/>
  <c r="CZ8" i="19"/>
  <c r="CZ10" i="19" s="1"/>
  <c r="DA22" i="20"/>
  <c r="GZ26" i="19"/>
  <c r="HA9" i="15"/>
  <c r="GZ13" i="21" l="1"/>
  <c r="GZ10" i="20"/>
  <c r="GZ11" i="20" s="1"/>
  <c r="HA26" i="19"/>
  <c r="HB9" i="15"/>
  <c r="HA23" i="19"/>
  <c r="HB22" i="19"/>
  <c r="GZ7" i="21"/>
  <c r="GZ28" i="19"/>
  <c r="GZ16" i="20"/>
  <c r="GZ18" i="20" s="1"/>
  <c r="DA6" i="16"/>
  <c r="DA24" i="20"/>
  <c r="CZ12" i="21"/>
  <c r="CZ14" i="21" s="1"/>
  <c r="CZ27" i="20"/>
  <c r="CZ15" i="19"/>
  <c r="CZ39" i="19" s="1"/>
  <c r="GW8" i="21"/>
  <c r="GW9" i="21" s="1"/>
  <c r="GW37" i="19"/>
  <c r="GW16" i="21"/>
  <c r="GY20" i="20"/>
  <c r="GY33" i="19"/>
  <c r="GX35" i="19"/>
  <c r="GZ20" i="20" l="1"/>
  <c r="GX8" i="21"/>
  <c r="GX9" i="21" s="1"/>
  <c r="GX37" i="19"/>
  <c r="GX16" i="21"/>
  <c r="HB23" i="19"/>
  <c r="HC22" i="19"/>
  <c r="CZ30" i="20"/>
  <c r="CZ32" i="20" s="1"/>
  <c r="HA10" i="20"/>
  <c r="HA11" i="20" s="1"/>
  <c r="HA13" i="21"/>
  <c r="GZ33" i="19"/>
  <c r="GY35" i="19"/>
  <c r="HB26" i="19"/>
  <c r="HC9" i="15"/>
  <c r="DA8" i="19"/>
  <c r="DA10" i="19" s="1"/>
  <c r="DB22" i="20"/>
  <c r="HA7" i="21"/>
  <c r="HA28" i="19"/>
  <c r="HA16" i="20"/>
  <c r="HA18" i="20" s="1"/>
  <c r="DA9" i="16"/>
  <c r="DA8" i="16"/>
  <c r="DB6" i="16" l="1"/>
  <c r="DB24" i="20"/>
  <c r="DA12" i="21"/>
  <c r="DA14" i="21" s="1"/>
  <c r="DA27" i="20"/>
  <c r="DA15" i="19"/>
  <c r="DA39" i="19" s="1"/>
  <c r="HC26" i="19"/>
  <c r="HD9" i="15"/>
  <c r="HC23" i="19"/>
  <c r="HD22" i="19"/>
  <c r="HB7" i="21"/>
  <c r="HB28" i="19"/>
  <c r="HB16" i="20"/>
  <c r="HB18" i="20" s="1"/>
  <c r="HB13" i="21"/>
  <c r="HB10" i="20"/>
  <c r="HB11" i="20" s="1"/>
  <c r="GY8" i="21"/>
  <c r="GY9" i="21" s="1"/>
  <c r="GY37" i="19"/>
  <c r="GY16" i="21"/>
  <c r="HA20" i="20"/>
  <c r="HA33" i="19"/>
  <c r="GZ35" i="19"/>
  <c r="HD26" i="19" l="1"/>
  <c r="HE9" i="15"/>
  <c r="HC13" i="21"/>
  <c r="HC10" i="20"/>
  <c r="HC11" i="20" s="1"/>
  <c r="HC7" i="21"/>
  <c r="HC28" i="19"/>
  <c r="HC16" i="20"/>
  <c r="HC18" i="20" s="1"/>
  <c r="GZ8" i="21"/>
  <c r="GZ9" i="21" s="1"/>
  <c r="GZ37" i="19"/>
  <c r="GZ16" i="21"/>
  <c r="HB20" i="20"/>
  <c r="DA30" i="20"/>
  <c r="DA32" i="20" s="1"/>
  <c r="HB33" i="19"/>
  <c r="HA35" i="19"/>
  <c r="DC22" i="20"/>
  <c r="DB8" i="19"/>
  <c r="DB10" i="19" s="1"/>
  <c r="HD23" i="19"/>
  <c r="HE22" i="19"/>
  <c r="DB8" i="16"/>
  <c r="DB9" i="16"/>
  <c r="HC20" i="20" l="1"/>
  <c r="HA37" i="19"/>
  <c r="HA8" i="21"/>
  <c r="HA9" i="21" s="1"/>
  <c r="HA16" i="21"/>
  <c r="HC33" i="19"/>
  <c r="HB35" i="19"/>
  <c r="HF22" i="19"/>
  <c r="HE23" i="19"/>
  <c r="HD13" i="21"/>
  <c r="HD10" i="20"/>
  <c r="HD11" i="20" s="1"/>
  <c r="DB27" i="20"/>
  <c r="DB12" i="21"/>
  <c r="DB14" i="21" s="1"/>
  <c r="DB15" i="19"/>
  <c r="DB39" i="19" s="1"/>
  <c r="DC6" i="16"/>
  <c r="DC24" i="20"/>
  <c r="HE26" i="19"/>
  <c r="HF9" i="15"/>
  <c r="HD7" i="21"/>
  <c r="HD16" i="20"/>
  <c r="HD18" i="20" s="1"/>
  <c r="HD28" i="19"/>
  <c r="HD20" i="20" l="1"/>
  <c r="HE13" i="21"/>
  <c r="HE10" i="20"/>
  <c r="HE11" i="20" s="1"/>
  <c r="DC8" i="19"/>
  <c r="DC10" i="19" s="1"/>
  <c r="DD22" i="20"/>
  <c r="HF23" i="19"/>
  <c r="HG22" i="19"/>
  <c r="DC8" i="16"/>
  <c r="DC9" i="16"/>
  <c r="HB8" i="21"/>
  <c r="HB9" i="21" s="1"/>
  <c r="HB37" i="19"/>
  <c r="HB16" i="21"/>
  <c r="HD33" i="19"/>
  <c r="HC35" i="19"/>
  <c r="DB30" i="20"/>
  <c r="DB32" i="20" s="1"/>
  <c r="HG9" i="15"/>
  <c r="HF26" i="19"/>
  <c r="HE7" i="21"/>
  <c r="HE28" i="19"/>
  <c r="HE16" i="20"/>
  <c r="HE18" i="20" s="1"/>
  <c r="HE20" i="20" l="1"/>
  <c r="HC8" i="21"/>
  <c r="HC9" i="21" s="1"/>
  <c r="HC37" i="19"/>
  <c r="HC16" i="21"/>
  <c r="HG23" i="19"/>
  <c r="HH22" i="19"/>
  <c r="HE33" i="19"/>
  <c r="HD35" i="19"/>
  <c r="HF13" i="21"/>
  <c r="HF10" i="20"/>
  <c r="HF11" i="20" s="1"/>
  <c r="DD24" i="20"/>
  <c r="DD6" i="16"/>
  <c r="DC12" i="21"/>
  <c r="DC14" i="21" s="1"/>
  <c r="DC27" i="20"/>
  <c r="DC15" i="19"/>
  <c r="DC39" i="19" s="1"/>
  <c r="HF7" i="21"/>
  <c r="HF28" i="19"/>
  <c r="HF16" i="20"/>
  <c r="HF18" i="20" s="1"/>
  <c r="HG26" i="19"/>
  <c r="HH9" i="15"/>
  <c r="HF20" i="20" l="1"/>
  <c r="DC30" i="20"/>
  <c r="DC32" i="20" s="1"/>
  <c r="HD8" i="21"/>
  <c r="HD9" i="21" s="1"/>
  <c r="HD37" i="19"/>
  <c r="HD16" i="21"/>
  <c r="HF33" i="19"/>
  <c r="HE35" i="19"/>
  <c r="HI9" i="15"/>
  <c r="HH26" i="19"/>
  <c r="HH23" i="19"/>
  <c r="HI22" i="19"/>
  <c r="HG7" i="21"/>
  <c r="HG28" i="19"/>
  <c r="HG16" i="20"/>
  <c r="HG18" i="20" s="1"/>
  <c r="DD8" i="16"/>
  <c r="DD9" i="16"/>
  <c r="HG13" i="21"/>
  <c r="HG10" i="20"/>
  <c r="HG11" i="20" s="1"/>
  <c r="DD8" i="19"/>
  <c r="DD10" i="19" s="1"/>
  <c r="DE22" i="20"/>
  <c r="HG20" i="20" l="1"/>
  <c r="HI26" i="19"/>
  <c r="HJ9" i="15"/>
  <c r="HE37" i="19"/>
  <c r="HE8" i="21"/>
  <c r="HE9" i="21" s="1"/>
  <c r="HE16" i="21"/>
  <c r="HG33" i="19"/>
  <c r="HF35" i="19"/>
  <c r="DE6" i="16"/>
  <c r="DE24" i="20"/>
  <c r="DD27" i="20"/>
  <c r="DD12" i="21"/>
  <c r="DD14" i="21" s="1"/>
  <c r="DD15" i="19"/>
  <c r="DD39" i="19" s="1"/>
  <c r="HI23" i="19"/>
  <c r="HJ22" i="19"/>
  <c r="HH13" i="21"/>
  <c r="HH10" i="20"/>
  <c r="HH11" i="20" s="1"/>
  <c r="HH7" i="21"/>
  <c r="HH16" i="20"/>
  <c r="HH18" i="20" s="1"/>
  <c r="HH28" i="19"/>
  <c r="HH20" i="20" l="1"/>
  <c r="HJ23" i="19"/>
  <c r="HK22" i="19"/>
  <c r="HI13" i="21"/>
  <c r="HI10" i="20"/>
  <c r="HI11" i="20" s="1"/>
  <c r="HF37" i="19"/>
  <c r="HF8" i="21"/>
  <c r="HF9" i="21" s="1"/>
  <c r="HF16" i="21"/>
  <c r="HH33" i="19"/>
  <c r="HG35" i="19"/>
  <c r="DD30" i="20"/>
  <c r="DD32" i="20" s="1"/>
  <c r="DE8" i="19"/>
  <c r="DE10" i="19" s="1"/>
  <c r="DF22" i="20"/>
  <c r="HJ26" i="19"/>
  <c r="HK9" i="15"/>
  <c r="DE8" i="16"/>
  <c r="DE9" i="16"/>
  <c r="HI7" i="21"/>
  <c r="HI28" i="19"/>
  <c r="HI16" i="20"/>
  <c r="HI18" i="20" s="1"/>
  <c r="HI20" i="20" l="1"/>
  <c r="HJ16" i="20"/>
  <c r="HJ18" i="20" s="1"/>
  <c r="HJ7" i="21"/>
  <c r="HJ28" i="19"/>
  <c r="HI33" i="19"/>
  <c r="HH35" i="19"/>
  <c r="DF6" i="16"/>
  <c r="DF24" i="20"/>
  <c r="DE27" i="20"/>
  <c r="DE12" i="21"/>
  <c r="DE14" i="21" s="1"/>
  <c r="DE15" i="19"/>
  <c r="DE39" i="19" s="1"/>
  <c r="HK23" i="19"/>
  <c r="HL22" i="19"/>
  <c r="HL9" i="15"/>
  <c r="HK26" i="19"/>
  <c r="HG8" i="21"/>
  <c r="HG9" i="21" s="1"/>
  <c r="HG37" i="19"/>
  <c r="HG16" i="21"/>
  <c r="HJ13" i="21"/>
  <c r="HJ10" i="20"/>
  <c r="HJ11" i="20" s="1"/>
  <c r="HK7" i="21" l="1"/>
  <c r="HK28" i="19"/>
  <c r="HK16" i="20"/>
  <c r="HK18" i="20" s="1"/>
  <c r="DF8" i="16"/>
  <c r="DF9" i="16"/>
  <c r="DE30" i="20"/>
  <c r="DE32" i="20" s="1"/>
  <c r="HL26" i="19"/>
  <c r="HM9" i="15"/>
  <c r="DG22" i="20"/>
  <c r="DF8" i="19"/>
  <c r="DF10" i="19" s="1"/>
  <c r="HL23" i="19"/>
  <c r="HM22" i="19"/>
  <c r="HK13" i="21"/>
  <c r="HK10" i="20"/>
  <c r="HK11" i="20" s="1"/>
  <c r="HH8" i="21"/>
  <c r="HH9" i="21" s="1"/>
  <c r="HH37" i="19"/>
  <c r="HH16" i="21"/>
  <c r="HJ33" i="19"/>
  <c r="HI35" i="19"/>
  <c r="HJ20" i="20"/>
  <c r="HK20" i="20" l="1"/>
  <c r="HL7" i="21"/>
  <c r="HL16" i="20"/>
  <c r="HL18" i="20" s="1"/>
  <c r="HL28" i="19"/>
  <c r="HM23" i="19"/>
  <c r="HN22" i="19"/>
  <c r="HI37" i="19"/>
  <c r="HI8" i="21"/>
  <c r="HI9" i="21" s="1"/>
  <c r="HI16" i="21"/>
  <c r="HK33" i="19"/>
  <c r="HJ35" i="19"/>
  <c r="HL13" i="21"/>
  <c r="HL10" i="20"/>
  <c r="HL11" i="20" s="1"/>
  <c r="DF27" i="20"/>
  <c r="DF12" i="21"/>
  <c r="DF14" i="21" s="1"/>
  <c r="DF15" i="19"/>
  <c r="DF39" i="19" s="1"/>
  <c r="DG6" i="16"/>
  <c r="DG24" i="20"/>
  <c r="HM26" i="19"/>
  <c r="HN9" i="15"/>
  <c r="DF30" i="20" l="1"/>
  <c r="DF32" i="20" s="1"/>
  <c r="L5" i="22" s="1"/>
  <c r="L6" i="22" s="1"/>
  <c r="HO22" i="19"/>
  <c r="HN23" i="19"/>
  <c r="HN26" i="19"/>
  <c r="HO9" i="15"/>
  <c r="HM10" i="20"/>
  <c r="HM11" i="20" s="1"/>
  <c r="HM13" i="21"/>
  <c r="DG8" i="19"/>
  <c r="DG10" i="19" s="1"/>
  <c r="DH22" i="20"/>
  <c r="HJ37" i="19"/>
  <c r="HJ8" i="21"/>
  <c r="HJ9" i="21" s="1"/>
  <c r="HJ16" i="21"/>
  <c r="DG9" i="16"/>
  <c r="DG8" i="16"/>
  <c r="HM28" i="19"/>
  <c r="HM7" i="21"/>
  <c r="HM16" i="20"/>
  <c r="HM18" i="20" s="1"/>
  <c r="HL20" i="20"/>
  <c r="HL33" i="19"/>
  <c r="HK35" i="19"/>
  <c r="HK8" i="21" l="1"/>
  <c r="HK9" i="21" s="1"/>
  <c r="HK37" i="19"/>
  <c r="HK16" i="21"/>
  <c r="HP9" i="15"/>
  <c r="HO26" i="19"/>
  <c r="HM33" i="19"/>
  <c r="HL35" i="19"/>
  <c r="HN7" i="21"/>
  <c r="HN16" i="20"/>
  <c r="HN18" i="20" s="1"/>
  <c r="HN28" i="19"/>
  <c r="HN13" i="21"/>
  <c r="HN10" i="20"/>
  <c r="HN11" i="20" s="1"/>
  <c r="DH6" i="16"/>
  <c r="DH24" i="20"/>
  <c r="HM20" i="20"/>
  <c r="HO23" i="19"/>
  <c r="HP22" i="19"/>
  <c r="DG12" i="21"/>
  <c r="DG14" i="21" s="1"/>
  <c r="DG27" i="20"/>
  <c r="DG15" i="19"/>
  <c r="DG39" i="19" s="1"/>
  <c r="DG30" i="20" l="1"/>
  <c r="DG32" i="20" s="1"/>
  <c r="DH8" i="19"/>
  <c r="DH10" i="19" s="1"/>
  <c r="DI22" i="20"/>
  <c r="HL8" i="21"/>
  <c r="HL9" i="21" s="1"/>
  <c r="HL37" i="19"/>
  <c r="HL16" i="21"/>
  <c r="HO7" i="21"/>
  <c r="HO28" i="19"/>
  <c r="HO16" i="20"/>
  <c r="HO18" i="20" s="1"/>
  <c r="DH8" i="16"/>
  <c r="DH9" i="16"/>
  <c r="HN33" i="19"/>
  <c r="HM35" i="19"/>
  <c r="HP26" i="19"/>
  <c r="HQ9" i="15"/>
  <c r="HQ22" i="19"/>
  <c r="HP23" i="19"/>
  <c r="HO13" i="21"/>
  <c r="HO10" i="20"/>
  <c r="HO11" i="20" s="1"/>
  <c r="HN20" i="20"/>
  <c r="HP7" i="21" l="1"/>
  <c r="HP28" i="19"/>
  <c r="HP16" i="20"/>
  <c r="HP18" i="20" s="1"/>
  <c r="HQ26" i="19"/>
  <c r="HR9" i="15"/>
  <c r="HM8" i="21"/>
  <c r="HM9" i="21" s="1"/>
  <c r="HM37" i="19"/>
  <c r="HM16" i="21"/>
  <c r="DI6" i="16"/>
  <c r="DI24" i="20"/>
  <c r="HO20" i="20"/>
  <c r="HO33" i="19"/>
  <c r="HN35" i="19"/>
  <c r="HP13" i="21"/>
  <c r="HP10" i="20"/>
  <c r="HP11" i="20" s="1"/>
  <c r="DH27" i="20"/>
  <c r="DH12" i="21"/>
  <c r="DH14" i="21" s="1"/>
  <c r="DH15" i="19"/>
  <c r="DH39" i="19" s="1"/>
  <c r="HQ23" i="19"/>
  <c r="HR22" i="19"/>
  <c r="HP33" i="19" l="1"/>
  <c r="HO35" i="19"/>
  <c r="HN37" i="19"/>
  <c r="HN8" i="21"/>
  <c r="HN9" i="21" s="1"/>
  <c r="HN16" i="21"/>
  <c r="HR23" i="19"/>
  <c r="HS22" i="19"/>
  <c r="HQ13" i="21"/>
  <c r="HQ10" i="20"/>
  <c r="HQ11" i="20" s="1"/>
  <c r="DI8" i="19"/>
  <c r="DI10" i="19" s="1"/>
  <c r="DJ22" i="20"/>
  <c r="HR26" i="19"/>
  <c r="HS9" i="15"/>
  <c r="HQ7" i="21"/>
  <c r="HQ16" i="20"/>
  <c r="HQ18" i="20" s="1"/>
  <c r="HQ28" i="19"/>
  <c r="HP20" i="20"/>
  <c r="DI9" i="16"/>
  <c r="DI8" i="16"/>
  <c r="DH30" i="20"/>
  <c r="DH32" i="20" s="1"/>
  <c r="HQ20" i="20" l="1"/>
  <c r="HR13" i="21"/>
  <c r="HR10" i="20"/>
  <c r="HR11" i="20" s="1"/>
  <c r="HS23" i="19"/>
  <c r="HT22" i="19"/>
  <c r="HS26" i="19"/>
  <c r="HT9" i="15"/>
  <c r="HR28" i="19"/>
  <c r="HR7" i="21"/>
  <c r="HR16" i="20"/>
  <c r="HR18" i="20" s="1"/>
  <c r="DJ6" i="16"/>
  <c r="DJ24" i="20"/>
  <c r="DI12" i="21"/>
  <c r="DI14" i="21" s="1"/>
  <c r="DI27" i="20"/>
  <c r="DI15" i="19"/>
  <c r="DI39" i="19" s="1"/>
  <c r="HO37" i="19"/>
  <c r="HO8" i="21"/>
  <c r="HO9" i="21" s="1"/>
  <c r="HO16" i="21"/>
  <c r="HQ33" i="19"/>
  <c r="HP35" i="19"/>
  <c r="HR33" i="19" l="1"/>
  <c r="HQ35" i="19"/>
  <c r="DI30" i="20"/>
  <c r="DI32" i="20" s="1"/>
  <c r="HT26" i="19"/>
  <c r="HU9" i="15"/>
  <c r="HP37" i="19"/>
  <c r="HP8" i="21"/>
  <c r="HP9" i="21" s="1"/>
  <c r="HP16" i="21"/>
  <c r="HS7" i="21"/>
  <c r="HS28" i="19"/>
  <c r="HS16" i="20"/>
  <c r="HS18" i="20" s="1"/>
  <c r="HS13" i="21"/>
  <c r="HS10" i="20"/>
  <c r="HS11" i="20" s="1"/>
  <c r="DJ8" i="16"/>
  <c r="DJ9" i="16"/>
  <c r="HU22" i="19"/>
  <c r="HT23" i="19"/>
  <c r="DJ8" i="19"/>
  <c r="DJ10" i="19" s="1"/>
  <c r="DK22" i="20"/>
  <c r="HR20" i="20"/>
  <c r="HS20" i="20" l="1"/>
  <c r="DK6" i="16"/>
  <c r="DK24" i="20"/>
  <c r="HT10" i="20"/>
  <c r="HT11" i="20" s="1"/>
  <c r="HT13" i="21"/>
  <c r="DJ27" i="20"/>
  <c r="DJ12" i="21"/>
  <c r="DJ14" i="21" s="1"/>
  <c r="DJ15" i="19"/>
  <c r="DJ39" i="19" s="1"/>
  <c r="HU26" i="19"/>
  <c r="HV9" i="15"/>
  <c r="HU23" i="19"/>
  <c r="HV22" i="19"/>
  <c r="HQ37" i="19"/>
  <c r="HQ8" i="21"/>
  <c r="HQ9" i="21" s="1"/>
  <c r="HQ16" i="21"/>
  <c r="HT28" i="19"/>
  <c r="HT7" i="21"/>
  <c r="HT16" i="20"/>
  <c r="HT18" i="20" s="1"/>
  <c r="HS33" i="19"/>
  <c r="HR35" i="19"/>
  <c r="HT20" i="20" l="1"/>
  <c r="HV26" i="19"/>
  <c r="HW9" i="15"/>
  <c r="DK8" i="19"/>
  <c r="DK10" i="19" s="1"/>
  <c r="DL22" i="20"/>
  <c r="HU7" i="21"/>
  <c r="HU16" i="20"/>
  <c r="HU18" i="20" s="1"/>
  <c r="HU28" i="19"/>
  <c r="HU10" i="20"/>
  <c r="HU11" i="20" s="1"/>
  <c r="HU13" i="21"/>
  <c r="DJ30" i="20"/>
  <c r="DJ32" i="20" s="1"/>
  <c r="DK9" i="16"/>
  <c r="DK8" i="16"/>
  <c r="HR8" i="21"/>
  <c r="HR9" i="21" s="1"/>
  <c r="HR37" i="19"/>
  <c r="HR16" i="21"/>
  <c r="HV23" i="19"/>
  <c r="HW22" i="19"/>
  <c r="HT33" i="19"/>
  <c r="HS35" i="19"/>
  <c r="HW23" i="19" l="1"/>
  <c r="HX22" i="19"/>
  <c r="HS37" i="19"/>
  <c r="HS8" i="21"/>
  <c r="HS9" i="21" s="1"/>
  <c r="HS16" i="21"/>
  <c r="HU20" i="20"/>
  <c r="HU33" i="19"/>
  <c r="HT35" i="19"/>
  <c r="DL6" i="16"/>
  <c r="DL24" i="20"/>
  <c r="HV13" i="21"/>
  <c r="HV10" i="20"/>
  <c r="HV11" i="20" s="1"/>
  <c r="DK27" i="20"/>
  <c r="DK12" i="21"/>
  <c r="DK14" i="21" s="1"/>
  <c r="DK15" i="19"/>
  <c r="DK39" i="19" s="1"/>
  <c r="HX9" i="15"/>
  <c r="HW26" i="19"/>
  <c r="HV7" i="21"/>
  <c r="HV16" i="20"/>
  <c r="HV18" i="20" s="1"/>
  <c r="HV28" i="19"/>
  <c r="HV20" i="20" l="1"/>
  <c r="HV33" i="19"/>
  <c r="HU35" i="19"/>
  <c r="DK30" i="20"/>
  <c r="DK32" i="20" s="1"/>
  <c r="DL8" i="19"/>
  <c r="DL10" i="19" s="1"/>
  <c r="DM22" i="20"/>
  <c r="HW7" i="21"/>
  <c r="HW16" i="20"/>
  <c r="HW18" i="20" s="1"/>
  <c r="HW28" i="19"/>
  <c r="DL9" i="16"/>
  <c r="DL8" i="16"/>
  <c r="HX23" i="19"/>
  <c r="HY22" i="19"/>
  <c r="HY9" i="15"/>
  <c r="HX26" i="19"/>
  <c r="HT37" i="19"/>
  <c r="HT8" i="21"/>
  <c r="HT9" i="21" s="1"/>
  <c r="HT16" i="21"/>
  <c r="HW13" i="21"/>
  <c r="HW10" i="20"/>
  <c r="HW11" i="20" s="1"/>
  <c r="HY26" i="19" l="1"/>
  <c r="HZ9" i="15"/>
  <c r="DM6" i="16"/>
  <c r="DM24" i="20"/>
  <c r="HY23" i="19"/>
  <c r="HZ22" i="19"/>
  <c r="DL12" i="21"/>
  <c r="DL14" i="21" s="1"/>
  <c r="DL27" i="20"/>
  <c r="DL15" i="19"/>
  <c r="DL39" i="19" s="1"/>
  <c r="HX13" i="21"/>
  <c r="HX10" i="20"/>
  <c r="HX11" i="20" s="1"/>
  <c r="HU8" i="21"/>
  <c r="HU9" i="21" s="1"/>
  <c r="HU37" i="19"/>
  <c r="HU16" i="21"/>
  <c r="HW20" i="20"/>
  <c r="HW33" i="19"/>
  <c r="HV35" i="19"/>
  <c r="HX7" i="21"/>
  <c r="HX16" i="20"/>
  <c r="HX18" i="20" s="1"/>
  <c r="HX28" i="19"/>
  <c r="HX20" i="20" l="1"/>
  <c r="DL30" i="20"/>
  <c r="DL32" i="20" s="1"/>
  <c r="HY13" i="21"/>
  <c r="HY10" i="20"/>
  <c r="HY11" i="20" s="1"/>
  <c r="DM8" i="19"/>
  <c r="DM10" i="19" s="1"/>
  <c r="DN22" i="20"/>
  <c r="HZ23" i="19"/>
  <c r="IA22" i="19"/>
  <c r="HV8" i="21"/>
  <c r="HV9" i="21" s="1"/>
  <c r="HV37" i="19"/>
  <c r="HV16" i="21"/>
  <c r="DM9" i="16"/>
  <c r="DM8" i="16"/>
  <c r="HX33" i="19"/>
  <c r="HW35" i="19"/>
  <c r="IA9" i="15"/>
  <c r="HZ26" i="19"/>
  <c r="HY7" i="21"/>
  <c r="HY28" i="19"/>
  <c r="HY16" i="20"/>
  <c r="HY18" i="20" s="1"/>
  <c r="DM27" i="20" l="1"/>
  <c r="DM12" i="21"/>
  <c r="DM14" i="21" s="1"/>
  <c r="DM15" i="19"/>
  <c r="DM39" i="19" s="1"/>
  <c r="HY33" i="19"/>
  <c r="HX35" i="19"/>
  <c r="HZ7" i="21"/>
  <c r="HZ28" i="19"/>
  <c r="HZ16" i="20"/>
  <c r="HZ18" i="20" s="1"/>
  <c r="HY20" i="20"/>
  <c r="DN6" i="16"/>
  <c r="DN24" i="20"/>
  <c r="IA26" i="19"/>
  <c r="IB9" i="15"/>
  <c r="IA23" i="19"/>
  <c r="IB22" i="19"/>
  <c r="HW37" i="19"/>
  <c r="HW8" i="21"/>
  <c r="HW9" i="21" s="1"/>
  <c r="HW16" i="21"/>
  <c r="HZ13" i="21"/>
  <c r="HZ10" i="20"/>
  <c r="HZ11" i="20" s="1"/>
  <c r="DN8" i="16" l="1"/>
  <c r="DN9" i="16"/>
  <c r="HX8" i="21"/>
  <c r="HX9" i="21" s="1"/>
  <c r="HX37" i="19"/>
  <c r="HX16" i="21"/>
  <c r="IA13" i="21"/>
  <c r="IA10" i="20"/>
  <c r="IA11" i="20" s="1"/>
  <c r="IB26" i="19"/>
  <c r="IC9" i="15"/>
  <c r="DN8" i="19"/>
  <c r="DN10" i="19" s="1"/>
  <c r="DO22" i="20"/>
  <c r="IA7" i="21"/>
  <c r="IA28" i="19"/>
  <c r="IA16" i="20"/>
  <c r="IA18" i="20" s="1"/>
  <c r="HZ33" i="19"/>
  <c r="HY35" i="19"/>
  <c r="HZ20" i="20"/>
  <c r="IB23" i="19"/>
  <c r="IC22" i="19"/>
  <c r="DM30" i="20"/>
  <c r="DM32" i="20" s="1"/>
  <c r="HY37" i="19" l="1"/>
  <c r="HY8" i="21"/>
  <c r="HY9" i="21" s="1"/>
  <c r="HY16" i="21"/>
  <c r="IB28" i="19"/>
  <c r="IB7" i="21"/>
  <c r="IB16" i="20"/>
  <c r="IB18" i="20" s="1"/>
  <c r="IA33" i="19"/>
  <c r="HZ35" i="19"/>
  <c r="IA20" i="20"/>
  <c r="IC23" i="19"/>
  <c r="ID22" i="19"/>
  <c r="IB13" i="21"/>
  <c r="IB10" i="20"/>
  <c r="IB11" i="20" s="1"/>
  <c r="DO6" i="16"/>
  <c r="DO24" i="20"/>
  <c r="DN27" i="20"/>
  <c r="DN12" i="21"/>
  <c r="DN14" i="21" s="1"/>
  <c r="DN15" i="19"/>
  <c r="DN39" i="19" s="1"/>
  <c r="IC26" i="19"/>
  <c r="ID9" i="15"/>
  <c r="DO9" i="16" l="1"/>
  <c r="DO8" i="16"/>
  <c r="IB33" i="19"/>
  <c r="IA35" i="19"/>
  <c r="ID26" i="19"/>
  <c r="IE9" i="15"/>
  <c r="IB20" i="20"/>
  <c r="IE22" i="19"/>
  <c r="ID23" i="19"/>
  <c r="DN30" i="20"/>
  <c r="DN32" i="20" s="1"/>
  <c r="IC13" i="21"/>
  <c r="IC10" i="20"/>
  <c r="IC11" i="20" s="1"/>
  <c r="HZ8" i="21"/>
  <c r="HZ9" i="21" s="1"/>
  <c r="HZ37" i="19"/>
  <c r="HZ16" i="21"/>
  <c r="IC28" i="19"/>
  <c r="IC7" i="21"/>
  <c r="IC16" i="20"/>
  <c r="IC18" i="20" s="1"/>
  <c r="DO8" i="19"/>
  <c r="DO10" i="19" s="1"/>
  <c r="DP22" i="20"/>
  <c r="DP6" i="16" l="1"/>
  <c r="DP24" i="20"/>
  <c r="IF9" i="15"/>
  <c r="IE26" i="19"/>
  <c r="DO27" i="20"/>
  <c r="DO12" i="21"/>
  <c r="DO14" i="21" s="1"/>
  <c r="DO15" i="19"/>
  <c r="DO39" i="19" s="1"/>
  <c r="ID7" i="21"/>
  <c r="ID16" i="20"/>
  <c r="ID18" i="20" s="1"/>
  <c r="ID28" i="19"/>
  <c r="IA8" i="21"/>
  <c r="IA9" i="21" s="1"/>
  <c r="IA37" i="19"/>
  <c r="IA16" i="21"/>
  <c r="IC33" i="19"/>
  <c r="IB35" i="19"/>
  <c r="ID13" i="21"/>
  <c r="ID10" i="20"/>
  <c r="ID11" i="20" s="1"/>
  <c r="IC20" i="20"/>
  <c r="IE23" i="19"/>
  <c r="IF22" i="19"/>
  <c r="ID20" i="20" l="1"/>
  <c r="IF26" i="19"/>
  <c r="IG9" i="15"/>
  <c r="ID33" i="19"/>
  <c r="IC35" i="19"/>
  <c r="IE13" i="21"/>
  <c r="IE10" i="20"/>
  <c r="IE11" i="20" s="1"/>
  <c r="IB37" i="19"/>
  <c r="IB8" i="21"/>
  <c r="IB9" i="21" s="1"/>
  <c r="IB16" i="21"/>
  <c r="IF23" i="19"/>
  <c r="IG22" i="19"/>
  <c r="DO30" i="20"/>
  <c r="DO32" i="20" s="1"/>
  <c r="IE7" i="21"/>
  <c r="IE28" i="19"/>
  <c r="IE16" i="20"/>
  <c r="IE18" i="20" s="1"/>
  <c r="DP8" i="19"/>
  <c r="DP10" i="19" s="1"/>
  <c r="DQ22" i="20"/>
  <c r="DP8" i="16"/>
  <c r="DP9" i="16"/>
  <c r="IE20" i="20" l="1"/>
  <c r="DQ6" i="16"/>
  <c r="DQ24" i="20"/>
  <c r="IE33" i="19"/>
  <c r="ID35" i="19"/>
  <c r="IG23" i="19"/>
  <c r="IH22" i="19"/>
  <c r="IH23" i="19" s="1"/>
  <c r="IC8" i="21"/>
  <c r="IC9" i="21" s="1"/>
  <c r="IC37" i="19"/>
  <c r="IC16" i="21"/>
  <c r="DP27" i="20"/>
  <c r="DP12" i="21"/>
  <c r="DP14" i="21" s="1"/>
  <c r="DP15" i="19"/>
  <c r="DP39" i="19" s="1"/>
  <c r="IF13" i="21"/>
  <c r="IF10" i="20"/>
  <c r="IF11" i="20" s="1"/>
  <c r="IG26" i="19"/>
  <c r="IH9" i="15"/>
  <c r="IH26" i="19" s="1"/>
  <c r="IF7" i="21"/>
  <c r="IF28" i="19"/>
  <c r="IF16" i="20"/>
  <c r="IF18" i="20" s="1"/>
  <c r="IF20" i="20" l="1"/>
  <c r="IH13" i="21"/>
  <c r="IH10" i="20"/>
  <c r="IH11" i="20" s="1"/>
  <c r="IG13" i="21"/>
  <c r="IG10" i="20"/>
  <c r="IG11" i="20" s="1"/>
  <c r="DP30" i="20"/>
  <c r="DP32" i="20" s="1"/>
  <c r="ID37" i="19"/>
  <c r="ID8" i="21"/>
  <c r="ID9" i="21" s="1"/>
  <c r="ID16" i="21"/>
  <c r="IF33" i="19"/>
  <c r="IE35" i="19"/>
  <c r="IH16" i="20"/>
  <c r="IH18" i="20" s="1"/>
  <c r="IH28" i="19"/>
  <c r="IH7" i="21"/>
  <c r="DQ8" i="19"/>
  <c r="DQ10" i="19" s="1"/>
  <c r="DR22" i="20"/>
  <c r="IG16" i="20"/>
  <c r="IG18" i="20" s="1"/>
  <c r="IG7" i="21"/>
  <c r="IG28" i="19"/>
  <c r="DQ8" i="16"/>
  <c r="DQ9" i="16"/>
  <c r="IH20" i="20" l="1"/>
  <c r="IG20" i="20"/>
  <c r="IE8" i="21"/>
  <c r="IE9" i="21" s="1"/>
  <c r="IE37" i="19"/>
  <c r="IE16" i="21"/>
  <c r="IG33" i="19"/>
  <c r="IF35" i="19"/>
  <c r="DR6" i="16"/>
  <c r="DR24" i="20"/>
  <c r="DQ12" i="21"/>
  <c r="DQ14" i="21" s="1"/>
  <c r="DQ27" i="20"/>
  <c r="DQ15" i="19"/>
  <c r="DQ39" i="19" s="1"/>
  <c r="IH33" i="19" l="1"/>
  <c r="IH35" i="19" s="1"/>
  <c r="IG35" i="19"/>
  <c r="DQ30" i="20"/>
  <c r="DQ32" i="20" s="1"/>
  <c r="DR8" i="19"/>
  <c r="DR10" i="19" s="1"/>
  <c r="DS22" i="20"/>
  <c r="DR8" i="16"/>
  <c r="DR9" i="16"/>
  <c r="IF8" i="21"/>
  <c r="IF9" i="21" s="1"/>
  <c r="IF37" i="19"/>
  <c r="IF16" i="21"/>
  <c r="DS6" i="16" l="1"/>
  <c r="DS24" i="20"/>
  <c r="DR27" i="20"/>
  <c r="DR12" i="21"/>
  <c r="DR14" i="21" s="1"/>
  <c r="DR15" i="19"/>
  <c r="DR39" i="19" s="1"/>
  <c r="IG8" i="21"/>
  <c r="IG9" i="21" s="1"/>
  <c r="IG37" i="19"/>
  <c r="IG16" i="21"/>
  <c r="IH8" i="21"/>
  <c r="IH9" i="21" s="1"/>
  <c r="IH37" i="19"/>
  <c r="IH16" i="21"/>
  <c r="DR30" i="20" l="1"/>
  <c r="DR32" i="20" s="1"/>
  <c r="M5" i="22" s="1"/>
  <c r="M6" i="22" s="1"/>
  <c r="DS8" i="19"/>
  <c r="DS10" i="19" s="1"/>
  <c r="DT22" i="20"/>
  <c r="DS8" i="16"/>
  <c r="DS9" i="16"/>
  <c r="DT6" i="16" l="1"/>
  <c r="DT24" i="20"/>
  <c r="DS12" i="21"/>
  <c r="DS14" i="21" s="1"/>
  <c r="DS27" i="20"/>
  <c r="DS15" i="19"/>
  <c r="DS39" i="19" s="1"/>
  <c r="DS30" i="20" l="1"/>
  <c r="DS32" i="20"/>
  <c r="DT8" i="19"/>
  <c r="DT10" i="19" s="1"/>
  <c r="DU22" i="20"/>
  <c r="DT8" i="16"/>
  <c r="DT9" i="16"/>
  <c r="DU6" i="16" l="1"/>
  <c r="DU24" i="20"/>
  <c r="DT27" i="20"/>
  <c r="DT12" i="21"/>
  <c r="DT14" i="21" s="1"/>
  <c r="DT15" i="19"/>
  <c r="DT39" i="19" s="1"/>
  <c r="DT30" i="20" l="1"/>
  <c r="DT32" i="20" s="1"/>
  <c r="DU8" i="19"/>
  <c r="DU10" i="19" s="1"/>
  <c r="DV22" i="20"/>
  <c r="DU9" i="16"/>
  <c r="DU8" i="16"/>
  <c r="DV6" i="16" l="1"/>
  <c r="DV24" i="20"/>
  <c r="DU27" i="20"/>
  <c r="DU12" i="21"/>
  <c r="DU14" i="21" s="1"/>
  <c r="DU15" i="19"/>
  <c r="DU39" i="19" s="1"/>
  <c r="DU30" i="20" l="1"/>
  <c r="DU32" i="20" s="1"/>
  <c r="DV8" i="19"/>
  <c r="DV10" i="19" s="1"/>
  <c r="DW22" i="20"/>
  <c r="DV8" i="16"/>
  <c r="DV9" i="16"/>
  <c r="DW6" i="16" l="1"/>
  <c r="DW24" i="20"/>
  <c r="DV27" i="20"/>
  <c r="DV12" i="21"/>
  <c r="DV14" i="21" s="1"/>
  <c r="DV15" i="19"/>
  <c r="DV39" i="19" s="1"/>
  <c r="DW8" i="19" l="1"/>
  <c r="DW10" i="19" s="1"/>
  <c r="DX22" i="20"/>
  <c r="DV30" i="20"/>
  <c r="DV32" i="20" s="1"/>
  <c r="DW9" i="16"/>
  <c r="DW8" i="16"/>
  <c r="DX6" i="16" l="1"/>
  <c r="DX24" i="20"/>
  <c r="DW27" i="20"/>
  <c r="DW12" i="21"/>
  <c r="DW14" i="21" s="1"/>
  <c r="DW15" i="19"/>
  <c r="DW39" i="19" s="1"/>
  <c r="DW30" i="20" l="1"/>
  <c r="DW32" i="20" s="1"/>
  <c r="DX8" i="19"/>
  <c r="DX10" i="19" s="1"/>
  <c r="DY22" i="20"/>
  <c r="DX9" i="16"/>
  <c r="DX8" i="16"/>
  <c r="DY6" i="16" l="1"/>
  <c r="DY24" i="20"/>
  <c r="DX27" i="20"/>
  <c r="DX12" i="21"/>
  <c r="DX14" i="21" s="1"/>
  <c r="DX15" i="19"/>
  <c r="DX39" i="19" s="1"/>
  <c r="DX30" i="20" l="1"/>
  <c r="DX32" i="20" s="1"/>
  <c r="DY8" i="19"/>
  <c r="DY10" i="19" s="1"/>
  <c r="DZ22" i="20"/>
  <c r="DY9" i="16"/>
  <c r="DY8" i="16"/>
  <c r="DZ6" i="16" l="1"/>
  <c r="DZ24" i="20"/>
  <c r="DY12" i="21"/>
  <c r="DY14" i="21" s="1"/>
  <c r="DY27" i="20"/>
  <c r="DY15" i="19"/>
  <c r="DY39" i="19" s="1"/>
  <c r="DY30" i="20" l="1"/>
  <c r="DY32" i="20" s="1"/>
  <c r="DZ8" i="19"/>
  <c r="DZ10" i="19" s="1"/>
  <c r="EA22" i="20"/>
  <c r="DZ9" i="16"/>
  <c r="DZ8" i="16"/>
  <c r="EA6" i="16" l="1"/>
  <c r="EA24" i="20"/>
  <c r="DZ12" i="21"/>
  <c r="DZ14" i="21" s="1"/>
  <c r="DZ27" i="20"/>
  <c r="DZ15" i="19"/>
  <c r="DZ39" i="19" s="1"/>
  <c r="DZ30" i="20" l="1"/>
  <c r="DZ32" i="20" s="1"/>
  <c r="EA8" i="19"/>
  <c r="EA10" i="19" s="1"/>
  <c r="EB22" i="20"/>
  <c r="EA8" i="16"/>
  <c r="EA9" i="16"/>
  <c r="EB6" i="16" l="1"/>
  <c r="EB24" i="20"/>
  <c r="EA27" i="20"/>
  <c r="EA12" i="21"/>
  <c r="EA14" i="21" s="1"/>
  <c r="EA15" i="19"/>
  <c r="EA39" i="19" s="1"/>
  <c r="EA30" i="20" l="1"/>
  <c r="EA32" i="20" s="1"/>
  <c r="EB8" i="19"/>
  <c r="EB10" i="19" s="1"/>
  <c r="EC22" i="20"/>
  <c r="EB8" i="16"/>
  <c r="EB9" i="16"/>
  <c r="EC6" i="16" l="1"/>
  <c r="EC24" i="20"/>
  <c r="EB12" i="21"/>
  <c r="EB14" i="21" s="1"/>
  <c r="EB27" i="20"/>
  <c r="EB15" i="19"/>
  <c r="EB39" i="19" s="1"/>
  <c r="EB30" i="20" l="1"/>
  <c r="EB32" i="20" s="1"/>
  <c r="EC8" i="19"/>
  <c r="EC10" i="19" s="1"/>
  <c r="ED22" i="20"/>
  <c r="EC8" i="16"/>
  <c r="EC9" i="16"/>
  <c r="ED6" i="16" l="1"/>
  <c r="ED24" i="20"/>
  <c r="EC27" i="20"/>
  <c r="EC12" i="21"/>
  <c r="EC14" i="21" s="1"/>
  <c r="EC15" i="19"/>
  <c r="EC39" i="19" s="1"/>
  <c r="EC30" i="20" l="1"/>
  <c r="EC32" i="20" s="1"/>
  <c r="ED8" i="19"/>
  <c r="ED10" i="19" s="1"/>
  <c r="EE22" i="20"/>
  <c r="ED8" i="16"/>
  <c r="ED9" i="16"/>
  <c r="EE6" i="16" l="1"/>
  <c r="EE24" i="20"/>
  <c r="ED12" i="21"/>
  <c r="ED14" i="21" s="1"/>
  <c r="ED27" i="20"/>
  <c r="ED15" i="19"/>
  <c r="ED39" i="19" s="1"/>
  <c r="ED30" i="20" l="1"/>
  <c r="ED32" i="20" s="1"/>
  <c r="N5" i="22" s="1"/>
  <c r="N6" i="22" s="1"/>
  <c r="EE8" i="19"/>
  <c r="EE10" i="19" s="1"/>
  <c r="EF22" i="20"/>
  <c r="EE8" i="16"/>
  <c r="EE9" i="16"/>
  <c r="EF6" i="16" l="1"/>
  <c r="EF24" i="20"/>
  <c r="EE12" i="21"/>
  <c r="EE14" i="21" s="1"/>
  <c r="EE27" i="20"/>
  <c r="EE15" i="19"/>
  <c r="EE39" i="19" s="1"/>
  <c r="EE30" i="20" l="1"/>
  <c r="EE32" i="20" s="1"/>
  <c r="EF8" i="19"/>
  <c r="EF10" i="19" s="1"/>
  <c r="EG22" i="20"/>
  <c r="EF9" i="16"/>
  <c r="EF8" i="16"/>
  <c r="EF12" i="21" l="1"/>
  <c r="EF14" i="21" s="1"/>
  <c r="EF27" i="20"/>
  <c r="EF15" i="19"/>
  <c r="EF39" i="19" s="1"/>
  <c r="EG6" i="16"/>
  <c r="EG24" i="20"/>
  <c r="EG8" i="19" l="1"/>
  <c r="EG10" i="19" s="1"/>
  <c r="EH22" i="20"/>
  <c r="EG9" i="16"/>
  <c r="EG8" i="16"/>
  <c r="EF30" i="20"/>
  <c r="EF32" i="20" s="1"/>
  <c r="EH6" i="16" l="1"/>
  <c r="EH24" i="20"/>
  <c r="EG27" i="20"/>
  <c r="EG12" i="21"/>
  <c r="EG14" i="21" s="1"/>
  <c r="EG15" i="19"/>
  <c r="EG39" i="19" s="1"/>
  <c r="EG30" i="20" l="1"/>
  <c r="EG32" i="20" s="1"/>
  <c r="EH8" i="19"/>
  <c r="EH10" i="19" s="1"/>
  <c r="EI22" i="20"/>
  <c r="EH9" i="16"/>
  <c r="EH8" i="16"/>
  <c r="EI6" i="16" l="1"/>
  <c r="EI24" i="20"/>
  <c r="EH27" i="20"/>
  <c r="EH12" i="21"/>
  <c r="EH14" i="21" s="1"/>
  <c r="EH15" i="19"/>
  <c r="EH39" i="19" s="1"/>
  <c r="EH30" i="20" l="1"/>
  <c r="EH32" i="20" s="1"/>
  <c r="EI8" i="19"/>
  <c r="EI10" i="19" s="1"/>
  <c r="EJ22" i="20"/>
  <c r="EI8" i="16"/>
  <c r="EI9" i="16"/>
  <c r="EJ6" i="16" l="1"/>
  <c r="EJ24" i="20"/>
  <c r="EI27" i="20"/>
  <c r="EI12" i="21"/>
  <c r="EI14" i="21" s="1"/>
  <c r="EI15" i="19"/>
  <c r="EI39" i="19" s="1"/>
  <c r="EI30" i="20" l="1"/>
  <c r="EI32" i="20" s="1"/>
  <c r="S5" i="22" s="1"/>
  <c r="S6" i="22" s="1"/>
  <c r="EJ8" i="19"/>
  <c r="EJ10" i="19" s="1"/>
  <c r="EK22" i="20"/>
  <c r="EJ9" i="16"/>
  <c r="EJ8" i="16"/>
  <c r="EK6" i="16" l="1"/>
  <c r="EK24" i="20"/>
  <c r="EJ27" i="20"/>
  <c r="EJ12" i="21"/>
  <c r="EJ14" i="21" s="1"/>
  <c r="EJ15" i="19"/>
  <c r="EJ39" i="19" s="1"/>
  <c r="EJ30" i="20" l="1"/>
  <c r="EJ32" i="20" s="1"/>
  <c r="EK8" i="19"/>
  <c r="EK10" i="19" s="1"/>
  <c r="EL22" i="20"/>
  <c r="EK9" i="16"/>
  <c r="EK8" i="16"/>
  <c r="EL6" i="16" l="1"/>
  <c r="EL24" i="20"/>
  <c r="EK27" i="20"/>
  <c r="EK12" i="21"/>
  <c r="EK14" i="21" s="1"/>
  <c r="EK15" i="19"/>
  <c r="EK39" i="19" s="1"/>
  <c r="EK30" i="20" l="1"/>
  <c r="EK32" i="20" s="1"/>
  <c r="EL8" i="19"/>
  <c r="EL10" i="19" s="1"/>
  <c r="EM22" i="20"/>
  <c r="EL9" i="16"/>
  <c r="EL8" i="16"/>
  <c r="EL27" i="20" l="1"/>
  <c r="EL12" i="21"/>
  <c r="EL14" i="21" s="1"/>
  <c r="EL15" i="19"/>
  <c r="EL39" i="19" s="1"/>
  <c r="EM6" i="16"/>
  <c r="EM24" i="20"/>
  <c r="EM8" i="19" l="1"/>
  <c r="EM10" i="19" s="1"/>
  <c r="EN22" i="20"/>
  <c r="EM9" i="16"/>
  <c r="EM8" i="16"/>
  <c r="EL30" i="20"/>
  <c r="EL32" i="20" s="1"/>
  <c r="EN6" i="16" l="1"/>
  <c r="EN24" i="20"/>
  <c r="EM27" i="20"/>
  <c r="EM12" i="21"/>
  <c r="EM14" i="21" s="1"/>
  <c r="EM15" i="19"/>
  <c r="EM39" i="19" s="1"/>
  <c r="EM30" i="20" l="1"/>
  <c r="EM32" i="20" s="1"/>
  <c r="EO22" i="20"/>
  <c r="EN8" i="19"/>
  <c r="EN10" i="19" s="1"/>
  <c r="EN8" i="16"/>
  <c r="EN9" i="16"/>
  <c r="EN27" i="20" l="1"/>
  <c r="EN12" i="21"/>
  <c r="EN14" i="21" s="1"/>
  <c r="EN15" i="19"/>
  <c r="EN39" i="19" s="1"/>
  <c r="EO6" i="16"/>
  <c r="EO24" i="20"/>
  <c r="EO8" i="19" l="1"/>
  <c r="EO10" i="19" s="1"/>
  <c r="EP22" i="20"/>
  <c r="EO9" i="16"/>
  <c r="EO8" i="16"/>
  <c r="EN30" i="20"/>
  <c r="EN32" i="20" s="1"/>
  <c r="EP6" i="16" l="1"/>
  <c r="EP24" i="20"/>
  <c r="EO27" i="20"/>
  <c r="EO12" i="21"/>
  <c r="EO14" i="21" s="1"/>
  <c r="EO15" i="19"/>
  <c r="EO39" i="19" s="1"/>
  <c r="EO30" i="20" l="1"/>
  <c r="EO32" i="20" s="1"/>
  <c r="EP8" i="19"/>
  <c r="EP10" i="19" s="1"/>
  <c r="EQ22" i="20"/>
  <c r="EP9" i="16"/>
  <c r="EP8" i="16"/>
  <c r="EP27" i="20" l="1"/>
  <c r="EP12" i="21"/>
  <c r="EP14" i="21" s="1"/>
  <c r="EP15" i="19"/>
  <c r="EP39" i="19" s="1"/>
  <c r="EQ6" i="16"/>
  <c r="EQ24" i="20"/>
  <c r="EQ8" i="19" l="1"/>
  <c r="EQ10" i="19" s="1"/>
  <c r="ER22" i="20"/>
  <c r="EQ9" i="16"/>
  <c r="EQ8" i="16"/>
  <c r="EP30" i="20"/>
  <c r="EP32" i="20" s="1"/>
  <c r="O5" i="22" s="1"/>
  <c r="O6" i="22" s="1"/>
  <c r="ER6" i="16" l="1"/>
  <c r="ER24" i="20"/>
  <c r="EQ12" i="21"/>
  <c r="EQ14" i="21" s="1"/>
  <c r="EQ27" i="20"/>
  <c r="EQ15" i="19"/>
  <c r="EQ39" i="19" s="1"/>
  <c r="EQ30" i="20" l="1"/>
  <c r="EQ32" i="20" s="1"/>
  <c r="ER8" i="19"/>
  <c r="ER10" i="19" s="1"/>
  <c r="ES22" i="20"/>
  <c r="ER9" i="16"/>
  <c r="ER8" i="16"/>
  <c r="ES6" i="16" l="1"/>
  <c r="ES24" i="20"/>
  <c r="ER27" i="20"/>
  <c r="ER12" i="21"/>
  <c r="ER14" i="21" s="1"/>
  <c r="ER15" i="19"/>
  <c r="ER39" i="19" s="1"/>
  <c r="ER30" i="20" l="1"/>
  <c r="ER32" i="20" s="1"/>
  <c r="ES8" i="19"/>
  <c r="ES10" i="19" s="1"/>
  <c r="ET22" i="20"/>
  <c r="ES9" i="16"/>
  <c r="ES8" i="16"/>
  <c r="ET6" i="16" l="1"/>
  <c r="ET24" i="20"/>
  <c r="ES12" i="21"/>
  <c r="ES14" i="21" s="1"/>
  <c r="ES27" i="20"/>
  <c r="ES15" i="19"/>
  <c r="ES39" i="19" s="1"/>
  <c r="ES30" i="20" l="1"/>
  <c r="ES32" i="20" s="1"/>
  <c r="ET8" i="19"/>
  <c r="ET10" i="19" s="1"/>
  <c r="EU22" i="20"/>
  <c r="ET8" i="16"/>
  <c r="ET9" i="16"/>
  <c r="EU6" i="16" l="1"/>
  <c r="EU24" i="20"/>
  <c r="ET27" i="20"/>
  <c r="ET12" i="21"/>
  <c r="ET14" i="21" s="1"/>
  <c r="ET15" i="19"/>
  <c r="ET39" i="19" s="1"/>
  <c r="ET30" i="20" l="1"/>
  <c r="ET32" i="20" s="1"/>
  <c r="EU8" i="19"/>
  <c r="EU10" i="19" s="1"/>
  <c r="EV22" i="20"/>
  <c r="EU8" i="16"/>
  <c r="EU9" i="16"/>
  <c r="EV6" i="16" l="1"/>
  <c r="EV24" i="20"/>
  <c r="EU12" i="21"/>
  <c r="EU14" i="21" s="1"/>
  <c r="EU27" i="20"/>
  <c r="EU15" i="19"/>
  <c r="EU39" i="19" s="1"/>
  <c r="EU30" i="20" l="1"/>
  <c r="EU32" i="20" s="1"/>
  <c r="T5" i="22" s="1"/>
  <c r="T6" i="22" s="1"/>
  <c r="EV8" i="19"/>
  <c r="EV10" i="19" s="1"/>
  <c r="EW22" i="20"/>
  <c r="EV8" i="16"/>
  <c r="EV9" i="16"/>
  <c r="EW6" i="16" l="1"/>
  <c r="EW24" i="20"/>
  <c r="EV12" i="21"/>
  <c r="EV14" i="21" s="1"/>
  <c r="EV27" i="20"/>
  <c r="EV15" i="19"/>
  <c r="EV39" i="19" s="1"/>
  <c r="EV30" i="20" l="1"/>
  <c r="EV32" i="20"/>
  <c r="EW8" i="19"/>
  <c r="EW10" i="19" s="1"/>
  <c r="EX22" i="20"/>
  <c r="EW9" i="16"/>
  <c r="EW8" i="16"/>
  <c r="EX6" i="16" l="1"/>
  <c r="EX24" i="20"/>
  <c r="EW27" i="20"/>
  <c r="EW12" i="21"/>
  <c r="EW14" i="21" s="1"/>
  <c r="EW15" i="19"/>
  <c r="EW39" i="19" s="1"/>
  <c r="EW30" i="20" l="1"/>
  <c r="EW32" i="20" s="1"/>
  <c r="EX8" i="19"/>
  <c r="EX10" i="19" s="1"/>
  <c r="EY22" i="20"/>
  <c r="EX8" i="16"/>
  <c r="EX9" i="16"/>
  <c r="EY6" i="16" l="1"/>
  <c r="EY24" i="20"/>
  <c r="EX27" i="20"/>
  <c r="EX12" i="21"/>
  <c r="EX14" i="21" s="1"/>
  <c r="EX15" i="19"/>
  <c r="EX39" i="19" s="1"/>
  <c r="EX30" i="20" l="1"/>
  <c r="EX32" i="20" s="1"/>
  <c r="EY8" i="19"/>
  <c r="EY10" i="19" s="1"/>
  <c r="EZ22" i="20"/>
  <c r="EY8" i="16"/>
  <c r="EY9" i="16"/>
  <c r="EZ6" i="16" l="1"/>
  <c r="EZ24" i="20"/>
  <c r="EY27" i="20"/>
  <c r="EY12" i="21"/>
  <c r="EY14" i="21" s="1"/>
  <c r="EY15" i="19"/>
  <c r="EY39" i="19" s="1"/>
  <c r="EY30" i="20" l="1"/>
  <c r="EY32" i="20" s="1"/>
  <c r="EZ8" i="19"/>
  <c r="EZ10" i="19" s="1"/>
  <c r="FA22" i="20"/>
  <c r="EZ9" i="16"/>
  <c r="EZ8" i="16"/>
  <c r="FA6" i="16" l="1"/>
  <c r="FA24" i="20"/>
  <c r="EZ27" i="20"/>
  <c r="EZ12" i="21"/>
  <c r="EZ14" i="21" s="1"/>
  <c r="EZ15" i="19"/>
  <c r="EZ39" i="19" s="1"/>
  <c r="EZ30" i="20" l="1"/>
  <c r="EZ32" i="20" s="1"/>
  <c r="FA8" i="19"/>
  <c r="FA10" i="19" s="1"/>
  <c r="FB22" i="20"/>
  <c r="FA8" i="16"/>
  <c r="FA9" i="16"/>
  <c r="FB6" i="16" l="1"/>
  <c r="FB24" i="20"/>
  <c r="FA27" i="20"/>
  <c r="FA12" i="21"/>
  <c r="FA14" i="21" s="1"/>
  <c r="FA15" i="19"/>
  <c r="FA39" i="19" s="1"/>
  <c r="FA30" i="20" l="1"/>
  <c r="FA32" i="20" s="1"/>
  <c r="FB8" i="19"/>
  <c r="FB10" i="19" s="1"/>
  <c r="FC22" i="20"/>
  <c r="FB8" i="16"/>
  <c r="FB9" i="16"/>
  <c r="FC6" i="16" l="1"/>
  <c r="FC24" i="20"/>
  <c r="FB27" i="20"/>
  <c r="FB12" i="21"/>
  <c r="FB14" i="21" s="1"/>
  <c r="FB15" i="19"/>
  <c r="FB39" i="19" s="1"/>
  <c r="FB30" i="20" l="1"/>
  <c r="FB32" i="20" s="1"/>
  <c r="P5" i="22" s="1"/>
  <c r="P6" i="22" s="1"/>
  <c r="FD22" i="20"/>
  <c r="FC8" i="19"/>
  <c r="FC10" i="19" s="1"/>
  <c r="FC9" i="16"/>
  <c r="FC8" i="16"/>
  <c r="FC12" i="21" l="1"/>
  <c r="FC14" i="21" s="1"/>
  <c r="FC27" i="20"/>
  <c r="FC15" i="19"/>
  <c r="FC39" i="19" s="1"/>
  <c r="FD6" i="16"/>
  <c r="FD24" i="20"/>
  <c r="FD8" i="19" l="1"/>
  <c r="FD10" i="19" s="1"/>
  <c r="FE22" i="20"/>
  <c r="FD9" i="16"/>
  <c r="FD8" i="16"/>
  <c r="FC30" i="20"/>
  <c r="FC32" i="20" s="1"/>
  <c r="FE6" i="16" l="1"/>
  <c r="FE24" i="20"/>
  <c r="FD27" i="20"/>
  <c r="FD12" i="21"/>
  <c r="FD14" i="21" s="1"/>
  <c r="FD15" i="19"/>
  <c r="FD39" i="19" s="1"/>
  <c r="FD30" i="20" l="1"/>
  <c r="FD32" i="20" s="1"/>
  <c r="FE8" i="19"/>
  <c r="FE10" i="19" s="1"/>
  <c r="FF22" i="20"/>
  <c r="FE9" i="16"/>
  <c r="FE8" i="16"/>
  <c r="FF6" i="16" l="1"/>
  <c r="FF24" i="20"/>
  <c r="FE27" i="20"/>
  <c r="FE12" i="21"/>
  <c r="FE14" i="21" s="1"/>
  <c r="FE15" i="19"/>
  <c r="FE39" i="19" s="1"/>
  <c r="FE30" i="20" l="1"/>
  <c r="FE32" i="20" s="1"/>
  <c r="FF8" i="19"/>
  <c r="FF10" i="19" s="1"/>
  <c r="FG22" i="20"/>
  <c r="FF8" i="16"/>
  <c r="FF9" i="16"/>
  <c r="FG6" i="16" l="1"/>
  <c r="FG24" i="20"/>
  <c r="FF27" i="20"/>
  <c r="FF12" i="21"/>
  <c r="FF14" i="21" s="1"/>
  <c r="FF15" i="19"/>
  <c r="FF39" i="19" s="1"/>
  <c r="FF30" i="20" l="1"/>
  <c r="FF32" i="20"/>
  <c r="FG8" i="19"/>
  <c r="FG10" i="19" s="1"/>
  <c r="FH22" i="20"/>
  <c r="FG8" i="16"/>
  <c r="FG9" i="16"/>
  <c r="FH6" i="16" l="1"/>
  <c r="FH24" i="20"/>
  <c r="FG27" i="20"/>
  <c r="FG12" i="21"/>
  <c r="FG14" i="21" s="1"/>
  <c r="FG15" i="19"/>
  <c r="FG39" i="19" s="1"/>
  <c r="FG30" i="20" l="1"/>
  <c r="FG32" i="20" s="1"/>
  <c r="U5" i="22" s="1"/>
  <c r="U6" i="22" s="1"/>
  <c r="FH8" i="19"/>
  <c r="FH10" i="19" s="1"/>
  <c r="FI22" i="20"/>
  <c r="FH9" i="16"/>
  <c r="FH8" i="16"/>
  <c r="FI6" i="16" l="1"/>
  <c r="FI24" i="20"/>
  <c r="FH12" i="21"/>
  <c r="FH14" i="21" s="1"/>
  <c r="FH27" i="20"/>
  <c r="FH15" i="19"/>
  <c r="FH39" i="19" s="1"/>
  <c r="FH30" i="20" l="1"/>
  <c r="FH32" i="20" s="1"/>
  <c r="FI8" i="19"/>
  <c r="FI10" i="19" s="1"/>
  <c r="FJ22" i="20"/>
  <c r="FI9" i="16"/>
  <c r="FI8" i="16"/>
  <c r="FJ6" i="16" l="1"/>
  <c r="FJ24" i="20"/>
  <c r="FI12" i="21"/>
  <c r="FI14" i="21" s="1"/>
  <c r="FI27" i="20"/>
  <c r="FI15" i="19"/>
  <c r="FI39" i="19" s="1"/>
  <c r="FI30" i="20" l="1"/>
  <c r="FI32" i="20" s="1"/>
  <c r="FJ8" i="19"/>
  <c r="FJ10" i="19" s="1"/>
  <c r="FK22" i="20"/>
  <c r="FJ9" i="16"/>
  <c r="FJ8" i="16"/>
  <c r="FK6" i="16" l="1"/>
  <c r="FK24" i="20"/>
  <c r="FJ27" i="20"/>
  <c r="FJ12" i="21"/>
  <c r="FJ14" i="21" s="1"/>
  <c r="FJ15" i="19"/>
  <c r="FJ39" i="19" s="1"/>
  <c r="FJ30" i="20" l="1"/>
  <c r="FJ32" i="20"/>
  <c r="FK8" i="19"/>
  <c r="FK10" i="19" s="1"/>
  <c r="FL22" i="20"/>
  <c r="FK9" i="16"/>
  <c r="FK8" i="16"/>
  <c r="FL6" i="16" l="1"/>
  <c r="FL24" i="20"/>
  <c r="FK27" i="20"/>
  <c r="FK12" i="21"/>
  <c r="FK14" i="21" s="1"/>
  <c r="FK15" i="19"/>
  <c r="FK39" i="19" s="1"/>
  <c r="FK30" i="20" l="1"/>
  <c r="FK32" i="20" s="1"/>
  <c r="FL8" i="19"/>
  <c r="FL10" i="19" s="1"/>
  <c r="FM22" i="20"/>
  <c r="FL8" i="16"/>
  <c r="FL9" i="16"/>
  <c r="FM6" i="16" l="1"/>
  <c r="FM24" i="20"/>
  <c r="FL12" i="21"/>
  <c r="FL14" i="21" s="1"/>
  <c r="FL27" i="20"/>
  <c r="FL15" i="19"/>
  <c r="FL39" i="19" s="1"/>
  <c r="FL30" i="20" l="1"/>
  <c r="FL32" i="20" s="1"/>
  <c r="FM8" i="19"/>
  <c r="FM10" i="19" s="1"/>
  <c r="FN22" i="20"/>
  <c r="FM9" i="16"/>
  <c r="FM8" i="16"/>
  <c r="FN6" i="16" l="1"/>
  <c r="FN24" i="20"/>
  <c r="FM12" i="21"/>
  <c r="FM14" i="21" s="1"/>
  <c r="FM27" i="20"/>
  <c r="FM15" i="19"/>
  <c r="FM39" i="19" s="1"/>
  <c r="FM30" i="20" l="1"/>
  <c r="FM32" i="20" s="1"/>
  <c r="FN8" i="19"/>
  <c r="FN10" i="19" s="1"/>
  <c r="FO22" i="20"/>
  <c r="FN9" i="16"/>
  <c r="FN8" i="16"/>
  <c r="FO6" i="16" l="1"/>
  <c r="FO24" i="20"/>
  <c r="FN27" i="20"/>
  <c r="FN12" i="21"/>
  <c r="FN14" i="21" s="1"/>
  <c r="FN15" i="19"/>
  <c r="FN39" i="19" s="1"/>
  <c r="FN30" i="20" l="1"/>
  <c r="FN32" i="20" s="1"/>
  <c r="Q5" i="22" s="1"/>
  <c r="Q6" i="22" s="1"/>
  <c r="FO8" i="19"/>
  <c r="FO10" i="19" s="1"/>
  <c r="FP22" i="20"/>
  <c r="FO8" i="16"/>
  <c r="FO9" i="16"/>
  <c r="FP6" i="16" l="1"/>
  <c r="FP24" i="20"/>
  <c r="FO27" i="20"/>
  <c r="FO12" i="21"/>
  <c r="FO14" i="21" s="1"/>
  <c r="FO15" i="19"/>
  <c r="FO39" i="19" s="1"/>
  <c r="FO30" i="20" l="1"/>
  <c r="FO32" i="20" s="1"/>
  <c r="FP8" i="19"/>
  <c r="FP10" i="19" s="1"/>
  <c r="FQ22" i="20"/>
  <c r="FP9" i="16"/>
  <c r="FP8" i="16"/>
  <c r="FQ6" i="16" l="1"/>
  <c r="FQ24" i="20"/>
  <c r="FP12" i="21"/>
  <c r="FP14" i="21" s="1"/>
  <c r="FP27" i="20"/>
  <c r="FP15" i="19"/>
  <c r="FP39" i="19" s="1"/>
  <c r="FP30" i="20" l="1"/>
  <c r="FP32" i="20" s="1"/>
  <c r="FQ8" i="19"/>
  <c r="FQ10" i="19" s="1"/>
  <c r="FR22" i="20"/>
  <c r="FQ8" i="16"/>
  <c r="FQ9" i="16"/>
  <c r="FR6" i="16" l="1"/>
  <c r="FR24" i="20"/>
  <c r="FQ12" i="21"/>
  <c r="FQ14" i="21" s="1"/>
  <c r="FQ27" i="20"/>
  <c r="FQ15" i="19"/>
  <c r="FQ39" i="19" s="1"/>
  <c r="FQ30" i="20" l="1"/>
  <c r="FQ32" i="20" s="1"/>
  <c r="FR8" i="19"/>
  <c r="FR10" i="19" s="1"/>
  <c r="FS22" i="20"/>
  <c r="FR8" i="16"/>
  <c r="FR9" i="16"/>
  <c r="FS6" i="16" l="1"/>
  <c r="FS24" i="20"/>
  <c r="FR27" i="20"/>
  <c r="FR12" i="21"/>
  <c r="FR14" i="21" s="1"/>
  <c r="FR15" i="19"/>
  <c r="FR39" i="19" s="1"/>
  <c r="FR30" i="20" l="1"/>
  <c r="FR32" i="20" s="1"/>
  <c r="FS8" i="19"/>
  <c r="FS10" i="19" s="1"/>
  <c r="FT22" i="20"/>
  <c r="FS9" i="16"/>
  <c r="FS8" i="16"/>
  <c r="FT6" i="16" l="1"/>
  <c r="FT24" i="20"/>
  <c r="FS27" i="20"/>
  <c r="FS12" i="21"/>
  <c r="FS14" i="21" s="1"/>
  <c r="FS15" i="19"/>
  <c r="FS39" i="19" s="1"/>
  <c r="FS30" i="20" l="1"/>
  <c r="FS32" i="20" s="1"/>
  <c r="V5" i="22" s="1"/>
  <c r="V6" i="22" s="1"/>
  <c r="FT8" i="19"/>
  <c r="FT10" i="19" s="1"/>
  <c r="FU22" i="20"/>
  <c r="FT9" i="16"/>
  <c r="FT8" i="16"/>
  <c r="FU6" i="16" l="1"/>
  <c r="FU24" i="20"/>
  <c r="FT12" i="21"/>
  <c r="FT14" i="21" s="1"/>
  <c r="FT27" i="20"/>
  <c r="FT15" i="19"/>
  <c r="FT39" i="19" s="1"/>
  <c r="FT30" i="20" l="1"/>
  <c r="FT32" i="20" s="1"/>
  <c r="FU8" i="19"/>
  <c r="FU10" i="19" s="1"/>
  <c r="FV22" i="20"/>
  <c r="FU9" i="16"/>
  <c r="FU8" i="16"/>
  <c r="FV6" i="16" l="1"/>
  <c r="FV24" i="20"/>
  <c r="FU27" i="20"/>
  <c r="FU12" i="21"/>
  <c r="FU14" i="21" s="1"/>
  <c r="FU15" i="19"/>
  <c r="FU39" i="19" s="1"/>
  <c r="FU30" i="20" l="1"/>
  <c r="FU32" i="20" s="1"/>
  <c r="FV8" i="19"/>
  <c r="FV10" i="19" s="1"/>
  <c r="FW22" i="20"/>
  <c r="FV9" i="16"/>
  <c r="FV8" i="16"/>
  <c r="FW6" i="16" l="1"/>
  <c r="FW24" i="20"/>
  <c r="FV27" i="20"/>
  <c r="FV12" i="21"/>
  <c r="FV14" i="21" s="1"/>
  <c r="FV15" i="19"/>
  <c r="FV39" i="19" s="1"/>
  <c r="FV30" i="20" l="1"/>
  <c r="FV32" i="20" s="1"/>
  <c r="FW8" i="19"/>
  <c r="FW10" i="19" s="1"/>
  <c r="FX22" i="20"/>
  <c r="FW9" i="16"/>
  <c r="FW8" i="16"/>
  <c r="FX6" i="16" l="1"/>
  <c r="FX24" i="20"/>
  <c r="FW12" i="21"/>
  <c r="FW14" i="21" s="1"/>
  <c r="FW27" i="20"/>
  <c r="FW15" i="19"/>
  <c r="FW39" i="19" s="1"/>
  <c r="FW30" i="20" l="1"/>
  <c r="FW32" i="20"/>
  <c r="FX8" i="19"/>
  <c r="FX10" i="19" s="1"/>
  <c r="FY22" i="20"/>
  <c r="FX8" i="16"/>
  <c r="FX9" i="16"/>
  <c r="FY6" i="16" l="1"/>
  <c r="FY24" i="20"/>
  <c r="FX27" i="20"/>
  <c r="FX12" i="21"/>
  <c r="FX14" i="21" s="1"/>
  <c r="FX15" i="19"/>
  <c r="FX39" i="19" s="1"/>
  <c r="FX30" i="20" l="1"/>
  <c r="FX32" i="20" s="1"/>
  <c r="FY8" i="19"/>
  <c r="FY10" i="19" s="1"/>
  <c r="FZ22" i="20"/>
  <c r="FY8" i="16"/>
  <c r="FY9" i="16"/>
  <c r="FZ6" i="16" l="1"/>
  <c r="FZ24" i="20"/>
  <c r="FY27" i="20"/>
  <c r="FY12" i="21"/>
  <c r="FY14" i="21" s="1"/>
  <c r="FY15" i="19"/>
  <c r="FY39" i="19" s="1"/>
  <c r="FY30" i="20" l="1"/>
  <c r="FY32" i="20" s="1"/>
  <c r="FZ8" i="19"/>
  <c r="FZ10" i="19" s="1"/>
  <c r="GA22" i="20"/>
  <c r="GA24" i="20" s="1"/>
  <c r="FZ9" i="16"/>
  <c r="FZ8" i="16"/>
  <c r="GA8" i="19" l="1"/>
  <c r="GA10" i="19" s="1"/>
  <c r="GB22" i="20"/>
  <c r="GB24" i="20" s="1"/>
  <c r="FZ27" i="20"/>
  <c r="FZ12" i="21"/>
  <c r="FZ14" i="21" s="1"/>
  <c r="FZ15" i="19"/>
  <c r="FZ39" i="19" s="1"/>
  <c r="FZ30" i="20" l="1"/>
  <c r="FZ32" i="20" s="1"/>
  <c r="R5" i="22" s="1"/>
  <c r="R6" i="22" s="1"/>
  <c r="GC22" i="20"/>
  <c r="GC24" i="20" s="1"/>
  <c r="GB8" i="19"/>
  <c r="GB10" i="19" s="1"/>
  <c r="GA27" i="20"/>
  <c r="GA12" i="21"/>
  <c r="GA14" i="21" s="1"/>
  <c r="GA15" i="19"/>
  <c r="GA39" i="19" s="1"/>
  <c r="GA30" i="20" l="1"/>
  <c r="GA32" i="20" s="1"/>
  <c r="GB27" i="20"/>
  <c r="GB12" i="21"/>
  <c r="GB14" i="21" s="1"/>
  <c r="GB15" i="19"/>
  <c r="GB39" i="19" s="1"/>
  <c r="GC8" i="19"/>
  <c r="GC10" i="19" s="1"/>
  <c r="GD22" i="20"/>
  <c r="GD24" i="20" s="1"/>
  <c r="GD8" i="19" l="1"/>
  <c r="GD10" i="19" s="1"/>
  <c r="GE22" i="20"/>
  <c r="GE24" i="20" s="1"/>
  <c r="GC12" i="21"/>
  <c r="GC14" i="21" s="1"/>
  <c r="GC27" i="20"/>
  <c r="GC15" i="19"/>
  <c r="GC39" i="19" s="1"/>
  <c r="GB30" i="20"/>
  <c r="GB32" i="20" s="1"/>
  <c r="GC30" i="20" l="1"/>
  <c r="GC32" i="20" s="1"/>
  <c r="GE8" i="19"/>
  <c r="GE10" i="19" s="1"/>
  <c r="GF22" i="20"/>
  <c r="GF24" i="20" s="1"/>
  <c r="GD27" i="20"/>
  <c r="GD12" i="21"/>
  <c r="GD14" i="21" s="1"/>
  <c r="GD15" i="19"/>
  <c r="GD39" i="19" s="1"/>
  <c r="GD30" i="20" l="1"/>
  <c r="GD32" i="20" s="1"/>
  <c r="GF8" i="19"/>
  <c r="GF10" i="19" s="1"/>
  <c r="GG22" i="20"/>
  <c r="GG24" i="20" s="1"/>
  <c r="GE27" i="20"/>
  <c r="GE12" i="21"/>
  <c r="GE14" i="21" s="1"/>
  <c r="GE15" i="19"/>
  <c r="GE39" i="19" s="1"/>
  <c r="GE30" i="20" l="1"/>
  <c r="GE32" i="20" s="1"/>
  <c r="W5" i="22" s="1"/>
  <c r="GG8" i="19"/>
  <c r="GG10" i="19" s="1"/>
  <c r="GH22" i="20"/>
  <c r="GH24" i="20" s="1"/>
  <c r="GF27" i="20"/>
  <c r="GF12" i="21"/>
  <c r="GF14" i="21" s="1"/>
  <c r="GF15" i="19"/>
  <c r="GF39" i="19" s="1"/>
  <c r="GF30" i="20" l="1"/>
  <c r="GF32" i="20" s="1"/>
  <c r="GH8" i="19"/>
  <c r="GH10" i="19" s="1"/>
  <c r="GI22" i="20"/>
  <c r="GI24" i="20" s="1"/>
  <c r="GG27" i="20"/>
  <c r="GG12" i="21"/>
  <c r="GG14" i="21" s="1"/>
  <c r="GG15" i="19"/>
  <c r="GG39" i="19" s="1"/>
  <c r="W6" i="22"/>
  <c r="C10" i="22"/>
  <c r="C11" i="22"/>
  <c r="GI8" i="19" l="1"/>
  <c r="GI10" i="19" s="1"/>
  <c r="GJ22" i="20"/>
  <c r="GJ24" i="20" s="1"/>
  <c r="GH27" i="20"/>
  <c r="GH12" i="21"/>
  <c r="GH14" i="21" s="1"/>
  <c r="GH15" i="19"/>
  <c r="GH39" i="19" s="1"/>
  <c r="C15" i="22"/>
  <c r="C16" i="22"/>
  <c r="GG30" i="20"/>
  <c r="GG32" i="20" s="1"/>
  <c r="GH30" i="20" l="1"/>
  <c r="GH32" i="20" s="1"/>
  <c r="GJ8" i="19"/>
  <c r="GJ10" i="19" s="1"/>
  <c r="GK22" i="20"/>
  <c r="GK24" i="20" s="1"/>
  <c r="GI27" i="20"/>
  <c r="GI12" i="21"/>
  <c r="GI14" i="21" s="1"/>
  <c r="GI15" i="19"/>
  <c r="GI39" i="19" s="1"/>
  <c r="GI30" i="20" l="1"/>
  <c r="GI32" i="20" s="1"/>
  <c r="GK8" i="19"/>
  <c r="GK10" i="19" s="1"/>
  <c r="GL22" i="20"/>
  <c r="GL24" i="20" s="1"/>
  <c r="GJ12" i="21"/>
  <c r="GJ14" i="21" s="1"/>
  <c r="GJ27" i="20"/>
  <c r="GJ15" i="19"/>
  <c r="GJ39" i="19" s="1"/>
  <c r="GJ30" i="20" l="1"/>
  <c r="GJ32" i="20" s="1"/>
  <c r="GL8" i="19"/>
  <c r="GL10" i="19" s="1"/>
  <c r="GM22" i="20"/>
  <c r="GM24" i="20" s="1"/>
  <c r="GK27" i="20"/>
  <c r="GK12" i="21"/>
  <c r="GK14" i="21" s="1"/>
  <c r="GK15" i="19"/>
  <c r="GK39" i="19" s="1"/>
  <c r="GM8" i="19" l="1"/>
  <c r="GM10" i="19" s="1"/>
  <c r="GN22" i="20"/>
  <c r="GN24" i="20" s="1"/>
  <c r="GK30" i="20"/>
  <c r="GK32" i="20" s="1"/>
  <c r="GL12" i="21"/>
  <c r="GL14" i="21" s="1"/>
  <c r="GL27" i="20"/>
  <c r="GL15" i="19"/>
  <c r="GL39" i="19" s="1"/>
  <c r="GL30" i="20" l="1"/>
  <c r="GL32" i="20" s="1"/>
  <c r="GN8" i="19"/>
  <c r="GN10" i="19" s="1"/>
  <c r="GO22" i="20"/>
  <c r="GO24" i="20" s="1"/>
  <c r="GM27" i="20"/>
  <c r="GM12" i="21"/>
  <c r="GM14" i="21" s="1"/>
  <c r="GM15" i="19"/>
  <c r="GM39" i="19" s="1"/>
  <c r="GM30" i="20" l="1"/>
  <c r="GM32" i="20" s="1"/>
  <c r="GO8" i="19"/>
  <c r="GO10" i="19" s="1"/>
  <c r="GP22" i="20"/>
  <c r="GP24" i="20" s="1"/>
  <c r="GN27" i="20"/>
  <c r="GN12" i="21"/>
  <c r="GN14" i="21" s="1"/>
  <c r="GN15" i="19"/>
  <c r="GN39" i="19" s="1"/>
  <c r="GN30" i="20" l="1"/>
  <c r="GN32" i="20" s="1"/>
  <c r="GP8" i="19"/>
  <c r="GP10" i="19" s="1"/>
  <c r="GQ22" i="20"/>
  <c r="GQ24" i="20" s="1"/>
  <c r="GO27" i="20"/>
  <c r="GO12" i="21"/>
  <c r="GO14" i="21" s="1"/>
  <c r="GO15" i="19"/>
  <c r="GO39" i="19" s="1"/>
  <c r="GO30" i="20" l="1"/>
  <c r="GO32" i="20" s="1"/>
  <c r="GQ8" i="19"/>
  <c r="GQ10" i="19" s="1"/>
  <c r="GR22" i="20"/>
  <c r="GR24" i="20" s="1"/>
  <c r="GP27" i="20"/>
  <c r="GP12" i="21"/>
  <c r="GP14" i="21" s="1"/>
  <c r="GP15" i="19"/>
  <c r="GP39" i="19" s="1"/>
  <c r="GP30" i="20" l="1"/>
  <c r="GP32" i="20" s="1"/>
  <c r="GR8" i="19"/>
  <c r="GR10" i="19" s="1"/>
  <c r="GS22" i="20"/>
  <c r="GS24" i="20" s="1"/>
  <c r="GQ27" i="20"/>
  <c r="GQ12" i="21"/>
  <c r="GQ14" i="21" s="1"/>
  <c r="GQ15" i="19"/>
  <c r="GQ39" i="19" s="1"/>
  <c r="GQ30" i="20" l="1"/>
  <c r="GQ32" i="20" s="1"/>
  <c r="GS8" i="19"/>
  <c r="GS10" i="19" s="1"/>
  <c r="GT22" i="20"/>
  <c r="GT24" i="20" s="1"/>
  <c r="GR27" i="20"/>
  <c r="GR12" i="21"/>
  <c r="GR14" i="21" s="1"/>
  <c r="GR15" i="19"/>
  <c r="GR39" i="19" s="1"/>
  <c r="GR30" i="20" l="1"/>
  <c r="GR32" i="20" s="1"/>
  <c r="GT8" i="19"/>
  <c r="GT10" i="19" s="1"/>
  <c r="GU22" i="20"/>
  <c r="GU24" i="20" s="1"/>
  <c r="GS27" i="20"/>
  <c r="GS12" i="21"/>
  <c r="GS14" i="21" s="1"/>
  <c r="GS15" i="19"/>
  <c r="GS39" i="19" s="1"/>
  <c r="GS30" i="20" l="1"/>
  <c r="GS32" i="20" s="1"/>
  <c r="GU8" i="19"/>
  <c r="GU10" i="19" s="1"/>
  <c r="GV22" i="20"/>
  <c r="GV24" i="20" s="1"/>
  <c r="GT27" i="20"/>
  <c r="GT12" i="21"/>
  <c r="GT14" i="21" s="1"/>
  <c r="GT15" i="19"/>
  <c r="GT39" i="19" s="1"/>
  <c r="GT30" i="20" l="1"/>
  <c r="GT32" i="20" s="1"/>
  <c r="GV8" i="19"/>
  <c r="GV10" i="19" s="1"/>
  <c r="GW22" i="20"/>
  <c r="GW24" i="20" s="1"/>
  <c r="GU27" i="20"/>
  <c r="GU12" i="21"/>
  <c r="GU14" i="21" s="1"/>
  <c r="GU15" i="19"/>
  <c r="GU39" i="19" s="1"/>
  <c r="GU30" i="20" l="1"/>
  <c r="GU32" i="20" s="1"/>
  <c r="GW8" i="19"/>
  <c r="GW10" i="19" s="1"/>
  <c r="GX22" i="20"/>
  <c r="GX24" i="20" s="1"/>
  <c r="GV27" i="20"/>
  <c r="GV12" i="21"/>
  <c r="GV14" i="21" s="1"/>
  <c r="GV15" i="19"/>
  <c r="GV39" i="19" s="1"/>
  <c r="GV30" i="20" l="1"/>
  <c r="GV32" i="20" s="1"/>
  <c r="GX8" i="19"/>
  <c r="GX10" i="19" s="1"/>
  <c r="GY22" i="20"/>
  <c r="GY24" i="20" s="1"/>
  <c r="GW27" i="20"/>
  <c r="GW12" i="21"/>
  <c r="GW14" i="21" s="1"/>
  <c r="GW15" i="19"/>
  <c r="GW39" i="19" s="1"/>
  <c r="GW30" i="20" l="1"/>
  <c r="GW32" i="20" s="1"/>
  <c r="GY8" i="19"/>
  <c r="GY10" i="19" s="1"/>
  <c r="GZ22" i="20"/>
  <c r="GZ24" i="20" s="1"/>
  <c r="GX12" i="21"/>
  <c r="GX14" i="21" s="1"/>
  <c r="GX27" i="20"/>
  <c r="GX15" i="19"/>
  <c r="GX39" i="19" s="1"/>
  <c r="GZ8" i="19" l="1"/>
  <c r="GZ10" i="19" s="1"/>
  <c r="HA22" i="20"/>
  <c r="HA24" i="20" s="1"/>
  <c r="GX30" i="20"/>
  <c r="GX32" i="20" s="1"/>
  <c r="GY12" i="21"/>
  <c r="GY14" i="21" s="1"/>
  <c r="GY27" i="20"/>
  <c r="GY15" i="19"/>
  <c r="GY39" i="19" s="1"/>
  <c r="GY30" i="20" l="1"/>
  <c r="GY32" i="20" s="1"/>
  <c r="HA8" i="19"/>
  <c r="HA10" i="19" s="1"/>
  <c r="HB22" i="20"/>
  <c r="HB24" i="20" s="1"/>
  <c r="GZ27" i="20"/>
  <c r="GZ12" i="21"/>
  <c r="GZ14" i="21" s="1"/>
  <c r="GZ15" i="19"/>
  <c r="GZ39" i="19" s="1"/>
  <c r="GZ30" i="20" l="1"/>
  <c r="GZ32" i="20" s="1"/>
  <c r="HB8" i="19"/>
  <c r="HB10" i="19" s="1"/>
  <c r="HC22" i="20"/>
  <c r="HC24" i="20" s="1"/>
  <c r="HA27" i="20"/>
  <c r="HA12" i="21"/>
  <c r="HA14" i="21" s="1"/>
  <c r="HA15" i="19"/>
  <c r="HA39" i="19" s="1"/>
  <c r="HA30" i="20" l="1"/>
  <c r="HA32" i="20" s="1"/>
  <c r="HC8" i="19"/>
  <c r="HC10" i="19" s="1"/>
  <c r="HD22" i="20"/>
  <c r="HD24" i="20" s="1"/>
  <c r="HB12" i="21"/>
  <c r="HB14" i="21" s="1"/>
  <c r="HB27" i="20"/>
  <c r="HB15" i="19"/>
  <c r="HB39" i="19" s="1"/>
  <c r="HB30" i="20" l="1"/>
  <c r="HB32" i="20" s="1"/>
  <c r="HD8" i="19"/>
  <c r="HD10" i="19" s="1"/>
  <c r="HE22" i="20"/>
  <c r="HE24" i="20" s="1"/>
  <c r="HC27" i="20"/>
  <c r="HC12" i="21"/>
  <c r="HC14" i="21" s="1"/>
  <c r="HC15" i="19"/>
  <c r="HC39" i="19" s="1"/>
  <c r="HC30" i="20" l="1"/>
  <c r="HC32" i="20"/>
  <c r="HE8" i="19"/>
  <c r="HE10" i="19" s="1"/>
  <c r="HF22" i="20"/>
  <c r="HF24" i="20" s="1"/>
  <c r="HD27" i="20"/>
  <c r="HD12" i="21"/>
  <c r="HD14" i="21" s="1"/>
  <c r="HD15" i="19"/>
  <c r="HD39" i="19" s="1"/>
  <c r="HD30" i="20" l="1"/>
  <c r="HD32" i="20" s="1"/>
  <c r="HF8" i="19"/>
  <c r="HF10" i="19" s="1"/>
  <c r="HG22" i="20"/>
  <c r="HG24" i="20" s="1"/>
  <c r="HE27" i="20"/>
  <c r="HE12" i="21"/>
  <c r="HE14" i="21" s="1"/>
  <c r="HE15" i="19"/>
  <c r="HE39" i="19" s="1"/>
  <c r="HE30" i="20" l="1"/>
  <c r="HE32" i="20" s="1"/>
  <c r="HG8" i="19"/>
  <c r="HG10" i="19" s="1"/>
  <c r="HH22" i="20"/>
  <c r="HH24" i="20" s="1"/>
  <c r="HF27" i="20"/>
  <c r="HF12" i="21"/>
  <c r="HF14" i="21" s="1"/>
  <c r="HF15" i="19"/>
  <c r="HF39" i="19" s="1"/>
  <c r="HF30" i="20" l="1"/>
  <c r="HF32" i="20" s="1"/>
  <c r="HH8" i="19"/>
  <c r="HH10" i="19" s="1"/>
  <c r="HI22" i="20"/>
  <c r="HI24" i="20" s="1"/>
  <c r="HG27" i="20"/>
  <c r="HG12" i="21"/>
  <c r="HG14" i="21" s="1"/>
  <c r="HG15" i="19"/>
  <c r="HG39" i="19" s="1"/>
  <c r="HG30" i="20" l="1"/>
  <c r="HG32" i="20" s="1"/>
  <c r="HI8" i="19"/>
  <c r="HI10" i="19" s="1"/>
  <c r="HJ22" i="20"/>
  <c r="HJ24" i="20" s="1"/>
  <c r="HH27" i="20"/>
  <c r="HH12" i="21"/>
  <c r="HH14" i="21" s="1"/>
  <c r="HH15" i="19"/>
  <c r="HH39" i="19" s="1"/>
  <c r="HH30" i="20" l="1"/>
  <c r="HH32" i="20" s="1"/>
  <c r="HJ8" i="19"/>
  <c r="HJ10" i="19" s="1"/>
  <c r="HK22" i="20"/>
  <c r="HK24" i="20" s="1"/>
  <c r="HI27" i="20"/>
  <c r="HI12" i="21"/>
  <c r="HI14" i="21" s="1"/>
  <c r="HI15" i="19"/>
  <c r="HI39" i="19" s="1"/>
  <c r="HI30" i="20" l="1"/>
  <c r="HI32" i="20" s="1"/>
  <c r="HK8" i="19"/>
  <c r="HK10" i="19" s="1"/>
  <c r="HL22" i="20"/>
  <c r="HL24" i="20" s="1"/>
  <c r="HJ12" i="21"/>
  <c r="HJ14" i="21" s="1"/>
  <c r="HJ27" i="20"/>
  <c r="HJ15" i="19"/>
  <c r="HJ39" i="19" s="1"/>
  <c r="HJ30" i="20" l="1"/>
  <c r="HJ32" i="20" s="1"/>
  <c r="HL8" i="19"/>
  <c r="HL10" i="19" s="1"/>
  <c r="HM22" i="20"/>
  <c r="HM24" i="20" s="1"/>
  <c r="HK12" i="21"/>
  <c r="HK14" i="21" s="1"/>
  <c r="HK27" i="20"/>
  <c r="HK15" i="19"/>
  <c r="HK39" i="19" s="1"/>
  <c r="HK30" i="20" l="1"/>
  <c r="HK32" i="20" s="1"/>
  <c r="HM8" i="19"/>
  <c r="HM10" i="19" s="1"/>
  <c r="HN22" i="20"/>
  <c r="HN24" i="20" s="1"/>
  <c r="HL27" i="20"/>
  <c r="HL12" i="21"/>
  <c r="HL14" i="21" s="1"/>
  <c r="HL15" i="19"/>
  <c r="HL39" i="19" s="1"/>
  <c r="HL30" i="20" l="1"/>
  <c r="HL32" i="20" s="1"/>
  <c r="HN8" i="19"/>
  <c r="HN10" i="19" s="1"/>
  <c r="HO22" i="20"/>
  <c r="HO24" i="20" s="1"/>
  <c r="HM12" i="21"/>
  <c r="HM14" i="21" s="1"/>
  <c r="HM27" i="20"/>
  <c r="HM15" i="19"/>
  <c r="HM39" i="19" s="1"/>
  <c r="HM30" i="20" l="1"/>
  <c r="HM32" i="20" s="1"/>
  <c r="HP22" i="20"/>
  <c r="HP24" i="20" s="1"/>
  <c r="HO8" i="19"/>
  <c r="HO10" i="19" s="1"/>
  <c r="HN27" i="20"/>
  <c r="HN12" i="21"/>
  <c r="HN14" i="21" s="1"/>
  <c r="HN15" i="19"/>
  <c r="HN39" i="19" s="1"/>
  <c r="HN30" i="20" l="1"/>
  <c r="HN32" i="20" s="1"/>
  <c r="HO12" i="21"/>
  <c r="HO14" i="21" s="1"/>
  <c r="HO27" i="20"/>
  <c r="HO15" i="19"/>
  <c r="HO39" i="19" s="1"/>
  <c r="HQ22" i="20"/>
  <c r="HQ24" i="20" s="1"/>
  <c r="HP8" i="19"/>
  <c r="HP10" i="19" s="1"/>
  <c r="HP12" i="21" l="1"/>
  <c r="HP14" i="21" s="1"/>
  <c r="HP27" i="20"/>
  <c r="HP15" i="19"/>
  <c r="HP39" i="19" s="1"/>
  <c r="HQ8" i="19"/>
  <c r="HQ10" i="19" s="1"/>
  <c r="HR22" i="20"/>
  <c r="HR24" i="20" s="1"/>
  <c r="HO30" i="20"/>
  <c r="HO32" i="20" s="1"/>
  <c r="HR8" i="19" l="1"/>
  <c r="HR10" i="19" s="1"/>
  <c r="HS22" i="20"/>
  <c r="HS24" i="20" s="1"/>
  <c r="HQ27" i="20"/>
  <c r="HQ12" i="21"/>
  <c r="HQ14" i="21" s="1"/>
  <c r="HQ15" i="19"/>
  <c r="HQ39" i="19" s="1"/>
  <c r="HP30" i="20"/>
  <c r="HP32" i="20" s="1"/>
  <c r="HQ30" i="20" l="1"/>
  <c r="HQ32" i="20" s="1"/>
  <c r="HS8" i="19"/>
  <c r="HS10" i="19" s="1"/>
  <c r="HT22" i="20"/>
  <c r="HT24" i="20" s="1"/>
  <c r="HR12" i="21"/>
  <c r="HR14" i="21" s="1"/>
  <c r="HR27" i="20"/>
  <c r="HR15" i="19"/>
  <c r="HR39" i="19" s="1"/>
  <c r="HR30" i="20" l="1"/>
  <c r="HR32" i="20" s="1"/>
  <c r="HT8" i="19"/>
  <c r="HT10" i="19" s="1"/>
  <c r="HU22" i="20"/>
  <c r="HU24" i="20" s="1"/>
  <c r="HS12" i="21"/>
  <c r="HS14" i="21" s="1"/>
  <c r="HS27" i="20"/>
  <c r="HS15" i="19"/>
  <c r="HS39" i="19" s="1"/>
  <c r="HS30" i="20" l="1"/>
  <c r="HS32" i="20" s="1"/>
  <c r="HU8" i="19"/>
  <c r="HU10" i="19" s="1"/>
  <c r="HV22" i="20"/>
  <c r="HV24" i="20" s="1"/>
  <c r="HT12" i="21"/>
  <c r="HT14" i="21" s="1"/>
  <c r="HT27" i="20"/>
  <c r="HT15" i="19"/>
  <c r="HT39" i="19" s="1"/>
  <c r="HT30" i="20" l="1"/>
  <c r="HT32" i="20" s="1"/>
  <c r="HV8" i="19"/>
  <c r="HV10" i="19" s="1"/>
  <c r="HW22" i="20"/>
  <c r="HW24" i="20" s="1"/>
  <c r="HU12" i="21"/>
  <c r="HU14" i="21" s="1"/>
  <c r="HU27" i="20"/>
  <c r="HU15" i="19"/>
  <c r="HU39" i="19" s="1"/>
  <c r="HU30" i="20" l="1"/>
  <c r="HU32" i="20" s="1"/>
  <c r="HW8" i="19"/>
  <c r="HW10" i="19" s="1"/>
  <c r="HX22" i="20"/>
  <c r="HX24" i="20" s="1"/>
  <c r="HV27" i="20"/>
  <c r="HV12" i="21"/>
  <c r="HV14" i="21" s="1"/>
  <c r="HV15" i="19"/>
  <c r="HV39" i="19" s="1"/>
  <c r="HV30" i="20" l="1"/>
  <c r="HV32" i="20" s="1"/>
  <c r="HX8" i="19"/>
  <c r="HX10" i="19" s="1"/>
  <c r="HY22" i="20"/>
  <c r="HY24" i="20" s="1"/>
  <c r="HW27" i="20"/>
  <c r="HW12" i="21"/>
  <c r="HW14" i="21" s="1"/>
  <c r="HW15" i="19"/>
  <c r="HW39" i="19" s="1"/>
  <c r="HW30" i="20" l="1"/>
  <c r="HW32" i="20" s="1"/>
  <c r="HY8" i="19"/>
  <c r="HY10" i="19" s="1"/>
  <c r="HZ22" i="20"/>
  <c r="HZ24" i="20" s="1"/>
  <c r="HX27" i="20"/>
  <c r="HX12" i="21"/>
  <c r="HX14" i="21" s="1"/>
  <c r="HX15" i="19"/>
  <c r="HX39" i="19" s="1"/>
  <c r="HX30" i="20" l="1"/>
  <c r="HX32" i="20" s="1"/>
  <c r="IA22" i="20"/>
  <c r="IA24" i="20" s="1"/>
  <c r="HZ8" i="19"/>
  <c r="HZ10" i="19" s="1"/>
  <c r="HY27" i="20"/>
  <c r="HY12" i="21"/>
  <c r="HY14" i="21" s="1"/>
  <c r="HY15" i="19"/>
  <c r="HY39" i="19" s="1"/>
  <c r="HY30" i="20" l="1"/>
  <c r="HY32" i="20"/>
  <c r="IA8" i="19"/>
  <c r="IA10" i="19" s="1"/>
  <c r="IB22" i="20"/>
  <c r="IB24" i="20" s="1"/>
  <c r="HZ12" i="21"/>
  <c r="HZ14" i="21" s="1"/>
  <c r="HZ27" i="20"/>
  <c r="HZ15" i="19"/>
  <c r="HZ39" i="19" s="1"/>
  <c r="HZ30" i="20" l="1"/>
  <c r="HZ32" i="20" s="1"/>
  <c r="IB8" i="19"/>
  <c r="IB10" i="19" s="1"/>
  <c r="IC22" i="20"/>
  <c r="IC24" i="20" s="1"/>
  <c r="IA12" i="21"/>
  <c r="IA14" i="21" s="1"/>
  <c r="IA27" i="20"/>
  <c r="IA15" i="19"/>
  <c r="IA39" i="19" s="1"/>
  <c r="IA30" i="20" l="1"/>
  <c r="IA32" i="20" s="1"/>
  <c r="IC8" i="19"/>
  <c r="IC10" i="19" s="1"/>
  <c r="ID22" i="20"/>
  <c r="ID24" i="20" s="1"/>
  <c r="IB27" i="20"/>
  <c r="IB12" i="21"/>
  <c r="IB14" i="21" s="1"/>
  <c r="IB15" i="19"/>
  <c r="IB39" i="19" s="1"/>
  <c r="IB30" i="20" l="1"/>
  <c r="IB32" i="20" s="1"/>
  <c r="IE22" i="20"/>
  <c r="IE24" i="20" s="1"/>
  <c r="ID8" i="19"/>
  <c r="ID10" i="19" s="1"/>
  <c r="IC12" i="21"/>
  <c r="IC14" i="21" s="1"/>
  <c r="IC27" i="20"/>
  <c r="IC15" i="19"/>
  <c r="IC39" i="19" s="1"/>
  <c r="IC30" i="20" l="1"/>
  <c r="IC32" i="20"/>
  <c r="ID12" i="21"/>
  <c r="ID14" i="21" s="1"/>
  <c r="ID27" i="20"/>
  <c r="ID15" i="19"/>
  <c r="ID39" i="19" s="1"/>
  <c r="IF22" i="20"/>
  <c r="IF24" i="20" s="1"/>
  <c r="IE8" i="19"/>
  <c r="IE10" i="19" s="1"/>
  <c r="IE27" i="20" l="1"/>
  <c r="IE12" i="21"/>
  <c r="IE14" i="21" s="1"/>
  <c r="IE15" i="19"/>
  <c r="IE39" i="19" s="1"/>
  <c r="IF8" i="19"/>
  <c r="IF10" i="19" s="1"/>
  <c r="IG22" i="20"/>
  <c r="IG24" i="20" s="1"/>
  <c r="ID30" i="20"/>
  <c r="ID32" i="20" s="1"/>
  <c r="IH22" i="20" l="1"/>
  <c r="IH24" i="20" s="1"/>
  <c r="IH8" i="19" s="1"/>
  <c r="IH10" i="19" s="1"/>
  <c r="IG8" i="19"/>
  <c r="IG10" i="19" s="1"/>
  <c r="IF12" i="21"/>
  <c r="IF14" i="21" s="1"/>
  <c r="IF27" i="20"/>
  <c r="IF15" i="19"/>
  <c r="IF39" i="19" s="1"/>
  <c r="IE30" i="20"/>
  <c r="IE32" i="20" s="1"/>
  <c r="IG12" i="21" l="1"/>
  <c r="IG14" i="21" s="1"/>
  <c r="IG27" i="20"/>
  <c r="IG15" i="19"/>
  <c r="IG39" i="19" s="1"/>
  <c r="IF30" i="20"/>
  <c r="IF32" i="20" s="1"/>
  <c r="IH12" i="21"/>
  <c r="IH14" i="21" s="1"/>
  <c r="IH27" i="20"/>
  <c r="IH15" i="19"/>
  <c r="IH39" i="19" s="1"/>
  <c r="IH30" i="20" l="1"/>
  <c r="IH32" i="20" s="1"/>
  <c r="IG30" i="20"/>
  <c r="IG32" i="20" s="1"/>
</calcChain>
</file>

<file path=xl/comments1.xml><?xml version="1.0" encoding="utf-8"?>
<comments xmlns="http://schemas.openxmlformats.org/spreadsheetml/2006/main">
  <authors>
    <author>Emile Bassil</author>
  </authors>
  <commentList>
    <comment ref="C7" authorId="0" shapeId="0">
      <text>
        <r>
          <rPr>
            <b/>
            <sz val="9"/>
            <color indexed="81"/>
            <rFont val="Tahoma"/>
            <family val="2"/>
          </rPr>
          <t>Emile Bassil:</t>
        </r>
        <r>
          <rPr>
            <sz val="9"/>
            <color indexed="81"/>
            <rFont val="Tahoma"/>
            <family val="2"/>
          </rPr>
          <t xml:space="preserve">
5 levels high
80% storage 20% stage
50% storage 50% aisles
70% cost 30% profit
1.25 SQM pallet footprint</t>
        </r>
      </text>
    </comment>
  </commentList>
</comments>
</file>

<file path=xl/comments2.xml><?xml version="1.0" encoding="utf-8"?>
<comments xmlns="http://schemas.openxmlformats.org/spreadsheetml/2006/main">
  <authors>
    <author>Emile Bassil</author>
  </authors>
  <commentList>
    <comment ref="A2" authorId="0" shapeId="0">
      <text>
        <r>
          <rPr>
            <b/>
            <sz val="9"/>
            <color indexed="81"/>
            <rFont val="Tahoma"/>
            <family val="2"/>
          </rPr>
          <t>Emile Bassil:</t>
        </r>
        <r>
          <rPr>
            <sz val="9"/>
            <color indexed="81"/>
            <rFont val="Tahoma"/>
            <family val="2"/>
          </rPr>
          <t xml:space="preserve">
AC
Turbo jets
Pumps
Pistons
Drilling machines
</t>
        </r>
      </text>
    </comment>
  </commentList>
</comments>
</file>

<file path=xl/comments3.xml><?xml version="1.0" encoding="utf-8"?>
<comments xmlns="http://schemas.openxmlformats.org/spreadsheetml/2006/main">
  <authors>
    <author>Emile Bassil</author>
  </authors>
  <commentList>
    <comment ref="A4" authorId="0" shapeId="0">
      <text>
        <r>
          <rPr>
            <b/>
            <sz val="9"/>
            <color indexed="81"/>
            <rFont val="Tahoma"/>
            <family val="2"/>
          </rPr>
          <t>Emile Bassil:</t>
        </r>
        <r>
          <rPr>
            <sz val="9"/>
            <color indexed="81"/>
            <rFont val="Tahoma"/>
            <family val="2"/>
          </rPr>
          <t xml:space="preserve">
Helps with the cheaper, faster, and concession evaluation criteria.
Potential to build warehouses on open yard for phase 2 of the project.</t>
        </r>
      </text>
    </comment>
    <comment ref="A25" authorId="0" shapeId="0">
      <text>
        <r>
          <rPr>
            <b/>
            <sz val="9"/>
            <color indexed="81"/>
            <rFont val="Tahoma"/>
            <family val="2"/>
          </rPr>
          <t>Emile Bassil:</t>
        </r>
        <r>
          <rPr>
            <sz val="9"/>
            <color indexed="81"/>
            <rFont val="Tahoma"/>
            <family val="2"/>
          </rPr>
          <t xml:space="preserve">
Labor onsite approx 700. confirm SQM requirements.</t>
        </r>
      </text>
    </comment>
    <comment ref="A27" authorId="0" shapeId="0">
      <text>
        <r>
          <rPr>
            <b/>
            <sz val="9"/>
            <color indexed="81"/>
            <rFont val="Tahoma"/>
            <family val="2"/>
          </rPr>
          <t>Emile Bassil:</t>
        </r>
        <r>
          <rPr>
            <sz val="9"/>
            <color indexed="81"/>
            <rFont val="Tahoma"/>
            <family val="2"/>
          </rPr>
          <t xml:space="preserve">
For cars and trucks.</t>
        </r>
      </text>
    </comment>
    <comment ref="A54" authorId="0" shapeId="0">
      <text>
        <r>
          <rPr>
            <b/>
            <sz val="9"/>
            <color indexed="81"/>
            <rFont val="Tahoma"/>
            <family val="2"/>
          </rPr>
          <t>Emile Bassil:</t>
        </r>
        <r>
          <rPr>
            <sz val="9"/>
            <color indexed="81"/>
            <rFont val="Tahoma"/>
            <family val="2"/>
          </rPr>
          <t xml:space="preserve">
Source: World Bank
Average cost of paved roads:
- Regravelling (11000/km)
- Rehabilitation (31000/km)
- Inprovement (72000/km)
- Paving (254000/km)
- Surveying (200/km)
Assumes 7.5 m road width in SQM the total cost is for 7500 SQM</t>
        </r>
      </text>
    </comment>
    <comment ref="A55" authorId="0" shapeId="0">
      <text>
        <r>
          <rPr>
            <b/>
            <sz val="9"/>
            <color indexed="81"/>
            <rFont val="Tahoma"/>
            <family val="2"/>
          </rPr>
          <t>Emile Bassil:</t>
        </r>
        <r>
          <rPr>
            <sz val="9"/>
            <color indexed="81"/>
            <rFont val="Tahoma"/>
            <family val="2"/>
          </rPr>
          <t xml:space="preserve">
Connecting electricity, water, gas, sewage to the plots
$4500 / 1000 SQM
=4.5*CST_SITE_SQM/CST_SVCS_SQM
http://www.selfbuildabc.co.uk/building/connecting-services.asp</t>
        </r>
      </text>
    </comment>
  </commentList>
</comments>
</file>

<file path=xl/comments4.xml><?xml version="1.0" encoding="utf-8"?>
<comments xmlns="http://schemas.openxmlformats.org/spreadsheetml/2006/main">
  <authors>
    <author>Emile Bassil</author>
  </authors>
  <commentList>
    <comment ref="C2" authorId="0" shapeId="0">
      <text>
        <r>
          <rPr>
            <b/>
            <sz val="9"/>
            <color indexed="81"/>
            <rFont val="Tahoma"/>
            <family val="2"/>
          </rPr>
          <t>Emile Bassil:</t>
        </r>
        <r>
          <rPr>
            <sz val="9"/>
            <color indexed="81"/>
            <rFont val="Tahoma"/>
            <family val="2"/>
          </rPr>
          <t xml:space="preserve">
L = Large
M = Medium
Y = Yard
D = Dedicated
Any other value will result in wrong calculation of revenue.</t>
        </r>
      </text>
    </comment>
  </commentList>
</comments>
</file>

<file path=xl/comments5.xml><?xml version="1.0" encoding="utf-8"?>
<comments xmlns="http://schemas.openxmlformats.org/spreadsheetml/2006/main">
  <authors>
    <author>Emile Bassil</author>
  </authors>
  <commentList>
    <comment ref="B33" authorId="0" shapeId="0">
      <text>
        <r>
          <rPr>
            <b/>
            <sz val="9"/>
            <color indexed="81"/>
            <rFont val="Tahoma"/>
            <family val="2"/>
          </rPr>
          <t>Emile Bassil:</t>
        </r>
        <r>
          <rPr>
            <sz val="9"/>
            <color indexed="81"/>
            <rFont val="Tahoma"/>
            <family val="2"/>
          </rPr>
          <t xml:space="preserve">
4 access points x 2 resources x 3 shifts x QAR 5000 per month</t>
        </r>
      </text>
    </comment>
  </commentList>
</comments>
</file>

<file path=xl/comments6.xml><?xml version="1.0" encoding="utf-8"?>
<comments xmlns="http://schemas.openxmlformats.org/spreadsheetml/2006/main">
  <authors>
    <author>Emile Bassil</author>
  </authors>
  <commentList>
    <comment ref="A6" authorId="0" shapeId="0">
      <text>
        <r>
          <rPr>
            <b/>
            <sz val="9"/>
            <color indexed="81"/>
            <rFont val="Tahoma"/>
            <family val="2"/>
          </rPr>
          <t>Emile Bassil:</t>
        </r>
        <r>
          <rPr>
            <sz val="9"/>
            <color indexed="81"/>
            <rFont val="Tahoma"/>
            <family val="2"/>
          </rPr>
          <t xml:space="preserve">
1 = constructing during this period
0 = not constructing during this period
Total = periods of construction</t>
        </r>
      </text>
    </comment>
  </commentList>
</comments>
</file>

<file path=xl/comments7.xml><?xml version="1.0" encoding="utf-8"?>
<comments xmlns="http://schemas.openxmlformats.org/spreadsheetml/2006/main">
  <authors>
    <author>Emile Bassil</author>
  </authors>
  <commentList>
    <comment ref="A1" authorId="0" shapeId="0">
      <text>
        <r>
          <rPr>
            <b/>
            <sz val="9"/>
            <color indexed="81"/>
            <rFont val="Tahoma"/>
            <family val="2"/>
          </rPr>
          <t>Emile Bassil:</t>
        </r>
        <r>
          <rPr>
            <sz val="9"/>
            <color indexed="81"/>
            <rFont val="Tahoma"/>
            <family val="2"/>
          </rPr>
          <t xml:space="preserve">
Because we are taking in long term debt in pieces, we don't have to pay interest and principal for the total amount. But this means that we will have to complicate the model to get an accurate estimate of interest paymentn for LTD. Therefore, we have taken the full LTD amount to calcualte interest and principal amounts.
This is an estimate but a conservative one, in a sense that ABA cannot be worse off than that by taking in all the debt from the first period.</t>
        </r>
      </text>
    </comment>
  </commentList>
</comments>
</file>

<file path=xl/comments8.xml><?xml version="1.0" encoding="utf-8"?>
<comments xmlns="http://schemas.openxmlformats.org/spreadsheetml/2006/main">
  <authors>
    <author>Emile Bassil</author>
  </authors>
  <commentList>
    <comment ref="A40" authorId="0" shapeId="0">
      <text>
        <r>
          <rPr>
            <b/>
            <sz val="9"/>
            <color indexed="81"/>
            <rFont val="Tahoma"/>
            <family val="2"/>
          </rPr>
          <t>Emile Bassil:</t>
        </r>
        <r>
          <rPr>
            <sz val="9"/>
            <color indexed="81"/>
            <rFont val="Tahoma"/>
            <family val="2"/>
          </rPr>
          <t xml:space="preserve">
Would have preferred phased depreciation with variable depreciation periods. But to simplify model opted to take all money invested during life of investment in capital assets and depreciate to building depreciation period. A more accurate approach would involve programming macros to calculate depreciation. May do this later.</t>
        </r>
      </text>
    </comment>
  </commentList>
</comments>
</file>

<file path=xl/comments9.xml><?xml version="1.0" encoding="utf-8"?>
<comments xmlns="http://schemas.openxmlformats.org/spreadsheetml/2006/main">
  <authors>
    <author>Philip Cherian</author>
  </authors>
  <commentList>
    <comment ref="B4" authorId="0" shapeId="0">
      <text>
        <r>
          <rPr>
            <b/>
            <sz val="8"/>
            <color indexed="81"/>
            <rFont val="Tahoma"/>
            <family val="2"/>
          </rPr>
          <t>Philip Cherian:</t>
        </r>
        <r>
          <rPr>
            <sz val="8"/>
            <color indexed="81"/>
            <rFont val="Tahoma"/>
            <family val="2"/>
          </rPr>
          <t xml:space="preserve">
How Many Months in Advance an employee should be recruited?
Choose the months based on what is defined in cell B33 to B36
</t>
        </r>
      </text>
    </comment>
  </commentList>
</comments>
</file>

<file path=xl/comments10.xml><?xml version="1.0" encoding="utf-8"?>
<comments xmlns="http://schemas.openxmlformats.org/spreadsheetml/2006/main">
  <authors>
    <author>Philip Cherian</author>
  </authors>
  <commentList>
    <comment ref="B4" authorId="0" shapeId="0">
      <text>
        <r>
          <rPr>
            <b/>
            <sz val="8"/>
            <color indexed="81"/>
            <rFont val="Tahoma"/>
            <family val="2"/>
          </rPr>
          <t>Philip Cherian:</t>
        </r>
        <r>
          <rPr>
            <sz val="8"/>
            <color indexed="81"/>
            <rFont val="Tahoma"/>
            <family val="2"/>
          </rPr>
          <t xml:space="preserve">
How Many Months in Advance an employee should be recruited?
Choose the months based on what is defined in cell B33 to B36
</t>
        </r>
      </text>
    </comment>
  </commentList>
</comments>
</file>

<file path=xl/sharedStrings.xml><?xml version="1.0" encoding="utf-8"?>
<sst xmlns="http://schemas.openxmlformats.org/spreadsheetml/2006/main" count="2000" uniqueCount="823">
  <si>
    <t>Live Animals</t>
  </si>
  <si>
    <t>Meat</t>
  </si>
  <si>
    <t>Fish</t>
  </si>
  <si>
    <t>Milk and Milk Derivatives</t>
  </si>
  <si>
    <t>Edible vegetables</t>
  </si>
  <si>
    <t>Edible fruits</t>
  </si>
  <si>
    <t>Coffee tea spices</t>
  </si>
  <si>
    <t>Cereals</t>
  </si>
  <si>
    <t>Milling industry products</t>
  </si>
  <si>
    <t>Oil grains seeds</t>
  </si>
  <si>
    <t>Animal and vegetable fats</t>
  </si>
  <si>
    <t>Preperations of meat or fish</t>
  </si>
  <si>
    <t>Sugar and confectionary</t>
  </si>
  <si>
    <t>Cocoa and chocolate</t>
  </si>
  <si>
    <t>Preperations of cereal and pastry</t>
  </si>
  <si>
    <t>Preperations of vegetable</t>
  </si>
  <si>
    <t>Misc edible preparations</t>
  </si>
  <si>
    <t>Beverages, spirits</t>
  </si>
  <si>
    <t>Salt sulphur earths and stone</t>
  </si>
  <si>
    <t>ores slag and ash</t>
  </si>
  <si>
    <t>Mineral fuels</t>
  </si>
  <si>
    <t>Aluminium, organic and inorganic chemicals</t>
  </si>
  <si>
    <t>Organic chemicals</t>
  </si>
  <si>
    <t>Pharmaceutical products</t>
  </si>
  <si>
    <t>tanning and dyeing extracts</t>
  </si>
  <si>
    <t>Essential oils perfumery cosemetics</t>
  </si>
  <si>
    <t>Soaps lubricants</t>
  </si>
  <si>
    <t>Misc chemical products</t>
  </si>
  <si>
    <t>Plastics</t>
  </si>
  <si>
    <t>Rubber</t>
  </si>
  <si>
    <t>Leather handbags</t>
  </si>
  <si>
    <t>paper and paperboard</t>
  </si>
  <si>
    <t>Books</t>
  </si>
  <si>
    <t>Carpet and textile floor</t>
  </si>
  <si>
    <t>Clothes, apparel, clothing accessories</t>
  </si>
  <si>
    <t>footwear</t>
  </si>
  <si>
    <t>Stone plaster asbestos</t>
  </si>
  <si>
    <t xml:space="preserve">Ceramic </t>
  </si>
  <si>
    <t>Glass and glasswear</t>
  </si>
  <si>
    <t>Pearl and precious stones</t>
  </si>
  <si>
    <t>Iron and steel</t>
  </si>
  <si>
    <t>Articles of steel</t>
  </si>
  <si>
    <t>Copper</t>
  </si>
  <si>
    <t>Aluminium</t>
  </si>
  <si>
    <t>Other metals</t>
  </si>
  <si>
    <t>Misc articles of base metal</t>
  </si>
  <si>
    <t>Machinery and mechanical appliances</t>
  </si>
  <si>
    <t>Electrical machinery and equipment</t>
  </si>
  <si>
    <t>Vehicles and parts</t>
  </si>
  <si>
    <t>Optical photographic cinematographic</t>
  </si>
  <si>
    <t>Clocks and watches</t>
  </si>
  <si>
    <t>Furniture bedding</t>
  </si>
  <si>
    <t>Toys and games</t>
  </si>
  <si>
    <t>Works of art</t>
  </si>
  <si>
    <t>SQM</t>
  </si>
  <si>
    <t>Bulk</t>
  </si>
  <si>
    <t>Yard</t>
  </si>
  <si>
    <t>Rack / Shelves</t>
  </si>
  <si>
    <t>Tools, spoons, forks, knives</t>
  </si>
  <si>
    <t>Frozen</t>
  </si>
  <si>
    <t>VAS</t>
  </si>
  <si>
    <t>Import Value</t>
  </si>
  <si>
    <t>Site Area</t>
  </si>
  <si>
    <t>Warehousing</t>
  </si>
  <si>
    <t>Warehousing area</t>
  </si>
  <si>
    <t>Services</t>
  </si>
  <si>
    <t>Accommodation</t>
  </si>
  <si>
    <t>Utilities</t>
  </si>
  <si>
    <t>Open Yard</t>
  </si>
  <si>
    <t>AC</t>
  </si>
  <si>
    <t>Floor elevation (m)</t>
  </si>
  <si>
    <t>Land Use</t>
  </si>
  <si>
    <t>Eaves height (m)</t>
  </si>
  <si>
    <t>Storage clear height (m)</t>
  </si>
  <si>
    <t>Land Area (m2)</t>
  </si>
  <si>
    <t>Steel structure</t>
  </si>
  <si>
    <t>Number of land pieces</t>
  </si>
  <si>
    <t>Min no. of Modules per building</t>
  </si>
  <si>
    <t>Total Area (m2):</t>
  </si>
  <si>
    <t>Building Type</t>
  </si>
  <si>
    <t>Staff per m2</t>
  </si>
  <si>
    <t>m</t>
  </si>
  <si>
    <t>Min distance building to fence</t>
  </si>
  <si>
    <t>Min distance dock to fence</t>
  </si>
  <si>
    <t>Min road width within property</t>
  </si>
  <si>
    <t>Min two-way road width on site</t>
  </si>
  <si>
    <t>Warehouses</t>
  </si>
  <si>
    <t>Comments</t>
  </si>
  <si>
    <t>Two primary (one out and one in). Two secondary (one out and one in). Primary used for transport vehicles. Secondary used for visitors and site access by light vehichles.</t>
  </si>
  <si>
    <t>Entrance and guardhouse</t>
  </si>
  <si>
    <t>Mosque</t>
  </si>
  <si>
    <t>Central</t>
  </si>
  <si>
    <t>Location on site</t>
  </si>
  <si>
    <t>From main access roads.</t>
  </si>
  <si>
    <t>Preferrably Accessible within approximately same distance from all properties.</t>
  </si>
  <si>
    <t>Commercial</t>
  </si>
  <si>
    <t>Size m2 per piece</t>
  </si>
  <si>
    <t>Light and heavy vehicle parking</t>
  </si>
  <si>
    <t>Labour accommodation</t>
  </si>
  <si>
    <t>Total SQM:</t>
  </si>
  <si>
    <t>Remaining SQM:</t>
  </si>
  <si>
    <t>Next to parking area or boarder of property</t>
  </si>
  <si>
    <t>Multi level building.  To house bank, post office, retail, food court, first aid, health center, etc…). Underground parking if necessary.</t>
  </si>
  <si>
    <t>Locate on least populated part of site.
Accommodate garage with three doors for trucks / trailers.</t>
  </si>
  <si>
    <t>Petrol Station</t>
  </si>
  <si>
    <t>Building to Land Ratio</t>
  </si>
  <si>
    <t>Cost per SQM Land:</t>
  </si>
  <si>
    <t>Dedicated fleet maintenance faciltiy to accommodate 10 truck repairs at a time.</t>
  </si>
  <si>
    <t>Vehicle Maintenance Workshop</t>
  </si>
  <si>
    <t>Next to petrol station</t>
  </si>
  <si>
    <t>Vehicle Maintenance</t>
  </si>
  <si>
    <t>Building area (m2)</t>
  </si>
  <si>
    <t>Stage % of building</t>
  </si>
  <si>
    <t>Module size SQM</t>
  </si>
  <si>
    <t>Staff</t>
  </si>
  <si>
    <t>Storage area (m2)</t>
  </si>
  <si>
    <t>Storage (m3), including aisles</t>
  </si>
  <si>
    <t>Pallet Height</t>
  </si>
  <si>
    <t>Chilled</t>
  </si>
  <si>
    <t>Cells with error will have red background.</t>
  </si>
  <si>
    <t>Light blue background cells are calculated cells (do not change).</t>
  </si>
  <si>
    <t>Light red background cells are input cells.</t>
  </si>
  <si>
    <t>Check cell comments for insturctions or clarification on the purpose of a cell or value.</t>
  </si>
  <si>
    <t>Pallet Length</t>
  </si>
  <si>
    <t>Pallet Width</t>
  </si>
  <si>
    <t>Pallet Area</t>
  </si>
  <si>
    <t>Pallet Wood Height</t>
  </si>
  <si>
    <t>Pallet CBM</t>
  </si>
  <si>
    <t>Pallet Footprint</t>
  </si>
  <si>
    <t>Dry m2</t>
  </si>
  <si>
    <t>Dry m3</t>
  </si>
  <si>
    <t>AC m2</t>
  </si>
  <si>
    <t>AC m3</t>
  </si>
  <si>
    <t>Chilled m2</t>
  </si>
  <si>
    <t>Chilled m3</t>
  </si>
  <si>
    <t>Frozen m2</t>
  </si>
  <si>
    <t>Frozen m3</t>
  </si>
  <si>
    <t>Type</t>
  </si>
  <si>
    <t>Source</t>
  </si>
  <si>
    <t>Quality</t>
  </si>
  <si>
    <t>USD to QAR</t>
  </si>
  <si>
    <t>Dry</t>
  </si>
  <si>
    <t>Large 3PL two buildings only which can be separated internally. Optimizes space utlization and minimizes administrative overhead.</t>
  </si>
  <si>
    <t>Large 3PL on single piece of land (sub-plot)</t>
  </si>
  <si>
    <t>Site Input</t>
  </si>
  <si>
    <t>Pallet Dimensions</t>
  </si>
  <si>
    <t>Currency Conversion</t>
  </si>
  <si>
    <t>Rental Rates</t>
  </si>
  <si>
    <t>Infrastructure Cost</t>
  </si>
  <si>
    <t>Roads</t>
  </si>
  <si>
    <t>WH Building Cost @ 20m Apex</t>
  </si>
  <si>
    <t>Building Costs</t>
  </si>
  <si>
    <t>Vehicle maintenance</t>
  </si>
  <si>
    <t>Petrol station</t>
  </si>
  <si>
    <t>Return expected against land rental per sqm</t>
  </si>
  <si>
    <t>Plot servicing cost</t>
  </si>
  <si>
    <t>Total Cost:</t>
  </si>
  <si>
    <t>Notes</t>
  </si>
  <si>
    <t>Surface Parking</t>
  </si>
  <si>
    <t>Guardhouse &amp; Entrance</t>
  </si>
  <si>
    <t>Financials</t>
  </si>
  <si>
    <t>WACC</t>
  </si>
  <si>
    <t>Annual Interest - Long term debt</t>
  </si>
  <si>
    <t>Warehouse Rental</t>
  </si>
  <si>
    <t>Projected Rental</t>
  </si>
  <si>
    <t>Capacity</t>
  </si>
  <si>
    <t>Year</t>
  </si>
  <si>
    <t>Month</t>
  </si>
  <si>
    <t>Accommodation Rental</t>
  </si>
  <si>
    <t>Petrol Station Rental</t>
  </si>
  <si>
    <t>Floors</t>
  </si>
  <si>
    <t>Supporting Facilities, Roads and Surface Parking</t>
  </si>
  <si>
    <t>Total Rentable SQM:</t>
  </si>
  <si>
    <t>Entrances &amp; Guardhouses</t>
  </si>
  <si>
    <t>Next to commercial and residential areas</t>
  </si>
  <si>
    <t>This is communal parking. For WH sites there should be a parking within the property boundary for visitors and trucks.</t>
  </si>
  <si>
    <t>Surface cement or asphalt</t>
  </si>
  <si>
    <t>Cost / SQM:</t>
  </si>
  <si>
    <t>Costs</t>
  </si>
  <si>
    <t>EBIT as % of revenue required</t>
  </si>
  <si>
    <t>Revenue projection</t>
  </si>
  <si>
    <t>Rate Increase</t>
  </si>
  <si>
    <t>Rate Factor</t>
  </si>
  <si>
    <t>Capacity - YARD</t>
  </si>
  <si>
    <t>Capacity - ACCOMMODATION</t>
  </si>
  <si>
    <t>Capacity - PETROL STATION</t>
  </si>
  <si>
    <t>Capacity - VEHICLE MAINTENANCE</t>
  </si>
  <si>
    <t>Capacity - COMMERCIAL</t>
  </si>
  <si>
    <t>Direct Costs</t>
  </si>
  <si>
    <t>Supplies</t>
  </si>
  <si>
    <t>Large - Dry</t>
  </si>
  <si>
    <t>Large - AC</t>
  </si>
  <si>
    <t>Large - Chilled</t>
  </si>
  <si>
    <t>Large - Frozen</t>
  </si>
  <si>
    <t>Building Category</t>
  </si>
  <si>
    <t>L</t>
  </si>
  <si>
    <t>Y</t>
  </si>
  <si>
    <t>Land (plot) Number</t>
  </si>
  <si>
    <t>DRY - L</t>
  </si>
  <si>
    <t>AC - L</t>
  </si>
  <si>
    <t>CHILLED - L</t>
  </si>
  <si>
    <t>FROZEN - M</t>
  </si>
  <si>
    <t>DRY - M</t>
  </si>
  <si>
    <t>FROZEN - L</t>
  </si>
  <si>
    <t>AC - M</t>
  </si>
  <si>
    <t>CHILLED - M</t>
  </si>
  <si>
    <t>Total SQM L:</t>
  </si>
  <si>
    <t>Total SQM M:</t>
  </si>
  <si>
    <t>Total SQM Y:</t>
  </si>
  <si>
    <t>Capacity - DRY - L</t>
  </si>
  <si>
    <t>Capacity - AC - L</t>
  </si>
  <si>
    <t>Capacity - CHILLED - L</t>
  </si>
  <si>
    <t>Capacity - FOZEN - L</t>
  </si>
  <si>
    <t>Capacity - DRY - M</t>
  </si>
  <si>
    <t>Capacity - AC - M</t>
  </si>
  <si>
    <t>Capacity - CHILLED - M</t>
  </si>
  <si>
    <t>Capacity - FOZEN - M</t>
  </si>
  <si>
    <t>Medium - Dry</t>
  </si>
  <si>
    <t>Medium - AC</t>
  </si>
  <si>
    <t>Medium - Chilled</t>
  </si>
  <si>
    <t>Medium - Frozen</t>
  </si>
  <si>
    <t>Administrative</t>
  </si>
  <si>
    <t>Information Systems</t>
  </si>
  <si>
    <t>Licenses</t>
  </si>
  <si>
    <t>Management Fees</t>
  </si>
  <si>
    <t>Marketing</t>
  </si>
  <si>
    <t>Salaries</t>
  </si>
  <si>
    <t>Vehicle Operations</t>
  </si>
  <si>
    <t>Miscellaneous</t>
  </si>
  <si>
    <t>Building Insurance</t>
  </si>
  <si>
    <t>Repairs and Maintenance of Common Parts</t>
  </si>
  <si>
    <t>Energy Costs for Common Parts</t>
  </si>
  <si>
    <t>Security of Common Parts</t>
  </si>
  <si>
    <t>Water and Sewage Charges for Common Parts</t>
  </si>
  <si>
    <t>Cleaning and Environmental Charges</t>
  </si>
  <si>
    <t>Landscaping of Common Parts</t>
  </si>
  <si>
    <t>Major Works</t>
  </si>
  <si>
    <t>Communications (phone and Internet)</t>
  </si>
  <si>
    <t>Manateq Rent Increase</t>
  </si>
  <si>
    <t>Manateq Rent Factor</t>
  </si>
  <si>
    <t>Manateq Lease</t>
  </si>
  <si>
    <t>Manateq rent</t>
  </si>
  <si>
    <t>Administrative Cost Increase</t>
  </si>
  <si>
    <t>Administrative Cost Factor</t>
  </si>
  <si>
    <t>Buildings Insurance</t>
  </si>
  <si>
    <t>Total</t>
  </si>
  <si>
    <t>Short Term Debt</t>
  </si>
  <si>
    <t>Long Term Debt</t>
  </si>
  <si>
    <t>LTD Term</t>
  </si>
  <si>
    <t>months</t>
  </si>
  <si>
    <t>Principal</t>
  </si>
  <si>
    <t>Interest</t>
  </si>
  <si>
    <t>End Principal</t>
  </si>
  <si>
    <t>Period</t>
  </si>
  <si>
    <t>Loan Fees</t>
  </si>
  <si>
    <t>Cash Balance (from balance sheet)</t>
  </si>
  <si>
    <t>Cash Reserve Percentage</t>
  </si>
  <si>
    <t>Credit Line Required</t>
  </si>
  <si>
    <t>Interest on Credit Line</t>
  </si>
  <si>
    <t>Income Statement</t>
  </si>
  <si>
    <t>Revenue</t>
  </si>
  <si>
    <t>Yard Rental</t>
  </si>
  <si>
    <t>Vehicle Maintenance Shops Rental</t>
  </si>
  <si>
    <t>Commercial Shops Rental</t>
  </si>
  <si>
    <t>Land Lease from Manateq</t>
  </si>
  <si>
    <t>Gross Profit</t>
  </si>
  <si>
    <t>%</t>
  </si>
  <si>
    <t>Expenses</t>
  </si>
  <si>
    <t>EBITDA</t>
  </si>
  <si>
    <t>LESS: Depreciation and Amortization</t>
  </si>
  <si>
    <t>LESS: Interest Expenses</t>
  </si>
  <si>
    <t>Interest Revenue</t>
  </si>
  <si>
    <t>Ending Cash Balance</t>
  </si>
  <si>
    <t>Average Cash Balance</t>
  </si>
  <si>
    <t>Income Before Taxes</t>
  </si>
  <si>
    <t>Income Taxes</t>
  </si>
  <si>
    <t>Net Income</t>
  </si>
  <si>
    <t>Balance Sheet</t>
  </si>
  <si>
    <t>Cash on Hand</t>
  </si>
  <si>
    <t>Accounts Receivables</t>
  </si>
  <si>
    <t>Fixed Assets</t>
  </si>
  <si>
    <t>Current Assets</t>
  </si>
  <si>
    <t>Buildings</t>
  </si>
  <si>
    <t>LESS: Accumulated Depreciation</t>
  </si>
  <si>
    <t>ASSETS</t>
  </si>
  <si>
    <t>LIABILITIES</t>
  </si>
  <si>
    <t>Current Liabilities</t>
  </si>
  <si>
    <t>Accounts Payable</t>
  </si>
  <si>
    <t>Credit Line</t>
  </si>
  <si>
    <t>Deferred Expenses</t>
  </si>
  <si>
    <t>Current Portion - LTD</t>
  </si>
  <si>
    <t>Long Term Liabilities</t>
  </si>
  <si>
    <t>Notes Payable</t>
  </si>
  <si>
    <t>TOTAL ASSETS</t>
  </si>
  <si>
    <t>TOTAL LIABILITIES</t>
  </si>
  <si>
    <t>ABA Project Finance Value</t>
  </si>
  <si>
    <t>SHAREHOLDER'S EQUITY</t>
  </si>
  <si>
    <t>Share Capital</t>
  </si>
  <si>
    <t>Retained Earnings</t>
  </si>
  <si>
    <t>Current Earnings</t>
  </si>
  <si>
    <t>TOTAL LIABILITIES &amp; EQUITY</t>
  </si>
  <si>
    <t>Cash Flow</t>
  </si>
  <si>
    <t>CASH FLOWS FROM OPERATING ACTIVITIES</t>
  </si>
  <si>
    <t>Depreciation &amp; Amortization</t>
  </si>
  <si>
    <t>Change in AR</t>
  </si>
  <si>
    <t>Change in Current Liabilities</t>
  </si>
  <si>
    <t>CASH FLOWS FROM INVESTMENT ACTIVITIES</t>
  </si>
  <si>
    <t>Change in Gross Fixed Assets</t>
  </si>
  <si>
    <t>CASH FLOWS FROM FINANCING ACTIVITIES</t>
  </si>
  <si>
    <t>Debt Financing</t>
  </si>
  <si>
    <t>CASH INCREASE/DECREASE</t>
  </si>
  <si>
    <t>CASH BEGINNING BALANCE</t>
  </si>
  <si>
    <t>CASH ENDING BALANCE</t>
  </si>
  <si>
    <t>DEBT TO TANGIBLE NET WORTH</t>
  </si>
  <si>
    <t>Total Debt</t>
  </si>
  <si>
    <t>Tangible Net Worth</t>
  </si>
  <si>
    <t>Ratio Calculation</t>
  </si>
  <si>
    <t>CURRENT RATIO</t>
  </si>
  <si>
    <t>RETURN ON EQUITY</t>
  </si>
  <si>
    <t>Ratio Analysis</t>
  </si>
  <si>
    <t>Investment Analysis</t>
  </si>
  <si>
    <t>SUMMARY OF CASH FLOWS</t>
  </si>
  <si>
    <t>Shareholder Perspective</t>
  </si>
  <si>
    <t>Total Project Perspective</t>
  </si>
  <si>
    <t>SHAREHOLDER PERSPECTIVE</t>
  </si>
  <si>
    <t>Discount Rate</t>
  </si>
  <si>
    <t>Present Value of Future Cash Flows</t>
  </si>
  <si>
    <t>Internal Rate of Return</t>
  </si>
  <si>
    <t>TOTAL PROJECT PERSPECTIVE</t>
  </si>
  <si>
    <t>Income Tax</t>
  </si>
  <si>
    <t>Rate per SQM Projection</t>
  </si>
  <si>
    <t>per year</t>
  </si>
  <si>
    <t>per yer</t>
  </si>
  <si>
    <t>DEBT TO EQUITY RATIO</t>
  </si>
  <si>
    <t>OPIC CASHFLOW</t>
  </si>
  <si>
    <t>(-) Working capital (+) Decrease</t>
  </si>
  <si>
    <t>Interest expense</t>
  </si>
  <si>
    <t>Working Capital</t>
  </si>
  <si>
    <t>STARTUP</t>
  </si>
  <si>
    <t>Low end warehouses</t>
  </si>
  <si>
    <t>Average</t>
  </si>
  <si>
    <t>WH Storage Condition Ratios</t>
  </si>
  <si>
    <t>Property Infrastructure</t>
  </si>
  <si>
    <t>Plot infrastructure works</t>
  </si>
  <si>
    <t>Mezzanine m2</t>
  </si>
  <si>
    <t>Mezzanine</t>
  </si>
  <si>
    <t>Administrative / Commercial</t>
  </si>
  <si>
    <t>5 pallets high</t>
  </si>
  <si>
    <t>Ayman El Bakry</t>
  </si>
  <si>
    <t>GWC</t>
  </si>
  <si>
    <t>QAR /SQM/mth</t>
  </si>
  <si>
    <t>$ /SQM/mth</t>
  </si>
  <si>
    <t>Landscaping, fencing, land levelling and compacting, including roads and landscaping.</t>
  </si>
  <si>
    <t>Total Direct Cost</t>
  </si>
  <si>
    <t>QAR/SQM</t>
  </si>
  <si>
    <t>QAR/SQM/Month</t>
  </si>
  <si>
    <t>Buildling to Land Ratio</t>
  </si>
  <si>
    <t>Manateq 3% of rental administration fee</t>
  </si>
  <si>
    <t>Manateq fixed administration fee</t>
  </si>
  <si>
    <t>Annual Interest - Cash Account</t>
  </si>
  <si>
    <t>Annual Interest - Short term debt</t>
  </si>
  <si>
    <t>Building</t>
  </si>
  <si>
    <t>Other</t>
  </si>
  <si>
    <t>Depreciation</t>
  </si>
  <si>
    <t>Cooling Units</t>
  </si>
  <si>
    <t>Firefighting Equipment</t>
  </si>
  <si>
    <t>Flooring and Dock Levelers</t>
  </si>
  <si>
    <t>Investment</t>
  </si>
  <si>
    <t>Dry (M)</t>
  </si>
  <si>
    <t>AC (M)</t>
  </si>
  <si>
    <t>Chilled (M)</t>
  </si>
  <si>
    <t>Frozen (M)</t>
  </si>
  <si>
    <t>Building % payment</t>
  </si>
  <si>
    <t>Specialized Warehouses</t>
  </si>
  <si>
    <t>Total SQM D:</t>
  </si>
  <si>
    <t>D</t>
  </si>
  <si>
    <t>Dedicated Warehouses</t>
  </si>
  <si>
    <t>Specialised warehouses</t>
  </si>
  <si>
    <t>Capacity - Specialized</t>
  </si>
  <si>
    <t>TOTAL</t>
  </si>
  <si>
    <t>Accumulated Asset Values</t>
  </si>
  <si>
    <t>Equity Financing</t>
  </si>
  <si>
    <t>LTD Amount</t>
  </si>
  <si>
    <t>30 days AR as % of income</t>
  </si>
  <si>
    <t>Deferred Expenses as %</t>
  </si>
  <si>
    <t>CAPEX Schedule</t>
  </si>
  <si>
    <t>ABA Equity Amount</t>
  </si>
  <si>
    <t>1 million square metres Master-Planned Logistics Village</t>
  </si>
  <si>
    <t>330,000 square metres of warehouse</t>
  </si>
  <si>
    <t>100,000 square metres of truck parking and maintenance workshop</t>
  </si>
  <si>
    <t>44,000 square metres of container depot</t>
  </si>
  <si>
    <t>47,000 square metres of laydown area and auction yard</t>
  </si>
  <si>
    <t>43,000 square metres of residential and recreation facilities</t>
  </si>
  <si>
    <t>LVQ Data</t>
  </si>
  <si>
    <t>Customer Service</t>
  </si>
  <si>
    <t>Facilities Manager</t>
  </si>
  <si>
    <t>Facilities Management Staff</t>
  </si>
  <si>
    <t>Accounting</t>
  </si>
  <si>
    <t>Sales and marketing</t>
  </si>
  <si>
    <t>Administration Manager</t>
  </si>
  <si>
    <t>Business Manager</t>
  </si>
  <si>
    <t>Circular 3 Summary</t>
  </si>
  <si>
    <t>Phasing of development acceptable as long as it is completed within 2 years.</t>
  </si>
  <si>
    <t>Lease set to QAR 1 / m2 / year for the duration of the concession period</t>
  </si>
  <si>
    <t>Underlease periods not to exceed 2 years</t>
  </si>
  <si>
    <t>Underlease for logistics providers for SME</t>
  </si>
  <si>
    <t>Proposal for 3 plots &amp; itdentify preference</t>
  </si>
  <si>
    <t>If we change product mix, we have to justify with busine3ss case and market demand analysis</t>
  </si>
  <si>
    <t>A single road and utility connection will be provided to the boundary of the plot within 2 years of commencement but not guaranteed (point 28)</t>
  </si>
  <si>
    <t>Land and assets will be handed over to Manateq at end of the concession period, but can be extended via written agreement</t>
  </si>
  <si>
    <t>Topographical survey not available and at cost of bidder</t>
  </si>
  <si>
    <t>QAR 10 M bond issues via a local Qatari financial institution</t>
  </si>
  <si>
    <t>Traffic impact study, environmental study, technical study , master planning, and demand analysis are the responsibility of the bidder</t>
  </si>
  <si>
    <t>Submission of the technical and commercial envelopes in one overall cover</t>
  </si>
  <si>
    <t>3PL allowed as long as it complies with permitted use</t>
  </si>
  <si>
    <t>Main company should be a logistics operator</t>
  </si>
  <si>
    <t>Utility connection fee to the site is the responsibility of the bidder</t>
  </si>
  <si>
    <t>3 business plans required for 15, 20, and 25 years plus a preferred period.</t>
  </si>
  <si>
    <t>Legal</t>
  </si>
  <si>
    <t>QAR / month</t>
  </si>
  <si>
    <t>Number</t>
  </si>
  <si>
    <t>Total QAR / month</t>
  </si>
  <si>
    <t>Construction project manager</t>
  </si>
  <si>
    <t xml:space="preserve">Constructing </t>
  </si>
  <si>
    <t>Utilities for the admin office</t>
  </si>
  <si>
    <t>Security of Common Parts 24x7</t>
  </si>
  <si>
    <t>HVAC</t>
  </si>
  <si>
    <t>Staffing</t>
  </si>
  <si>
    <t>Cooling requirements</t>
  </si>
  <si>
    <t>CBM</t>
  </si>
  <si>
    <t>Watt / CBM</t>
  </si>
  <si>
    <t>Compressor Cost QAR</t>
  </si>
  <si>
    <t>QAR / Watt</t>
  </si>
  <si>
    <t>16 kW or 48,000 Btu cooling @ USD 5,736</t>
  </si>
  <si>
    <t>LTD Interest</t>
  </si>
  <si>
    <t>LTD Principal</t>
  </si>
  <si>
    <t>Salvage Value of Buildings</t>
  </si>
  <si>
    <t>Building value added</t>
  </si>
  <si>
    <t>Divident Payout</t>
  </si>
  <si>
    <t>Building Value</t>
  </si>
  <si>
    <t>Other Assets</t>
  </si>
  <si>
    <t>DEPRECIATION Schedule</t>
  </si>
  <si>
    <t>SUM OF DEPRECIATIONS</t>
  </si>
  <si>
    <t>Using VDB for calculating asset depreciation (Variable Declining Balance)</t>
  </si>
  <si>
    <t>Returns the depreciation of an asset for any period you specify, including partial periods, using the double-declining balance method or some other method you specify.</t>
  </si>
  <si>
    <t>Numerical assumptions related to costs, depreciation and other financials are found in the "Input" sheet.</t>
  </si>
  <si>
    <t>Depreciation of an asset purchased during a financial year starts in the following financial year.</t>
  </si>
  <si>
    <t>Assumptions related to increase in rates or rental and distribution of funds are found in the relevant sheets in light orange or light red colored cells.</t>
  </si>
  <si>
    <t>Construction is impleneted in a single phase.</t>
  </si>
  <si>
    <t>Plots assume access from multiple roads as depicted by massing diagrams.</t>
  </si>
  <si>
    <t>YEAR 10</t>
  </si>
  <si>
    <t>YEAR 9</t>
  </si>
  <si>
    <t>YEAR 8</t>
  </si>
  <si>
    <t>YEAR 7</t>
  </si>
  <si>
    <t>YEAR 6</t>
  </si>
  <si>
    <t>YEAR 5</t>
  </si>
  <si>
    <t>YEAR 4</t>
  </si>
  <si>
    <t>YEAR 3</t>
  </si>
  <si>
    <t>YEAR 2</t>
  </si>
  <si>
    <t>YEAR 1</t>
  </si>
  <si>
    <t>YEAR 0</t>
  </si>
  <si>
    <t>Net Cash Flow (Based on Incremental Cont.)    QR '000</t>
  </si>
  <si>
    <t>Pay Back Periods</t>
  </si>
  <si>
    <t>&lt;&lt;&lt; Enter the Base Case %</t>
  </si>
  <si>
    <t>Sales @</t>
  </si>
  <si>
    <t>&lt;&lt;&lt; Enter the Sales Increase / (Decrease) %</t>
  </si>
  <si>
    <t>Base Case</t>
  </si>
  <si>
    <t>If Sales Up / (Dropped) by</t>
  </si>
  <si>
    <t>Sales Sensitivity Analasys</t>
  </si>
  <si>
    <t>Ali Bin Ali Establishment</t>
  </si>
  <si>
    <t>IRR</t>
  </si>
  <si>
    <t xml:space="preserve">NPV </t>
  </si>
  <si>
    <t>Net Present Value</t>
  </si>
  <si>
    <t>Yrs : Mths</t>
  </si>
  <si>
    <t>Pay Back</t>
  </si>
  <si>
    <t>QAR</t>
  </si>
  <si>
    <t>Cash Flow Benefits</t>
  </si>
  <si>
    <t>QR</t>
  </si>
  <si>
    <t>Initial Outlay</t>
  </si>
  <si>
    <t>Present Value</t>
  </si>
  <si>
    <t>Cash Flow net off Investment</t>
  </si>
  <si>
    <t>Cumulative Cash Flow</t>
  </si>
  <si>
    <t>Incremental Employees</t>
  </si>
  <si>
    <t>N C F (Based on Incremental Cont.)</t>
  </si>
  <si>
    <t>+/- Change in Working Capital</t>
  </si>
  <si>
    <t xml:space="preserve"> -   Capital Expenditure</t>
  </si>
  <si>
    <t>+   Depreciation</t>
  </si>
  <si>
    <t xml:space="preserve">     Incremental Contribution</t>
  </si>
  <si>
    <t>ROABA% -Incremental Contribution</t>
  </si>
  <si>
    <t>Working Cap./Sales%</t>
  </si>
  <si>
    <t>Trade Creditors days</t>
  </si>
  <si>
    <t>Trade Debtors Days</t>
  </si>
  <si>
    <t>Stock Days (Forward Basis)</t>
  </si>
  <si>
    <t>Ratios</t>
  </si>
  <si>
    <t>Business Assets</t>
  </si>
  <si>
    <t>Cost of Sales % of Purchase Cost</t>
  </si>
  <si>
    <t xml:space="preserve">     Business Creditors</t>
  </si>
  <si>
    <t>Cash Sales %</t>
  </si>
  <si>
    <t xml:space="preserve">     Business Debtors</t>
  </si>
  <si>
    <t xml:space="preserve">     Deposits and Prepayments</t>
  </si>
  <si>
    <t xml:space="preserve">     Stock</t>
  </si>
  <si>
    <t xml:space="preserve">     PBT : Sales%</t>
  </si>
  <si>
    <t xml:space="preserve">     Incremental Contribution : Sales%</t>
  </si>
  <si>
    <t xml:space="preserve">     Direct Overheads to Sales %</t>
  </si>
  <si>
    <t xml:space="preserve">     Major Works : Sales%</t>
  </si>
  <si>
    <t xml:space="preserve">     Landscaping of Common Parts : Sales%</t>
  </si>
  <si>
    <t xml:space="preserve">     Cleaning and Environmental Charges : Sales%</t>
  </si>
  <si>
    <t xml:space="preserve">     Water and Sewage Charges for Common Parts : Sales%</t>
  </si>
  <si>
    <t xml:space="preserve">     Security of Common Parts 24x7 : Sales%</t>
  </si>
  <si>
    <t xml:space="preserve">     Energy Costs for Common Parts : Sales%</t>
  </si>
  <si>
    <t xml:space="preserve">     Miscellaneous : Sales%</t>
  </si>
  <si>
    <t xml:space="preserve">     Vehicle Operations : Sales%</t>
  </si>
  <si>
    <t xml:space="preserve">     Supplies : Sales%</t>
  </si>
  <si>
    <t xml:space="preserve">     Salaries : Sales%</t>
  </si>
  <si>
    <t xml:space="preserve">     Repairs and Maintenance of Common Parts : Sales%</t>
  </si>
  <si>
    <t xml:space="preserve">     Marketing : Sales%</t>
  </si>
  <si>
    <t xml:space="preserve">     Management Fees : Sales%</t>
  </si>
  <si>
    <t xml:space="preserve">     Licenses : Sales%</t>
  </si>
  <si>
    <t xml:space="preserve">     Buildings Insurance : Sales%</t>
  </si>
  <si>
    <t xml:space="preserve">     Information Systems : Sales%</t>
  </si>
  <si>
    <t xml:space="preserve">     Communications (phone and Internet) : Sales%</t>
  </si>
  <si>
    <t xml:space="preserve">     Utilities for the admin office : Sales%</t>
  </si>
  <si>
    <t xml:space="preserve">     Construction project manager : Sales%</t>
  </si>
  <si>
    <t xml:space="preserve">     Pre-operating Exp</t>
  </si>
  <si>
    <t xml:space="preserve">     Income : Sales %</t>
  </si>
  <si>
    <t>Profit Before Tax</t>
  </si>
  <si>
    <t xml:space="preserve">     Interest</t>
  </si>
  <si>
    <t>Profit Before Interest</t>
  </si>
  <si>
    <t xml:space="preserve">     Allocation Of Overheads</t>
  </si>
  <si>
    <t>Incremental Contribution</t>
  </si>
  <si>
    <t xml:space="preserve">     Depreciation</t>
  </si>
  <si>
    <t>Profit Before Dep &amp; Interest</t>
  </si>
  <si>
    <t>Total Direct Overheads</t>
  </si>
  <si>
    <t xml:space="preserve">     Major Works</t>
  </si>
  <si>
    <t xml:space="preserve">     Landscaping of Common Parts</t>
  </si>
  <si>
    <t xml:space="preserve">     Cleaning and Environmental Charges</t>
  </si>
  <si>
    <t xml:space="preserve">     Water and Sewage Charges for Common Parts</t>
  </si>
  <si>
    <t xml:space="preserve">     Security of Common Parts 24x7</t>
  </si>
  <si>
    <t xml:space="preserve">     Energy Costs for Common Parts</t>
  </si>
  <si>
    <t xml:space="preserve">     Miscellaneous</t>
  </si>
  <si>
    <t xml:space="preserve">     Vehicle Operations</t>
  </si>
  <si>
    <t xml:space="preserve">     Supplies</t>
  </si>
  <si>
    <t xml:space="preserve">     Salaries</t>
  </si>
  <si>
    <t xml:space="preserve">     Repairs and Maintenance of Common Parts</t>
  </si>
  <si>
    <t xml:space="preserve">     Marketing</t>
  </si>
  <si>
    <t xml:space="preserve">     Management Fees</t>
  </si>
  <si>
    <t xml:space="preserve">     Licenses</t>
  </si>
  <si>
    <t xml:space="preserve">     Buildings Insurance</t>
  </si>
  <si>
    <t xml:space="preserve">     Information Systems</t>
  </si>
  <si>
    <t xml:space="preserve">     Communications (phone and Internet)</t>
  </si>
  <si>
    <t xml:space="preserve">     Utilities for the admin office</t>
  </si>
  <si>
    <t xml:space="preserve">     Construction project manager</t>
  </si>
  <si>
    <t xml:space="preserve">     Total Income</t>
  </si>
  <si>
    <t xml:space="preserve">     Manateq - Administration fee</t>
  </si>
  <si>
    <t xml:space="preserve">     Manateq - Rental </t>
  </si>
  <si>
    <t xml:space="preserve">     Manateq - Lease Rent</t>
  </si>
  <si>
    <t xml:space="preserve">     Gross Profit</t>
  </si>
  <si>
    <t>Sales</t>
  </si>
  <si>
    <t>Year 19</t>
  </si>
  <si>
    <t>Year 18</t>
  </si>
  <si>
    <t>Year 17</t>
  </si>
  <si>
    <t>Year 16</t>
  </si>
  <si>
    <t>Year 15</t>
  </si>
  <si>
    <t>Year 14</t>
  </si>
  <si>
    <t>Year 13</t>
  </si>
  <si>
    <t>Year 12</t>
  </si>
  <si>
    <t>Year 11</t>
  </si>
  <si>
    <t>Year 10</t>
  </si>
  <si>
    <t>Year 9</t>
  </si>
  <si>
    <t>Year 8</t>
  </si>
  <si>
    <t>Year 7</t>
  </si>
  <si>
    <t>Year 6</t>
  </si>
  <si>
    <t>Year 5</t>
  </si>
  <si>
    <t>Year 4</t>
  </si>
  <si>
    <t>Year 3</t>
  </si>
  <si>
    <t>Year 2</t>
  </si>
  <si>
    <t>Year 1</t>
  </si>
  <si>
    <t>Year 0</t>
  </si>
  <si>
    <t>Grw %</t>
  </si>
  <si>
    <t>Sales Growth</t>
  </si>
  <si>
    <t>Country : Qatar</t>
  </si>
  <si>
    <t>Currency :   QAR '000's</t>
  </si>
  <si>
    <t>Ali Bin Ali Establishment, Manteq Project</t>
  </si>
  <si>
    <t>To generate the above Scenarios - (Update Cell "C15 to G15" in "Summary" Sheet)</t>
  </si>
  <si>
    <t>Base Case (Update Cell "B16" in "Summary" Sheet)</t>
  </si>
  <si>
    <t>Sales Sensitivity Factor</t>
  </si>
  <si>
    <t>Assumptions :</t>
  </si>
  <si>
    <t xml:space="preserve">Interest </t>
  </si>
  <si>
    <t>Credit Days</t>
  </si>
  <si>
    <t>Debtors Days</t>
  </si>
  <si>
    <t>Stock Days</t>
  </si>
  <si>
    <t>Allocation Overheads</t>
  </si>
  <si>
    <t>YOY increase (%)</t>
  </si>
  <si>
    <t>Total Expenses</t>
  </si>
  <si>
    <t>Manateq Charges : Sales %</t>
  </si>
  <si>
    <t>Manateq - Charges</t>
  </si>
  <si>
    <t>Pre-operating Exp</t>
  </si>
  <si>
    <t>Annual - Gross Profit</t>
  </si>
  <si>
    <t>Gross Profit %</t>
  </si>
  <si>
    <t>Annual - Sales</t>
  </si>
  <si>
    <t>Daily Sales</t>
  </si>
  <si>
    <t>QR '000</t>
  </si>
  <si>
    <t>Input Area</t>
  </si>
  <si>
    <t>Moving forward, after Year 0, every year the depreciation is assumed to begin in the same year, where the outflow happens</t>
  </si>
  <si>
    <t>Though there might be capital outflows in Year 0, depreciation is assumed to start only from year 1.</t>
  </si>
  <si>
    <t>Depreciation is assumed at straight line method, based on the years shown in rows 33 and 34 above.</t>
  </si>
  <si>
    <t>0 Yr Category</t>
  </si>
  <si>
    <t>3 Yr Category</t>
  </si>
  <si>
    <t>5 Yr Category</t>
  </si>
  <si>
    <t>Years</t>
  </si>
  <si>
    <t>ASSUMPTION</t>
  </si>
  <si>
    <t>ACCUMULATED DEPRECIATION</t>
  </si>
  <si>
    <t>DEPRECIATION</t>
  </si>
  <si>
    <t>NET FIXED ASSETS</t>
  </si>
  <si>
    <t>FIXED ASSETS</t>
  </si>
  <si>
    <t>Land</t>
  </si>
  <si>
    <t xml:space="preserve">Software </t>
  </si>
  <si>
    <t>Interest Capitalised</t>
  </si>
  <si>
    <t>Pre-Op Expenses</t>
  </si>
  <si>
    <t>CAPEX (QR '000)</t>
  </si>
  <si>
    <t xml:space="preserve">QR '000 </t>
  </si>
  <si>
    <t xml:space="preserve">Capital Budget </t>
  </si>
  <si>
    <t>Cumulative -Cash Accounts</t>
  </si>
  <si>
    <t>Cash Accounts</t>
  </si>
  <si>
    <t>Cumiliative - Equity Funding &amp; Dividend Payout</t>
  </si>
  <si>
    <t>Dividend</t>
  </si>
  <si>
    <t>Available for Dividend Pay</t>
  </si>
  <si>
    <t>STL Funding</t>
  </si>
  <si>
    <t>(Shortfall) / Surplus</t>
  </si>
  <si>
    <t>Loan Repayment</t>
  </si>
  <si>
    <t>Net Cash Flow</t>
  </si>
  <si>
    <t>Cumulative PBT</t>
  </si>
  <si>
    <t>Interest on Shortfall</t>
  </si>
  <si>
    <t>Interest - Term Loan</t>
  </si>
  <si>
    <t>Profit Before Interest &amp; Tax</t>
  </si>
  <si>
    <t>Closing Balance</t>
  </si>
  <si>
    <t>New Loan</t>
  </si>
  <si>
    <t>Opening Balance</t>
  </si>
  <si>
    <t>Long Term Loan</t>
  </si>
  <si>
    <t>Principal Repayment</t>
  </si>
  <si>
    <t>Loan Capitalised</t>
  </si>
  <si>
    <t>Total Funds Utilised</t>
  </si>
  <si>
    <t>Equity</t>
  </si>
  <si>
    <t>Short Term Loan</t>
  </si>
  <si>
    <t>Total Utilisation of Funds</t>
  </si>
  <si>
    <t>Cash</t>
  </si>
  <si>
    <t>Business Creditors</t>
  </si>
  <si>
    <t>Business Debtors</t>
  </si>
  <si>
    <t>Deposits and Prepayments</t>
  </si>
  <si>
    <t>Stock</t>
  </si>
  <si>
    <t>BALANCE SHEET</t>
  </si>
  <si>
    <t>Total STL</t>
  </si>
  <si>
    <t>Loan</t>
  </si>
  <si>
    <t>Total Payment</t>
  </si>
  <si>
    <t>Interest Payment</t>
  </si>
  <si>
    <t>Change in Working Capital</t>
  </si>
  <si>
    <t>Capital Expenditure</t>
  </si>
  <si>
    <t>STL</t>
  </si>
  <si>
    <t>LTL</t>
  </si>
  <si>
    <t>(QR '000)</t>
  </si>
  <si>
    <t>STL C/B</t>
  </si>
  <si>
    <t>STL O/B</t>
  </si>
  <si>
    <t>LTL C/B</t>
  </si>
  <si>
    <t>Repayment</t>
  </si>
  <si>
    <t>LTL O/B</t>
  </si>
  <si>
    <t>No. of months</t>
  </si>
  <si>
    <t>Total Loan</t>
  </si>
  <si>
    <t>Interest Capitalized</t>
  </si>
  <si>
    <t>Debt Funding</t>
  </si>
  <si>
    <t>Equity Funding</t>
  </si>
  <si>
    <t>Capex</t>
  </si>
  <si>
    <t>Loan Period (Months)</t>
  </si>
  <si>
    <t>STD - Interest Rate</t>
  </si>
  <si>
    <t>LTD - Interest Rate</t>
  </si>
  <si>
    <t>Add</t>
  </si>
  <si>
    <t>Loan Opening Balance</t>
  </si>
  <si>
    <t>Total Capex + W.Cap + Preop</t>
  </si>
  <si>
    <t>Total Capex</t>
  </si>
  <si>
    <t>Debt funding</t>
  </si>
  <si>
    <t>Long Term Loan Interest</t>
  </si>
  <si>
    <t>SQM *Rate * Capacity Utilisation</t>
  </si>
  <si>
    <t xml:space="preserve"> = Rate * Rate Factor</t>
  </si>
  <si>
    <t xml:space="preserve"> Summary of Manateq - Feasibility Study</t>
  </si>
  <si>
    <t>Dividend Payment</t>
  </si>
  <si>
    <t>Information used for Pre-op cost</t>
  </si>
  <si>
    <t>Average Staff cost - Annual</t>
  </si>
  <si>
    <t>Head Count</t>
  </si>
  <si>
    <t>Annual Salaries - Year on Year</t>
  </si>
  <si>
    <t>Incremental Staff cost</t>
  </si>
  <si>
    <t>Additional Head Count</t>
  </si>
  <si>
    <t>Annual Salaries</t>
  </si>
  <si>
    <t>Year on Year Growth %</t>
  </si>
  <si>
    <t>YEAR 25</t>
  </si>
  <si>
    <t>YEAR 24</t>
  </si>
  <si>
    <t>YEAR 23</t>
  </si>
  <si>
    <t>YEAR 22</t>
  </si>
  <si>
    <t>YEAR 21</t>
  </si>
  <si>
    <t>YEAR 20</t>
  </si>
  <si>
    <t>YEAR 19</t>
  </si>
  <si>
    <t>YEAR 18</t>
  </si>
  <si>
    <t>YEAR 17</t>
  </si>
  <si>
    <t>YEAR 16</t>
  </si>
  <si>
    <t>YEAR 15</t>
  </si>
  <si>
    <t>YEAR 14</t>
  </si>
  <si>
    <t>YEAR 13</t>
  </si>
  <si>
    <t>YEAR 12</t>
  </si>
  <si>
    <t>YEAR 11</t>
  </si>
  <si>
    <t>Staff Direct &amp; Other Cost</t>
  </si>
  <si>
    <t>Total - Staff Cost</t>
  </si>
  <si>
    <t>Total Annual</t>
  </si>
  <si>
    <t>Other Cost</t>
  </si>
  <si>
    <t>Immig.</t>
  </si>
  <si>
    <t>Uniform</t>
  </si>
  <si>
    <t>Gratuity</t>
  </si>
  <si>
    <t>Bonus</t>
  </si>
  <si>
    <t xml:space="preserve">Air Ticket </t>
  </si>
  <si>
    <t>Gross Salary</t>
  </si>
  <si>
    <t>Car &amp; Tr</t>
  </si>
  <si>
    <t>HRA</t>
  </si>
  <si>
    <t>Basic</t>
  </si>
  <si>
    <t>Grade</t>
  </si>
  <si>
    <t>Designation</t>
  </si>
  <si>
    <t>Adv. Recruitment</t>
  </si>
  <si>
    <t>Monthly</t>
  </si>
  <si>
    <t>Currency : QAR</t>
  </si>
  <si>
    <t>Year 20</t>
  </si>
  <si>
    <t>Year 21</t>
  </si>
  <si>
    <t>Year 22</t>
  </si>
  <si>
    <t>Year 23</t>
  </si>
  <si>
    <t>Year 24</t>
  </si>
  <si>
    <t>Year 25</t>
  </si>
  <si>
    <t>Operations_Staff Cost</t>
  </si>
  <si>
    <t xml:space="preserve">Project_Staff Cost </t>
  </si>
  <si>
    <t>Equity Contribution</t>
  </si>
  <si>
    <t>Civil defence clearing site and buildings for operations is necessary on time when buildings are constructed to ensure revenue flows according to financial model.</t>
  </si>
  <si>
    <t>15 Yr Category</t>
  </si>
  <si>
    <t>Low bay warehouse G+3 @1.2 m high pallet</t>
  </si>
  <si>
    <t>LVQ A</t>
  </si>
  <si>
    <t>LVQ B</t>
  </si>
  <si>
    <t>12 m clear height</t>
  </si>
  <si>
    <t>GWC Chemical</t>
  </si>
  <si>
    <t>Plus other charges like waster disposal, and IT line rental</t>
  </si>
  <si>
    <t>Chilled / Frozen</t>
  </si>
  <si>
    <t>rental per room per month each room accommodates 3 people</t>
  </si>
  <si>
    <t>Chemical 3PL</t>
  </si>
  <si>
    <t>assume 16 sqm room</t>
  </si>
  <si>
    <t>less ratio of kitchen SQM to accommodation SQM (30%)</t>
  </si>
  <si>
    <t>Mezzanine above Stage</t>
  </si>
  <si>
    <t>N</t>
  </si>
  <si>
    <t>185 QAR / pallet per month 3PL rate</t>
  </si>
  <si>
    <t>per pallet per day (Jon)</t>
  </si>
  <si>
    <t>Dry QAR</t>
  </si>
  <si>
    <t>AC QAR</t>
  </si>
  <si>
    <t>Chilled QAR</t>
  </si>
  <si>
    <t>Frozen QAR</t>
  </si>
  <si>
    <t>Mezzanine QAR</t>
  </si>
  <si>
    <t>Cost QAR/SQM</t>
  </si>
  <si>
    <t>Cost QAR</t>
  </si>
  <si>
    <t>Total QAR:</t>
  </si>
  <si>
    <t>QAR/SQM:</t>
  </si>
  <si>
    <t>Built up / Rentable SQM</t>
  </si>
  <si>
    <t>To house approx. 2000 persons. Multi-level building. To include open space. 4 person rooms for accommodation.</t>
  </si>
  <si>
    <t>Construction management team</t>
  </si>
  <si>
    <t>Building Schedule: A table or pie showing the different buildings and their percentages compared to the total build up area</t>
  </si>
  <si>
    <t>Temperature schedule: A pie chart depicting the percentages and total sqm per storage condition</t>
  </si>
  <si>
    <t>Same as above but for the building costs</t>
  </si>
  <si>
    <t>Line graph to display how the revenues will increase with time (similar to graph d)</t>
  </si>
  <si>
    <t>Pie chart displaying the source of revenues by percentage and net amounts</t>
  </si>
  <si>
    <t>Capacity in PPs or m3 over the buildup period: This graph (Line) should highlight how the available capacity will increase over the startup period until it reaches the maximum available. Rented capacity or available to rent capacity or both.</t>
  </si>
  <si>
    <r>
      <rPr>
        <sz val="7"/>
        <rFont val="Times New Roman"/>
        <family val="1"/>
      </rPr>
      <t xml:space="preserve"> </t>
    </r>
    <r>
      <rPr>
        <sz val="11"/>
        <rFont val="Calibri"/>
        <family val="2"/>
        <scheme val="minor"/>
      </rPr>
      <t>Pie chart to highlight the breakdown of Admin or Fixed costs</t>
    </r>
  </si>
  <si>
    <t xml:space="preserve">Philipp to develop a list of Ratio Analysis graphs which from his experience are required and common for such type of investment </t>
  </si>
  <si>
    <t>A graph that shows the different sources of revenues (% and amounts)</t>
  </si>
  <si>
    <t>Common Parking</t>
  </si>
  <si>
    <t>DRY</t>
  </si>
  <si>
    <t>CHILLED</t>
  </si>
  <si>
    <t>FROZEN</t>
  </si>
  <si>
    <t>Land SQM</t>
  </si>
  <si>
    <t>Building SQM</t>
  </si>
  <si>
    <t>Large 3PL Warehouses</t>
  </si>
  <si>
    <t>Modular Warehouses</t>
  </si>
  <si>
    <t>Small Modular Warehouses</t>
  </si>
  <si>
    <t>Covered Yard</t>
  </si>
  <si>
    <t>Total QAR</t>
  </si>
  <si>
    <t>-</t>
  </si>
  <si>
    <t>Freezer</t>
  </si>
  <si>
    <r>
      <t xml:space="preserve">Initial Outlay               </t>
    </r>
    <r>
      <rPr>
        <sz val="11"/>
        <color theme="0"/>
        <rFont val="Helvetica"/>
      </rPr>
      <t xml:space="preserve"> (QR '000)</t>
    </r>
  </si>
  <si>
    <r>
      <t xml:space="preserve">Net Present Value    </t>
    </r>
    <r>
      <rPr>
        <sz val="11"/>
        <color theme="0"/>
        <rFont val="Helvetica"/>
      </rPr>
      <t xml:space="preserve">  (QR '000)</t>
    </r>
  </si>
  <si>
    <t>SQM projection</t>
  </si>
  <si>
    <t>Rentable</t>
  </si>
  <si>
    <t>Manateq 3% rental administration fee</t>
  </si>
  <si>
    <t>Specialized Warehousing</t>
  </si>
  <si>
    <t>Increased cost of compressors</t>
  </si>
  <si>
    <t>Previous estimates</t>
  </si>
  <si>
    <t>Engineer's estimates</t>
  </si>
  <si>
    <t>Compressors will be changed every 10 years, confirmed by engineers, instead of previous 3 years as originally recommended by ABA. By 2030 we would have had to change them all.</t>
  </si>
  <si>
    <t>Units by type, size, and temperature</t>
  </si>
  <si>
    <t>Block</t>
  </si>
  <si>
    <t>No. of blocks</t>
  </si>
  <si>
    <t>1st FL</t>
  </si>
  <si>
    <t>G. FL</t>
  </si>
  <si>
    <t>Total FL</t>
  </si>
  <si>
    <t>Area SQM per block</t>
  </si>
  <si>
    <t>Total area SQM</t>
  </si>
  <si>
    <t>Total builtup area SQM</t>
  </si>
  <si>
    <t>YARD</t>
  </si>
  <si>
    <t>WAREHOUSES</t>
  </si>
  <si>
    <t>Entrence and Guardhouse</t>
  </si>
  <si>
    <t>Admin / Commercial Bldg</t>
  </si>
  <si>
    <t>Labour Accommodation</t>
  </si>
  <si>
    <t>Maintenance Workshops</t>
  </si>
  <si>
    <t>SUPPORTING FACILITIES</t>
  </si>
  <si>
    <t>Previous rental rate values</t>
  </si>
  <si>
    <t>OFFICES</t>
  </si>
  <si>
    <t>AREA SQM</t>
  </si>
  <si>
    <t>No. of units</t>
  </si>
  <si>
    <t>SQM per unit</t>
  </si>
  <si>
    <t>Total SQM</t>
  </si>
  <si>
    <t>Total Units</t>
  </si>
  <si>
    <t>Solar Panels</t>
  </si>
  <si>
    <t>INFRASTRUCTURE AND OTHER BUILDINGS</t>
  </si>
  <si>
    <t>Builtup / Rentable SQM</t>
  </si>
  <si>
    <t>QAR / SQM</t>
  </si>
  <si>
    <t>TOTAL CONSTRUCTION COST</t>
  </si>
</sst>
</file>

<file path=xl/styles.xml><?xml version="1.0" encoding="utf-8"?>
<styleSheet xmlns="http://schemas.openxmlformats.org/spreadsheetml/2006/main" xmlns:mc="http://schemas.openxmlformats.org/markup-compatibility/2006" xmlns:x14ac="http://schemas.microsoft.com/office/spreadsheetml/2009/9/ac" mc:Ignorable="x14ac">
  <numFmts count="32">
    <numFmt numFmtId="43" formatCode="_(* #,##0.00_);_(* \(#,##0.00\);_(* &quot;-&quot;??_);_(@_)"/>
    <numFmt numFmtId="164" formatCode="_-* #,##0.00_-;\-* #,##0.00_-;_-* &quot;-&quot;??_-;_-@_-"/>
    <numFmt numFmtId="165" formatCode="_-* #,##0_-;\-* #,##0_-;_-* &quot;-&quot;??_-;_-@_-"/>
    <numFmt numFmtId="166" formatCode="0.0%"/>
    <numFmt numFmtId="167" formatCode="_-* #,##0_-;\-* #,##0_-;_-* &quot;-&quot;???_-;_-@_-"/>
    <numFmt numFmtId="168" formatCode="_-* #,##0.0000_-;\-* #,##0.0000_-;_-* &quot;-&quot;??_-;_-@_-"/>
    <numFmt numFmtId="169" formatCode="#,##0_ ;\-#,##0\ "/>
    <numFmt numFmtId="170" formatCode="#,##0;[Red]\(#,##0\)"/>
    <numFmt numFmtId="171" formatCode="#,##0.00;[Red]\(#,##0.00\)"/>
    <numFmt numFmtId="172" formatCode="#,##0%_);[Red]\(#,##0\)%"/>
    <numFmt numFmtId="173" formatCode="_(* #,##0_);_(* \(#,##0\);_(* &quot;-&quot;??_);_(@_)"/>
    <numFmt numFmtId="174" formatCode="#,##0.0_);[Red]\(#,##0.0\)"/>
    <numFmt numFmtId="175" formatCode="#,##0.0%_);[Red]\(#,##0.0\)%"/>
    <numFmt numFmtId="176" formatCode="&quot;Mths&quot;"/>
    <numFmt numFmtId="177" formatCode="&quot;YRS&quot;"/>
    <numFmt numFmtId="178" formatCode="&quot;IRR&quot;"/>
    <numFmt numFmtId="179" formatCode="&quot;NPV&quot;"/>
    <numFmt numFmtId="180" formatCode="&quot;Initial Outlay&quot;"/>
    <numFmt numFmtId="181" formatCode="&quot;Year 10&quot;"/>
    <numFmt numFmtId="182" formatCode="&quot;Year 9&quot;"/>
    <numFmt numFmtId="183" formatCode="&quot;Year 8&quot;"/>
    <numFmt numFmtId="184" formatCode="&quot;Year 7&quot;"/>
    <numFmt numFmtId="185" formatCode="&quot;Year 6&quot;"/>
    <numFmt numFmtId="186" formatCode="&quot;Year 5&quot;"/>
    <numFmt numFmtId="187" formatCode="&quot;Year 4&quot;"/>
    <numFmt numFmtId="188" formatCode="&quot;Year 3&quot;"/>
    <numFmt numFmtId="189" formatCode="&quot;Year 2&quot;"/>
    <numFmt numFmtId="190" formatCode="&quot;Year 1&quot;"/>
    <numFmt numFmtId="191" formatCode="&quot;Year 0&quot;"/>
    <numFmt numFmtId="192" formatCode="_(* #,##0.0_);_(* \(#,##0.0\);_(* &quot;-&quot;??_);_(@_)"/>
    <numFmt numFmtId="193" formatCode="_-* #,##0.00000_-;\-* #,##0.00000_-;_-* &quot;-&quot;??_-;_-@_-"/>
    <numFmt numFmtId="194" formatCode="#,##0%_);\(#,##0\)%"/>
  </numFmts>
  <fonts count="53"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8"/>
      <color theme="1"/>
      <name val="Calibri"/>
      <family val="2"/>
      <scheme val="minor"/>
    </font>
    <font>
      <b/>
      <sz val="11"/>
      <name val="Calibri"/>
      <family val="2"/>
      <scheme val="minor"/>
    </font>
    <font>
      <i/>
      <sz val="11"/>
      <color theme="1"/>
      <name val="Calibri"/>
      <family val="2"/>
      <scheme val="minor"/>
    </font>
    <font>
      <b/>
      <i/>
      <sz val="11"/>
      <color theme="1"/>
      <name val="Calibri"/>
      <family val="2"/>
      <scheme val="minor"/>
    </font>
    <font>
      <b/>
      <sz val="20"/>
      <color theme="1"/>
      <name val="Calibri"/>
      <family val="2"/>
      <scheme val="minor"/>
    </font>
    <font>
      <sz val="10"/>
      <name val="Arial"/>
      <family val="2"/>
    </font>
    <font>
      <sz val="12"/>
      <name val="Times New Roman"/>
      <family val="1"/>
    </font>
    <font>
      <b/>
      <sz val="12"/>
      <name val="Times New Roman"/>
      <family val="1"/>
    </font>
    <font>
      <b/>
      <sz val="12"/>
      <name val="Arial"/>
      <family val="2"/>
    </font>
    <font>
      <sz val="10"/>
      <name val="Arial"/>
      <family val="2"/>
    </font>
    <font>
      <sz val="11"/>
      <name val="Times New Roman"/>
      <family val="1"/>
    </font>
    <font>
      <b/>
      <sz val="11"/>
      <color indexed="8"/>
      <name val="Times New Roman"/>
      <family val="1"/>
    </font>
    <font>
      <b/>
      <sz val="11"/>
      <name val="Times New Roman"/>
      <family val="1"/>
    </font>
    <font>
      <b/>
      <sz val="11"/>
      <color indexed="39"/>
      <name val="Times New Roman"/>
      <family val="1"/>
    </font>
    <font>
      <sz val="9"/>
      <name val="Times New Roman"/>
      <family val="1"/>
    </font>
    <font>
      <b/>
      <sz val="9"/>
      <name val="Times New Roman"/>
      <family val="1"/>
    </font>
    <font>
      <sz val="11"/>
      <color indexed="8"/>
      <name val="Times New Roman"/>
      <family val="1"/>
    </font>
    <font>
      <b/>
      <u/>
      <sz val="11"/>
      <name val="Times New Roman"/>
      <family val="1"/>
    </font>
    <font>
      <b/>
      <sz val="9"/>
      <color indexed="39"/>
      <name val="Times New Roman"/>
      <family val="1"/>
    </font>
    <font>
      <sz val="9"/>
      <color indexed="8"/>
      <name val="Times New Roman"/>
      <family val="1"/>
    </font>
    <font>
      <sz val="11"/>
      <color indexed="39"/>
      <name val="Times New Roman"/>
      <family val="1"/>
    </font>
    <font>
      <sz val="10"/>
      <name val="Times New Roman"/>
      <family val="1"/>
    </font>
    <font>
      <b/>
      <sz val="10"/>
      <name val="Times New Roman"/>
      <family val="1"/>
    </font>
    <font>
      <sz val="8"/>
      <name val="Times New Roman"/>
      <family val="1"/>
    </font>
    <font>
      <b/>
      <sz val="10"/>
      <color indexed="39"/>
      <name val="Arial"/>
      <family val="2"/>
    </font>
    <font>
      <sz val="11"/>
      <name val="Arial"/>
      <family val="2"/>
    </font>
    <font>
      <b/>
      <sz val="12"/>
      <color indexed="39"/>
      <name val="Arial"/>
      <family val="2"/>
    </font>
    <font>
      <b/>
      <sz val="8"/>
      <name val="Times New Roman"/>
      <family val="1"/>
    </font>
    <font>
      <b/>
      <u/>
      <sz val="10"/>
      <name val="Times New Roman"/>
      <family val="1"/>
    </font>
    <font>
      <b/>
      <sz val="10"/>
      <name val="Arial"/>
      <family val="2"/>
    </font>
    <font>
      <sz val="12"/>
      <color theme="1"/>
      <name val="Calibri"/>
      <family val="2"/>
      <scheme val="minor"/>
    </font>
    <font>
      <b/>
      <sz val="8"/>
      <color indexed="81"/>
      <name val="Tahoma"/>
      <family val="2"/>
    </font>
    <font>
      <sz val="8"/>
      <color indexed="81"/>
      <name val="Tahoma"/>
      <family val="2"/>
    </font>
    <font>
      <sz val="11"/>
      <name val="Calibri"/>
      <family val="2"/>
      <scheme val="minor"/>
    </font>
    <font>
      <sz val="7"/>
      <name val="Times New Roman"/>
      <family val="1"/>
    </font>
    <font>
      <sz val="10"/>
      <name val="Helvetica"/>
    </font>
    <font>
      <b/>
      <sz val="10"/>
      <name val="Helvetica"/>
    </font>
    <font>
      <b/>
      <sz val="9"/>
      <name val="Helvetica"/>
    </font>
    <font>
      <sz val="10"/>
      <color theme="0"/>
      <name val="Helvetica"/>
    </font>
    <font>
      <sz val="11"/>
      <color theme="1"/>
      <name val="Helvetica"/>
    </font>
    <font>
      <sz val="11"/>
      <color theme="0"/>
      <name val="Helvetica"/>
    </font>
    <font>
      <sz val="11"/>
      <name val="Helvetica"/>
    </font>
    <font>
      <b/>
      <sz val="11"/>
      <color theme="0"/>
      <name val="Helvetica"/>
    </font>
    <font>
      <sz val="10"/>
      <color theme="1"/>
      <name val="Helvetica"/>
    </font>
    <font>
      <b/>
      <sz val="10"/>
      <color theme="0"/>
      <name val="Helvetica"/>
    </font>
    <font>
      <sz val="10"/>
      <color rgb="FF474746"/>
      <name val="Helvetica"/>
    </font>
    <font>
      <sz val="10"/>
      <color rgb="FF000000"/>
      <name val="Helvetica"/>
    </font>
    <font>
      <b/>
      <sz val="18"/>
      <color theme="1"/>
      <name val="Helvetica"/>
    </font>
  </fonts>
  <fills count="2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indexed="47"/>
        <bgColor indexed="64"/>
      </patternFill>
    </fill>
    <fill>
      <patternFill patternType="solid">
        <fgColor rgb="FFFFFFCC"/>
        <bgColor indexed="64"/>
      </patternFill>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rgb="FFFFFF00"/>
        <bgColor indexed="64"/>
      </patternFill>
    </fill>
    <fill>
      <patternFill patternType="solid">
        <fgColor theme="0"/>
        <bgColor indexed="64"/>
      </patternFill>
    </fill>
    <fill>
      <patternFill patternType="solid">
        <fgColor indexed="50"/>
        <bgColor indexed="64"/>
      </patternFill>
    </fill>
    <fill>
      <patternFill patternType="solid">
        <fgColor rgb="FFFFC000"/>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rgb="FF0D467F"/>
        <bgColor indexed="64"/>
      </patternFill>
    </fill>
  </fills>
  <borders count="17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ck">
        <color indexed="64"/>
      </bottom>
      <diagonal/>
    </border>
    <border>
      <left style="thin">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style="thick">
        <color auto="1"/>
      </top>
      <bottom/>
      <diagonal/>
    </border>
    <border>
      <left style="thick">
        <color indexed="64"/>
      </left>
      <right/>
      <top style="thin">
        <color indexed="64"/>
      </top>
      <bottom style="thick">
        <color auto="1"/>
      </bottom>
      <diagonal/>
    </border>
    <border>
      <left style="thick">
        <color indexed="64"/>
      </left>
      <right/>
      <top style="thin">
        <color indexed="64"/>
      </top>
      <bottom/>
      <diagonal/>
    </border>
    <border>
      <left style="thick">
        <color auto="1"/>
      </left>
      <right/>
      <top style="thick">
        <color auto="1"/>
      </top>
      <bottom/>
      <diagonal/>
    </border>
    <border>
      <left/>
      <right style="thick">
        <color indexed="64"/>
      </right>
      <top style="thin">
        <color indexed="64"/>
      </top>
      <bottom/>
      <diagonal/>
    </border>
    <border>
      <left/>
      <right/>
      <top style="thin">
        <color indexed="64"/>
      </top>
      <bottom style="thick">
        <color auto="1"/>
      </bottom>
      <diagonal/>
    </border>
    <border>
      <left/>
      <right style="thick">
        <color indexed="64"/>
      </right>
      <top style="thin">
        <color indexed="64"/>
      </top>
      <bottom style="thick">
        <color auto="1"/>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bottom style="hair">
        <color indexed="64"/>
      </bottom>
      <diagonal/>
    </border>
    <border>
      <left style="medium">
        <color indexed="64"/>
      </left>
      <right style="thin">
        <color indexed="64"/>
      </right>
      <top/>
      <bottom style="hair">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medium">
        <color indexed="64"/>
      </left>
      <right/>
      <top style="hair">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top style="thin">
        <color indexed="64"/>
      </top>
      <bottom style="hair">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bottom style="thick">
        <color indexed="64"/>
      </bottom>
      <diagonal/>
    </border>
    <border>
      <left style="thick">
        <color indexed="64"/>
      </left>
      <right/>
      <top/>
      <bottom style="thick">
        <color indexed="64"/>
      </bottom>
      <diagonal/>
    </border>
    <border>
      <left/>
      <right style="thick">
        <color indexed="64"/>
      </right>
      <top/>
      <bottom style="thick">
        <color indexed="64"/>
      </bottom>
      <diagonal/>
    </border>
    <border>
      <left style="double">
        <color indexed="64"/>
      </left>
      <right style="double">
        <color indexed="64"/>
      </right>
      <top style="double">
        <color indexed="64"/>
      </top>
      <bottom style="double">
        <color indexed="64"/>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hair">
        <color indexed="64"/>
      </top>
      <bottom style="medium">
        <color indexed="64"/>
      </bottom>
      <diagonal/>
    </border>
    <border>
      <left style="medium">
        <color indexed="64"/>
      </left>
      <right/>
      <top style="hair">
        <color indexed="64"/>
      </top>
      <bottom style="hair">
        <color indexed="64"/>
      </bottom>
      <diagonal/>
    </border>
    <border>
      <left/>
      <right style="thin">
        <color indexed="64"/>
      </right>
      <top/>
      <bottom style="hair">
        <color indexed="64"/>
      </bottom>
      <diagonal/>
    </border>
    <border>
      <left style="medium">
        <color indexed="64"/>
      </left>
      <right/>
      <top/>
      <bottom style="hair">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style="hair">
        <color indexed="64"/>
      </top>
      <bottom style="medium">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hair">
        <color indexed="64"/>
      </right>
      <top style="thin">
        <color indexed="64"/>
      </top>
      <bottom style="medium">
        <color indexed="64"/>
      </bottom>
      <diagonal/>
    </border>
    <border>
      <left style="medium">
        <color indexed="64"/>
      </left>
      <right style="hair">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medium">
        <color indexed="64"/>
      </right>
      <top style="hair">
        <color indexed="64"/>
      </top>
      <bottom/>
      <diagonal/>
    </border>
    <border>
      <left style="thin">
        <color indexed="64"/>
      </left>
      <right style="thin">
        <color indexed="64"/>
      </right>
      <top style="hair">
        <color indexed="64"/>
      </top>
      <bottom/>
      <diagonal/>
    </border>
    <border>
      <left/>
      <right/>
      <top style="hair">
        <color indexed="64"/>
      </top>
      <bottom/>
      <diagonal/>
    </border>
    <border>
      <left style="medium">
        <color indexed="64"/>
      </left>
      <right/>
      <top style="hair">
        <color indexed="64"/>
      </top>
      <bottom/>
      <diagonal/>
    </border>
    <border>
      <left/>
      <right/>
      <top style="thin">
        <color indexed="64"/>
      </top>
      <bottom style="hair">
        <color indexed="64"/>
      </bottom>
      <diagonal/>
    </border>
    <border>
      <left style="thin">
        <color indexed="64"/>
      </left>
      <right style="medium">
        <color indexed="64"/>
      </right>
      <top style="thin">
        <color indexed="64"/>
      </top>
      <bottom/>
      <diagonal/>
    </border>
    <border>
      <left style="thin">
        <color indexed="64"/>
      </left>
      <right style="medium">
        <color indexed="64"/>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medium">
        <color indexed="64"/>
      </left>
      <right/>
      <top style="hair">
        <color indexed="64"/>
      </top>
      <bottom style="thin">
        <color indexed="64"/>
      </bottom>
      <diagonal/>
    </border>
    <border>
      <left style="medium">
        <color indexed="64"/>
      </left>
      <right/>
      <top style="medium">
        <color indexed="64"/>
      </top>
      <bottom style="hair">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hair">
        <color indexed="64"/>
      </bottom>
      <diagonal/>
    </border>
    <border>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thin">
        <color indexed="64"/>
      </left>
      <right/>
      <top/>
      <bottom style="hair">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hair">
        <color indexed="64"/>
      </bottom>
      <diagonal/>
    </border>
    <border>
      <left/>
      <right style="medium">
        <color indexed="64"/>
      </right>
      <top style="thin">
        <color indexed="64"/>
      </top>
      <bottom style="medium">
        <color indexed="64"/>
      </bottom>
      <diagonal/>
    </border>
    <border>
      <left/>
      <right style="medium">
        <color indexed="64"/>
      </right>
      <top style="hair">
        <color indexed="64"/>
      </top>
      <bottom/>
      <diagonal/>
    </border>
    <border>
      <left style="thin">
        <color indexed="64"/>
      </left>
      <right/>
      <top style="thin">
        <color indexed="64"/>
      </top>
      <bottom style="medium">
        <color indexed="64"/>
      </bottom>
      <diagonal/>
    </border>
    <border>
      <left style="medium">
        <color indexed="64"/>
      </left>
      <right style="medium">
        <color indexed="64"/>
      </right>
      <top/>
      <bottom style="hair">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hair">
        <color indexed="64"/>
      </top>
      <bottom/>
      <diagonal/>
    </border>
    <border>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top/>
      <bottom style="medium">
        <color indexed="64"/>
      </bottom>
      <diagonal/>
    </border>
    <border>
      <left/>
      <right/>
      <top style="thin">
        <color auto="1"/>
      </top>
      <bottom style="thin">
        <color auto="1"/>
      </bottom>
      <diagonal/>
    </border>
    <border>
      <left/>
      <right style="thick">
        <color theme="0"/>
      </right>
      <top/>
      <bottom style="thick">
        <color theme="0"/>
      </bottom>
      <diagonal/>
    </border>
    <border>
      <left/>
      <right/>
      <top/>
      <bottom style="thick">
        <color theme="0"/>
      </bottom>
      <diagonal/>
    </border>
    <border>
      <left/>
      <right style="thick">
        <color theme="0"/>
      </right>
      <top/>
      <bottom/>
      <diagonal/>
    </border>
    <border>
      <left style="thick">
        <color theme="0"/>
      </left>
      <right style="thick">
        <color theme="0"/>
      </right>
      <top/>
      <bottom/>
      <diagonal/>
    </border>
    <border>
      <left style="thick">
        <color theme="0"/>
      </left>
      <right style="thick">
        <color theme="0"/>
      </right>
      <top/>
      <bottom style="thick">
        <color theme="0"/>
      </bottom>
      <diagonal/>
    </border>
    <border>
      <left/>
      <right style="thick">
        <color theme="0"/>
      </right>
      <top style="thick">
        <color theme="0"/>
      </top>
      <bottom/>
      <diagonal/>
    </border>
    <border>
      <left style="thick">
        <color theme="0"/>
      </left>
      <right style="thick">
        <color theme="0"/>
      </right>
      <top style="thick">
        <color theme="0"/>
      </top>
      <bottom/>
      <diagonal/>
    </border>
    <border>
      <left/>
      <right style="thick">
        <color theme="0"/>
      </right>
      <top style="thick">
        <color theme="0"/>
      </top>
      <bottom style="thick">
        <color theme="0"/>
      </bottom>
      <diagonal/>
    </border>
    <border>
      <left style="thick">
        <color theme="0"/>
      </left>
      <right style="thick">
        <color theme="0"/>
      </right>
      <top style="thick">
        <color theme="0"/>
      </top>
      <bottom style="thick">
        <color theme="0"/>
      </bottom>
      <diagonal/>
    </border>
    <border>
      <left/>
      <right/>
      <top style="thick">
        <color theme="0"/>
      </top>
      <bottom style="thin">
        <color auto="1"/>
      </bottom>
      <diagonal/>
    </border>
    <border>
      <left/>
      <right style="thick">
        <color theme="0"/>
      </right>
      <top style="thick">
        <color theme="0"/>
      </top>
      <bottom style="thin">
        <color auto="1"/>
      </bottom>
      <diagonal/>
    </border>
    <border>
      <left/>
      <right style="thick">
        <color theme="0"/>
      </right>
      <top style="thin">
        <color auto="1"/>
      </top>
      <bottom style="thin">
        <color auto="1"/>
      </bottom>
      <diagonal/>
    </border>
    <border>
      <left style="thin">
        <color rgb="FFDADADA"/>
      </left>
      <right style="thin">
        <color rgb="FFDADADA"/>
      </right>
      <top style="dotted">
        <color rgb="FF919190"/>
      </top>
      <bottom style="thin">
        <color rgb="FF353535"/>
      </bottom>
      <diagonal/>
    </border>
    <border>
      <left style="thin">
        <color rgb="FFDADADA"/>
      </left>
      <right style="thin">
        <color rgb="FFDADADA"/>
      </right>
      <top style="thin">
        <color rgb="FF353535"/>
      </top>
      <bottom style="thin">
        <color rgb="FF353535"/>
      </bottom>
      <diagonal/>
    </border>
    <border>
      <left/>
      <right style="thick">
        <color theme="0"/>
      </right>
      <top/>
      <bottom style="thin">
        <color auto="1"/>
      </bottom>
      <diagonal/>
    </border>
    <border>
      <left/>
      <right/>
      <top style="thick">
        <color theme="0"/>
      </top>
      <bottom/>
      <diagonal/>
    </border>
    <border>
      <left style="thick">
        <color theme="0"/>
      </left>
      <right/>
      <top/>
      <bottom style="thick">
        <color theme="0"/>
      </bottom>
      <diagonal/>
    </border>
    <border>
      <left/>
      <right/>
      <top style="thick">
        <color theme="0"/>
      </top>
      <bottom style="thick">
        <color theme="0"/>
      </bottom>
      <diagonal/>
    </border>
    <border>
      <left style="thick">
        <color theme="0"/>
      </left>
      <right/>
      <top/>
      <bottom/>
      <diagonal/>
    </border>
  </borders>
  <cellStyleXfs count="10">
    <xf numFmtId="0" fontId="0" fillId="0" borderId="0"/>
    <xf numFmtId="164" fontId="1" fillId="0" borderId="0" applyFont="0" applyFill="0" applyBorder="0" applyAlignment="0" applyProtection="0"/>
    <xf numFmtId="9" fontId="1" fillId="0" borderId="0" applyFont="0" applyFill="0" applyBorder="0" applyAlignment="0" applyProtection="0"/>
    <xf numFmtId="0" fontId="10" fillId="0" borderId="0"/>
    <xf numFmtId="9" fontId="14" fillId="0" borderId="0" applyFont="0" applyFill="0" applyBorder="0" applyAlignment="0" applyProtection="0"/>
    <xf numFmtId="43" fontId="14" fillId="0" borderId="0" applyFont="0" applyFill="0" applyBorder="0" applyAlignment="0" applyProtection="0"/>
    <xf numFmtId="0" fontId="14" fillId="0" borderId="0"/>
    <xf numFmtId="43" fontId="10" fillId="0" borderId="0" applyFont="0" applyFill="0" applyBorder="0" applyAlignment="0" applyProtection="0"/>
    <xf numFmtId="43" fontId="1" fillId="0" borderId="0" applyFont="0" applyFill="0" applyBorder="0" applyAlignment="0" applyProtection="0"/>
    <xf numFmtId="9" fontId="10" fillId="0" borderId="0" applyFont="0" applyFill="0" applyBorder="0" applyAlignment="0" applyProtection="0"/>
  </cellStyleXfs>
  <cellXfs count="916">
    <xf numFmtId="0" fontId="0" fillId="0" borderId="0" xfId="0"/>
    <xf numFmtId="165" fontId="0" fillId="0" borderId="0" xfId="1" applyNumberFormat="1" applyFont="1"/>
    <xf numFmtId="9" fontId="0" fillId="0" borderId="0" xfId="0" applyNumberFormat="1"/>
    <xf numFmtId="165" fontId="0" fillId="3" borderId="0" xfId="1" applyNumberFormat="1" applyFont="1" applyFill="1"/>
    <xf numFmtId="9" fontId="0" fillId="3" borderId="0" xfId="0" applyNumberFormat="1" applyFill="1"/>
    <xf numFmtId="166" fontId="0" fillId="3" borderId="0" xfId="2" applyNumberFormat="1" applyFont="1" applyFill="1"/>
    <xf numFmtId="166" fontId="0" fillId="2" borderId="0" xfId="2" applyNumberFormat="1" applyFont="1" applyFill="1"/>
    <xf numFmtId="164" fontId="0" fillId="0" borderId="0" xfId="0" applyNumberFormat="1"/>
    <xf numFmtId="0" fontId="0" fillId="0" borderId="0" xfId="0" applyAlignment="1">
      <alignment horizontal="center" vertical="center" wrapText="1"/>
    </xf>
    <xf numFmtId="0" fontId="5" fillId="0" borderId="0" xfId="0" applyFont="1"/>
    <xf numFmtId="0" fontId="0" fillId="2" borderId="1" xfId="0" applyFill="1" applyBorder="1"/>
    <xf numFmtId="165" fontId="0" fillId="2" borderId="1" xfId="1" applyNumberFormat="1" applyFont="1" applyFill="1" applyBorder="1"/>
    <xf numFmtId="0" fontId="0" fillId="3" borderId="1" xfId="0" applyFill="1" applyBorder="1"/>
    <xf numFmtId="165" fontId="0" fillId="3" borderId="1" xfId="0" applyNumberFormat="1" applyFill="1" applyBorder="1"/>
    <xf numFmtId="168" fontId="0" fillId="2" borderId="1" xfId="0" applyNumberFormat="1" applyFill="1" applyBorder="1"/>
    <xf numFmtId="167" fontId="0" fillId="3" borderId="1" xfId="0" applyNumberFormat="1" applyFill="1" applyBorder="1"/>
    <xf numFmtId="0" fontId="0" fillId="2" borderId="1" xfId="0" applyFill="1" applyBorder="1" applyAlignment="1">
      <alignment vertical="center"/>
    </xf>
    <xf numFmtId="0" fontId="0" fillId="2" borderId="1" xfId="0" applyFill="1" applyBorder="1" applyAlignment="1">
      <alignment vertical="center" wrapText="1"/>
    </xf>
    <xf numFmtId="165" fontId="0" fillId="2" borderId="1" xfId="1" applyNumberFormat="1" applyFont="1" applyFill="1" applyBorder="1" applyAlignment="1">
      <alignment vertical="center"/>
    </xf>
    <xf numFmtId="165" fontId="6" fillId="3" borderId="1" xfId="0" applyNumberFormat="1" applyFont="1" applyFill="1" applyBorder="1"/>
    <xf numFmtId="165" fontId="2" fillId="3" borderId="1" xfId="0" applyNumberFormat="1" applyFont="1" applyFill="1" applyBorder="1"/>
    <xf numFmtId="0" fontId="2" fillId="4" borderId="1" xfId="0" applyFont="1" applyFill="1" applyBorder="1" applyAlignment="1">
      <alignment horizontal="center" vertical="center" wrapText="1"/>
    </xf>
    <xf numFmtId="10" fontId="0" fillId="0" borderId="0" xfId="2" applyNumberFormat="1" applyFont="1"/>
    <xf numFmtId="9" fontId="0" fillId="2" borderId="1" xfId="0" applyNumberFormat="1" applyFill="1" applyBorder="1"/>
    <xf numFmtId="165" fontId="0" fillId="3" borderId="1" xfId="1" applyNumberFormat="1" applyFont="1" applyFill="1" applyBorder="1"/>
    <xf numFmtId="2" fontId="0" fillId="0" borderId="0" xfId="0" applyNumberFormat="1"/>
    <xf numFmtId="0" fontId="0" fillId="0" borderId="1" xfId="0" applyBorder="1"/>
    <xf numFmtId="0" fontId="0" fillId="0" borderId="1" xfId="0" applyFill="1" applyBorder="1"/>
    <xf numFmtId="0" fontId="2" fillId="0" borderId="1" xfId="0" applyFont="1" applyBorder="1" applyAlignment="1">
      <alignment horizontal="center" vertical="center" wrapText="1"/>
    </xf>
    <xf numFmtId="2" fontId="0" fillId="3" borderId="1" xfId="0" applyNumberFormat="1" applyFill="1" applyBorder="1"/>
    <xf numFmtId="164" fontId="0" fillId="2" borderId="1" xfId="1" applyFont="1" applyFill="1" applyBorder="1"/>
    <xf numFmtId="164" fontId="0" fillId="0" borderId="0" xfId="1" applyFont="1"/>
    <xf numFmtId="164" fontId="0" fillId="3" borderId="1" xfId="1" applyFont="1" applyFill="1" applyBorder="1"/>
    <xf numFmtId="0" fontId="2" fillId="0" borderId="0" xfId="0" applyFont="1"/>
    <xf numFmtId="0" fontId="0" fillId="0" borderId="3" xfId="0" applyBorder="1"/>
    <xf numFmtId="165" fontId="2" fillId="3" borderId="9" xfId="0" applyNumberFormat="1" applyFont="1" applyFill="1" applyBorder="1"/>
    <xf numFmtId="165" fontId="0" fillId="2" borderId="8" xfId="1" applyNumberFormat="1" applyFont="1" applyFill="1" applyBorder="1"/>
    <xf numFmtId="0" fontId="2" fillId="0" borderId="3" xfId="0" applyFont="1" applyBorder="1"/>
    <xf numFmtId="165" fontId="0" fillId="3" borderId="8" xfId="0" applyNumberFormat="1" applyFill="1" applyBorder="1"/>
    <xf numFmtId="167" fontId="2" fillId="3" borderId="7" xfId="0" applyNumberFormat="1" applyFont="1" applyFill="1" applyBorder="1"/>
    <xf numFmtId="167" fontId="0" fillId="3" borderId="11" xfId="0" applyNumberFormat="1" applyFill="1" applyBorder="1"/>
    <xf numFmtId="165" fontId="0" fillId="3" borderId="11" xfId="0" applyNumberFormat="1" applyFill="1" applyBorder="1"/>
    <xf numFmtId="167" fontId="2" fillId="3" borderId="12" xfId="0" applyNumberFormat="1" applyFont="1" applyFill="1" applyBorder="1"/>
    <xf numFmtId="167" fontId="6" fillId="3" borderId="7" xfId="0" applyNumberFormat="1" applyFont="1" applyFill="1" applyBorder="1"/>
    <xf numFmtId="165" fontId="0" fillId="3" borderId="1" xfId="1" applyNumberFormat="1" applyFont="1" applyFill="1" applyBorder="1" applyAlignment="1">
      <alignment vertical="center"/>
    </xf>
    <xf numFmtId="165" fontId="0" fillId="3" borderId="11" xfId="1" applyNumberFormat="1" applyFont="1" applyFill="1" applyBorder="1" applyAlignment="1">
      <alignment vertical="center"/>
    </xf>
    <xf numFmtId="0" fontId="2" fillId="4" borderId="13" xfId="0" applyFont="1" applyFill="1" applyBorder="1" applyAlignment="1">
      <alignment horizontal="center" vertical="center" wrapText="1"/>
    </xf>
    <xf numFmtId="0" fontId="2" fillId="4" borderId="4" xfId="0" applyFont="1" applyFill="1" applyBorder="1" applyAlignment="1">
      <alignment horizontal="center" vertical="center" wrapText="1"/>
    </xf>
    <xf numFmtId="9" fontId="0" fillId="2" borderId="1" xfId="2" applyFont="1" applyFill="1" applyBorder="1" applyAlignment="1">
      <alignment vertical="center"/>
    </xf>
    <xf numFmtId="0" fontId="0" fillId="0" borderId="0" xfId="0" applyFill="1" applyBorder="1"/>
    <xf numFmtId="165" fontId="2" fillId="3" borderId="7" xfId="1" applyNumberFormat="1" applyFont="1" applyFill="1" applyBorder="1"/>
    <xf numFmtId="165" fontId="2" fillId="3" borderId="9" xfId="1" applyNumberFormat="1" applyFont="1" applyFill="1" applyBorder="1"/>
    <xf numFmtId="165" fontId="0" fillId="3" borderId="11" xfId="1" applyNumberFormat="1" applyFont="1" applyFill="1" applyBorder="1"/>
    <xf numFmtId="0" fontId="0" fillId="5" borderId="1" xfId="0" applyFill="1" applyBorder="1"/>
    <xf numFmtId="0" fontId="0" fillId="6" borderId="1" xfId="0" applyFill="1" applyBorder="1"/>
    <xf numFmtId="0" fontId="0" fillId="6" borderId="1" xfId="0" applyFill="1" applyBorder="1" applyAlignment="1">
      <alignment horizontal="left" indent="1"/>
    </xf>
    <xf numFmtId="9" fontId="0" fillId="3" borderId="1" xfId="2" applyFont="1" applyFill="1" applyBorder="1" applyAlignment="1">
      <alignment vertical="center"/>
    </xf>
    <xf numFmtId="0" fontId="0" fillId="4" borderId="1" xfId="0" applyFill="1" applyBorder="1" applyAlignment="1">
      <alignment vertical="center"/>
    </xf>
    <xf numFmtId="0" fontId="0" fillId="4" borderId="1" xfId="0" applyFill="1" applyBorder="1" applyAlignment="1">
      <alignment horizontal="left" vertical="center" indent="1"/>
    </xf>
    <xf numFmtId="0" fontId="0" fillId="4" borderId="1" xfId="0" applyFill="1" applyBorder="1" applyAlignment="1">
      <alignment horizontal="left" vertical="center"/>
    </xf>
    <xf numFmtId="165" fontId="0" fillId="3" borderId="10" xfId="1" applyNumberFormat="1" applyFont="1" applyFill="1" applyBorder="1" applyAlignment="1">
      <alignment vertical="center"/>
    </xf>
    <xf numFmtId="165" fontId="0" fillId="3" borderId="1" xfId="1" applyNumberFormat="1" applyFont="1" applyFill="1" applyBorder="1" applyAlignment="1">
      <alignment horizontal="left" vertical="center" indent="1"/>
    </xf>
    <xf numFmtId="165" fontId="0" fillId="3" borderId="1" xfId="1" applyNumberFormat="1" applyFont="1" applyFill="1" applyBorder="1" applyAlignment="1">
      <alignment horizontal="left" vertical="center"/>
    </xf>
    <xf numFmtId="165" fontId="0" fillId="0" borderId="0" xfId="0" applyNumberFormat="1"/>
    <xf numFmtId="165" fontId="7" fillId="3" borderId="10" xfId="1" applyNumberFormat="1" applyFont="1" applyFill="1" applyBorder="1" applyAlignment="1">
      <alignment vertical="center"/>
    </xf>
    <xf numFmtId="0" fontId="2" fillId="4" borderId="13"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4" borderId="13" xfId="0" applyFont="1" applyFill="1" applyBorder="1" applyAlignment="1">
      <alignment vertical="center" wrapText="1"/>
    </xf>
    <xf numFmtId="165" fontId="7" fillId="3" borderId="1" xfId="0" applyNumberFormat="1" applyFont="1" applyFill="1" applyBorder="1"/>
    <xf numFmtId="165" fontId="8" fillId="3" borderId="1" xfId="0" applyNumberFormat="1" applyFont="1" applyFill="1" applyBorder="1"/>
    <xf numFmtId="0" fontId="0" fillId="7" borderId="6" xfId="0" applyFont="1" applyFill="1" applyBorder="1" applyAlignment="1">
      <alignment horizontal="center" vertical="center" wrapText="1"/>
    </xf>
    <xf numFmtId="0" fontId="0" fillId="7" borderId="4" xfId="0" applyFont="1" applyFill="1" applyBorder="1" applyAlignment="1">
      <alignment horizontal="center" vertical="center" wrapText="1"/>
    </xf>
    <xf numFmtId="165" fontId="2" fillId="3" borderId="1" xfId="1" applyNumberFormat="1" applyFont="1" applyFill="1" applyBorder="1"/>
    <xf numFmtId="10" fontId="0" fillId="2" borderId="1" xfId="1" applyNumberFormat="1" applyFont="1" applyFill="1" applyBorder="1"/>
    <xf numFmtId="9" fontId="0" fillId="3" borderId="1" xfId="2" applyFont="1" applyFill="1" applyBorder="1"/>
    <xf numFmtId="9" fontId="0" fillId="2" borderId="1" xfId="2" applyFont="1" applyFill="1" applyBorder="1"/>
    <xf numFmtId="165" fontId="0" fillId="0" borderId="10" xfId="1" applyNumberFormat="1" applyFont="1" applyFill="1" applyBorder="1" applyAlignment="1">
      <alignment vertical="center"/>
    </xf>
    <xf numFmtId="0" fontId="0" fillId="4" borderId="13" xfId="0" applyFont="1" applyFill="1" applyBorder="1" applyAlignment="1">
      <alignment horizontal="left" vertical="center" wrapText="1" indent="1"/>
    </xf>
    <xf numFmtId="0" fontId="0" fillId="4" borderId="10" xfId="0" applyFont="1" applyFill="1" applyBorder="1" applyAlignment="1">
      <alignment horizontal="left" vertical="center" wrapText="1" indent="1"/>
    </xf>
    <xf numFmtId="0" fontId="0" fillId="0" borderId="0" xfId="0" applyFill="1"/>
    <xf numFmtId="10" fontId="0" fillId="3" borderId="1" xfId="2" applyNumberFormat="1" applyFont="1" applyFill="1" applyBorder="1"/>
    <xf numFmtId="170" fontId="0" fillId="3" borderId="1" xfId="1" applyNumberFormat="1" applyFont="1" applyFill="1" applyBorder="1"/>
    <xf numFmtId="170" fontId="0" fillId="3" borderId="11" xfId="1" applyNumberFormat="1" applyFont="1" applyFill="1" applyBorder="1"/>
    <xf numFmtId="170" fontId="2" fillId="3" borderId="17" xfId="1" applyNumberFormat="1" applyFont="1" applyFill="1" applyBorder="1"/>
    <xf numFmtId="170" fontId="0" fillId="0" borderId="0" xfId="0" applyNumberFormat="1"/>
    <xf numFmtId="170" fontId="0" fillId="3" borderId="17" xfId="1" applyNumberFormat="1" applyFont="1" applyFill="1" applyBorder="1"/>
    <xf numFmtId="170" fontId="0" fillId="0" borderId="0" xfId="0" applyNumberFormat="1" applyFill="1"/>
    <xf numFmtId="170" fontId="0" fillId="3" borderId="1" xfId="0" applyNumberFormat="1" applyFill="1" applyBorder="1"/>
    <xf numFmtId="170" fontId="0" fillId="3" borderId="11" xfId="0" applyNumberFormat="1" applyFill="1" applyBorder="1"/>
    <xf numFmtId="170" fontId="0" fillId="3" borderId="18" xfId="0" applyNumberFormat="1" applyFill="1" applyBorder="1"/>
    <xf numFmtId="170" fontId="0" fillId="3" borderId="17" xfId="0" applyNumberFormat="1" applyFill="1" applyBorder="1"/>
    <xf numFmtId="170" fontId="0" fillId="3" borderId="19" xfId="0" applyNumberFormat="1" applyFill="1" applyBorder="1"/>
    <xf numFmtId="170" fontId="0" fillId="3" borderId="20" xfId="0" applyNumberFormat="1" applyFill="1" applyBorder="1"/>
    <xf numFmtId="170" fontId="0" fillId="0" borderId="1" xfId="1" applyNumberFormat="1" applyFont="1" applyFill="1" applyBorder="1"/>
    <xf numFmtId="170" fontId="0" fillId="3" borderId="18" xfId="1" applyNumberFormat="1" applyFont="1" applyFill="1" applyBorder="1"/>
    <xf numFmtId="165" fontId="0" fillId="3" borderId="17" xfId="1" applyNumberFormat="1" applyFont="1" applyFill="1" applyBorder="1"/>
    <xf numFmtId="164" fontId="0" fillId="3" borderId="17" xfId="1" applyNumberFormat="1" applyFont="1" applyFill="1" applyBorder="1"/>
    <xf numFmtId="171" fontId="0" fillId="3" borderId="1" xfId="1" applyNumberFormat="1" applyFont="1" applyFill="1" applyBorder="1"/>
    <xf numFmtId="0" fontId="2" fillId="7" borderId="6" xfId="0" applyFont="1" applyFill="1" applyBorder="1" applyAlignment="1">
      <alignment horizontal="center" vertical="center" wrapText="1"/>
    </xf>
    <xf numFmtId="165" fontId="2" fillId="0" borderId="10" xfId="1" applyNumberFormat="1" applyFont="1" applyFill="1" applyBorder="1" applyAlignment="1">
      <alignment vertical="center"/>
    </xf>
    <xf numFmtId="0" fontId="2" fillId="0" borderId="21" xfId="0" applyFont="1" applyBorder="1"/>
    <xf numFmtId="0" fontId="2" fillId="4" borderId="22" xfId="0" applyFont="1" applyFill="1" applyBorder="1" applyAlignment="1">
      <alignment horizontal="center" vertical="center" wrapText="1"/>
    </xf>
    <xf numFmtId="0" fontId="2" fillId="4" borderId="0" xfId="0" applyFont="1" applyFill="1" applyBorder="1" applyAlignment="1">
      <alignment horizontal="center" vertical="center" wrapText="1"/>
    </xf>
    <xf numFmtId="171" fontId="0" fillId="0" borderId="0" xfId="0" applyNumberFormat="1"/>
    <xf numFmtId="0" fontId="2" fillId="4" borderId="13" xfId="0" applyFont="1" applyFill="1" applyBorder="1" applyAlignment="1">
      <alignment horizontal="left" vertical="center" wrapText="1"/>
    </xf>
    <xf numFmtId="0" fontId="0" fillId="4" borderId="13" xfId="0" applyFont="1" applyFill="1" applyBorder="1" applyAlignment="1">
      <alignment horizontal="left" vertical="center" wrapText="1" indent="1"/>
    </xf>
    <xf numFmtId="0" fontId="0" fillId="4" borderId="10" xfId="0" applyFont="1" applyFill="1" applyBorder="1" applyAlignment="1">
      <alignment horizontal="left" vertical="center" wrapText="1" indent="1"/>
    </xf>
    <xf numFmtId="0" fontId="2" fillId="4" borderId="13" xfId="0" applyFont="1" applyFill="1" applyBorder="1" applyAlignment="1">
      <alignment horizontal="left" vertical="center" wrapText="1"/>
    </xf>
    <xf numFmtId="0" fontId="2" fillId="4" borderId="10" xfId="0" applyFont="1" applyFill="1" applyBorder="1" applyAlignment="1">
      <alignment horizontal="left" vertical="center" wrapText="1"/>
    </xf>
    <xf numFmtId="3" fontId="0" fillId="2" borderId="1" xfId="0" applyNumberFormat="1" applyFill="1" applyBorder="1" applyAlignment="1">
      <alignment vertical="center"/>
    </xf>
    <xf numFmtId="165" fontId="2" fillId="3" borderId="17" xfId="1" applyNumberFormat="1" applyFont="1" applyFill="1" applyBorder="1" applyAlignment="1">
      <alignment vertical="center"/>
    </xf>
    <xf numFmtId="170" fontId="0" fillId="3" borderId="4" xfId="1" applyNumberFormat="1" applyFont="1" applyFill="1" applyBorder="1"/>
    <xf numFmtId="0" fontId="2" fillId="4" borderId="10" xfId="0" applyFont="1" applyFill="1" applyBorder="1" applyAlignment="1">
      <alignment vertical="center" wrapText="1"/>
    </xf>
    <xf numFmtId="170" fontId="0" fillId="2" borderId="1" xfId="2" applyNumberFormat="1" applyFont="1" applyFill="1" applyBorder="1" applyAlignment="1">
      <alignment vertical="center"/>
    </xf>
    <xf numFmtId="10" fontId="0" fillId="2" borderId="1" xfId="2" applyNumberFormat="1" applyFont="1" applyFill="1" applyBorder="1"/>
    <xf numFmtId="0" fontId="9" fillId="0" borderId="0" xfId="0" applyFont="1"/>
    <xf numFmtId="165" fontId="0" fillId="3" borderId="0" xfId="0" applyNumberFormat="1" applyFill="1"/>
    <xf numFmtId="0" fontId="0" fillId="2" borderId="0" xfId="0" applyFill="1"/>
    <xf numFmtId="165" fontId="0" fillId="2" borderId="0" xfId="1" applyNumberFormat="1" applyFont="1" applyFill="1"/>
    <xf numFmtId="165" fontId="2" fillId="3" borderId="0" xfId="0" applyNumberFormat="1" applyFont="1" applyFill="1"/>
    <xf numFmtId="0" fontId="0" fillId="7" borderId="0" xfId="0" applyFill="1"/>
    <xf numFmtId="0" fontId="0" fillId="7" borderId="0" xfId="0" applyFill="1" applyAlignment="1">
      <alignment horizontal="left" indent="1"/>
    </xf>
    <xf numFmtId="0" fontId="0" fillId="7" borderId="0" xfId="0" applyFill="1" applyAlignment="1">
      <alignment horizontal="left" indent="2"/>
    </xf>
    <xf numFmtId="0" fontId="0" fillId="7" borderId="0" xfId="0" applyFill="1" applyAlignment="1">
      <alignment vertical="center" wrapText="1"/>
    </xf>
    <xf numFmtId="0" fontId="2" fillId="3" borderId="4"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0" fillId="7" borderId="0" xfId="0" applyFill="1" applyAlignment="1">
      <alignment horizontal="left"/>
    </xf>
    <xf numFmtId="164" fontId="0" fillId="2" borderId="0" xfId="1" applyNumberFormat="1" applyFont="1" applyFill="1"/>
    <xf numFmtId="170" fontId="0" fillId="3" borderId="1" xfId="2" applyNumberFormat="1" applyFont="1" applyFill="1" applyBorder="1" applyAlignment="1">
      <alignment vertical="center"/>
    </xf>
    <xf numFmtId="165" fontId="2" fillId="3" borderId="25" xfId="1" applyNumberFormat="1" applyFont="1" applyFill="1" applyBorder="1"/>
    <xf numFmtId="165" fontId="0" fillId="3" borderId="27" xfId="1" applyNumberFormat="1" applyFont="1" applyFill="1" applyBorder="1"/>
    <xf numFmtId="165" fontId="2" fillId="3" borderId="28" xfId="1" applyNumberFormat="1" applyFont="1" applyFill="1" applyBorder="1"/>
    <xf numFmtId="165" fontId="2" fillId="3" borderId="0" xfId="0" applyNumberFormat="1" applyFont="1" applyFill="1" applyBorder="1"/>
    <xf numFmtId="165" fontId="0" fillId="3" borderId="26" xfId="1" applyNumberFormat="1" applyFont="1" applyFill="1" applyBorder="1"/>
    <xf numFmtId="165" fontId="0" fillId="3" borderId="24" xfId="1" applyNumberFormat="1" applyFont="1" applyFill="1" applyBorder="1"/>
    <xf numFmtId="165" fontId="0" fillId="3" borderId="29" xfId="1" applyNumberFormat="1" applyFont="1" applyFill="1" applyBorder="1"/>
    <xf numFmtId="165" fontId="0" fillId="3" borderId="30" xfId="1" applyNumberFormat="1" applyFont="1" applyFill="1" applyBorder="1"/>
    <xf numFmtId="165" fontId="0" fillId="3" borderId="31" xfId="1" applyNumberFormat="1" applyFont="1" applyFill="1" applyBorder="1"/>
    <xf numFmtId="165" fontId="8" fillId="3" borderId="0" xfId="0" applyNumberFormat="1" applyFont="1" applyFill="1"/>
    <xf numFmtId="0" fontId="11" fillId="8" borderId="0" xfId="3" applyFont="1" applyFill="1"/>
    <xf numFmtId="38" fontId="11" fillId="8" borderId="0" xfId="3" applyNumberFormat="1" applyFont="1" applyFill="1"/>
    <xf numFmtId="38" fontId="11" fillId="8" borderId="32" xfId="3" applyNumberFormat="1" applyFont="1" applyFill="1" applyBorder="1"/>
    <xf numFmtId="38" fontId="11" fillId="8" borderId="33" xfId="3" applyNumberFormat="1" applyFont="1" applyFill="1" applyBorder="1"/>
    <xf numFmtId="0" fontId="11" fillId="8" borderId="34" xfId="3" applyFont="1" applyFill="1" applyBorder="1"/>
    <xf numFmtId="38" fontId="11" fillId="8" borderId="35" xfId="3" applyNumberFormat="1" applyFont="1" applyFill="1" applyBorder="1"/>
    <xf numFmtId="38" fontId="11" fillId="8" borderId="36" xfId="3" applyNumberFormat="1" applyFont="1" applyFill="1" applyBorder="1"/>
    <xf numFmtId="0" fontId="11" fillId="8" borderId="37" xfId="3" applyFont="1" applyFill="1" applyBorder="1"/>
    <xf numFmtId="38" fontId="11" fillId="8" borderId="38" xfId="3" applyNumberFormat="1" applyFont="1" applyFill="1" applyBorder="1"/>
    <xf numFmtId="38" fontId="11" fillId="8" borderId="39" xfId="3" applyNumberFormat="1" applyFont="1" applyFill="1" applyBorder="1"/>
    <xf numFmtId="0" fontId="11" fillId="8" borderId="40" xfId="3" applyFont="1" applyFill="1" applyBorder="1"/>
    <xf numFmtId="0" fontId="11" fillId="8" borderId="44" xfId="3" applyFont="1" applyFill="1" applyBorder="1"/>
    <xf numFmtId="0" fontId="13" fillId="8" borderId="0" xfId="3" applyFont="1" applyFill="1" applyBorder="1"/>
    <xf numFmtId="0" fontId="11" fillId="8" borderId="47" xfId="3" applyFont="1" applyFill="1" applyBorder="1"/>
    <xf numFmtId="0" fontId="11" fillId="8" borderId="0" xfId="3" applyFont="1" applyFill="1" applyBorder="1"/>
    <xf numFmtId="0" fontId="11" fillId="8" borderId="24" xfId="3" applyFont="1" applyFill="1" applyBorder="1"/>
    <xf numFmtId="38" fontId="11" fillId="8" borderId="6" xfId="3" applyNumberFormat="1" applyFont="1" applyFill="1" applyBorder="1"/>
    <xf numFmtId="38" fontId="11" fillId="8" borderId="44" xfId="3" applyNumberFormat="1" applyFont="1" applyFill="1" applyBorder="1"/>
    <xf numFmtId="0" fontId="12" fillId="8" borderId="0" xfId="3" applyFont="1" applyFill="1"/>
    <xf numFmtId="0" fontId="12" fillId="8" borderId="0" xfId="3" applyFont="1" applyFill="1" applyBorder="1"/>
    <xf numFmtId="38" fontId="15" fillId="0" borderId="0" xfId="3" applyNumberFormat="1" applyFont="1"/>
    <xf numFmtId="40" fontId="15" fillId="0" borderId="0" xfId="3" applyNumberFormat="1" applyFont="1"/>
    <xf numFmtId="0" fontId="15" fillId="0" borderId="0" xfId="3" applyFont="1"/>
    <xf numFmtId="10" fontId="16" fillId="10" borderId="63" xfId="4" applyNumberFormat="1" applyFont="1" applyFill="1" applyBorder="1" applyAlignment="1" applyProtection="1">
      <alignment horizontal="centerContinuous"/>
    </xf>
    <xf numFmtId="166" fontId="16" fillId="10" borderId="64" xfId="4" applyNumberFormat="1" applyFont="1" applyFill="1" applyBorder="1" applyAlignment="1" applyProtection="1">
      <alignment horizontal="center"/>
    </xf>
    <xf numFmtId="38" fontId="17" fillId="0" borderId="65" xfId="3" applyNumberFormat="1" applyFont="1" applyFill="1" applyBorder="1" applyAlignment="1" applyProtection="1">
      <alignment horizontal="center"/>
    </xf>
    <xf numFmtId="38" fontId="17" fillId="0" borderId="66" xfId="3" applyNumberFormat="1" applyFont="1" applyFill="1" applyBorder="1"/>
    <xf numFmtId="38" fontId="17" fillId="0" borderId="67" xfId="3" applyNumberFormat="1" applyFont="1" applyFill="1" applyBorder="1"/>
    <xf numFmtId="37" fontId="17" fillId="10" borderId="68" xfId="3" applyNumberFormat="1" applyFont="1" applyFill="1" applyBorder="1" applyAlignment="1">
      <alignment horizontal="center"/>
    </xf>
    <xf numFmtId="38" fontId="17" fillId="0" borderId="65" xfId="3" applyNumberFormat="1" applyFont="1" applyFill="1" applyBorder="1" applyAlignment="1">
      <alignment horizontal="center"/>
    </xf>
    <xf numFmtId="38" fontId="16" fillId="10" borderId="68" xfId="3" applyNumberFormat="1" applyFont="1" applyFill="1" applyBorder="1" applyAlignment="1" applyProtection="1">
      <alignment horizontal="center"/>
    </xf>
    <xf numFmtId="38" fontId="17" fillId="0" borderId="65" xfId="3" applyNumberFormat="1" applyFont="1" applyFill="1" applyBorder="1" applyAlignment="1">
      <alignment horizontal="right"/>
    </xf>
    <xf numFmtId="0" fontId="15" fillId="10" borderId="69" xfId="3" applyFont="1" applyFill="1" applyBorder="1" applyAlignment="1" applyProtection="1">
      <alignment horizontal="centerContinuous"/>
    </xf>
    <xf numFmtId="37" fontId="17" fillId="10" borderId="70" xfId="3" applyNumberFormat="1" applyFont="1" applyFill="1" applyBorder="1" applyAlignment="1" applyProtection="1">
      <alignment horizontal="center"/>
    </xf>
    <xf numFmtId="38" fontId="17" fillId="0" borderId="71" xfId="3" applyNumberFormat="1" applyFont="1" applyFill="1" applyBorder="1" applyAlignment="1">
      <alignment horizontal="center"/>
    </xf>
    <xf numFmtId="38" fontId="17" fillId="0" borderId="72" xfId="3" applyNumberFormat="1" applyFont="1" applyFill="1" applyBorder="1"/>
    <xf numFmtId="38" fontId="17" fillId="0" borderId="73" xfId="3" applyNumberFormat="1" applyFont="1" applyFill="1" applyBorder="1"/>
    <xf numFmtId="38" fontId="15" fillId="0" borderId="0" xfId="3" applyNumberFormat="1" applyFont="1" applyProtection="1"/>
    <xf numFmtId="38" fontId="17" fillId="0" borderId="0" xfId="3" applyNumberFormat="1" applyFont="1" applyProtection="1"/>
    <xf numFmtId="38" fontId="19" fillId="0" borderId="0" xfId="3" applyNumberFormat="1" applyFont="1" applyAlignment="1" applyProtection="1">
      <alignment horizontal="right"/>
    </xf>
    <xf numFmtId="38" fontId="20" fillId="0" borderId="0" xfId="3" applyNumberFormat="1" applyFont="1" applyProtection="1"/>
    <xf numFmtId="38" fontId="19" fillId="0" borderId="74" xfId="3" applyNumberFormat="1" applyFont="1" applyBorder="1"/>
    <xf numFmtId="37" fontId="19" fillId="0" borderId="75" xfId="3" applyNumberFormat="1" applyFont="1" applyBorder="1"/>
    <xf numFmtId="37" fontId="19" fillId="0" borderId="76" xfId="3" applyNumberFormat="1" applyFont="1" applyBorder="1"/>
    <xf numFmtId="37" fontId="19" fillId="0" borderId="36" xfId="3" applyNumberFormat="1" applyFont="1" applyBorder="1"/>
    <xf numFmtId="38" fontId="19" fillId="0" borderId="36" xfId="3" applyNumberFormat="1" applyFont="1" applyBorder="1"/>
    <xf numFmtId="37" fontId="19" fillId="0" borderId="77" xfId="3" applyNumberFormat="1" applyFont="1" applyBorder="1"/>
    <xf numFmtId="37" fontId="19" fillId="0" borderId="78" xfId="3" applyNumberFormat="1" applyFont="1" applyBorder="1"/>
    <xf numFmtId="37" fontId="19" fillId="0" borderId="49" xfId="3" applyNumberFormat="1" applyFont="1" applyBorder="1"/>
    <xf numFmtId="0" fontId="19" fillId="0" borderId="49" xfId="3" applyFont="1" applyBorder="1"/>
    <xf numFmtId="37" fontId="19" fillId="0" borderId="79" xfId="3" applyNumberFormat="1" applyFont="1" applyBorder="1"/>
    <xf numFmtId="37" fontId="19" fillId="0" borderId="80" xfId="3" applyNumberFormat="1" applyFont="1" applyBorder="1"/>
    <xf numFmtId="37" fontId="19" fillId="0" borderId="0" xfId="3" applyNumberFormat="1" applyFont="1"/>
    <xf numFmtId="0" fontId="19" fillId="0" borderId="0" xfId="3" applyFont="1"/>
    <xf numFmtId="38" fontId="19" fillId="0" borderId="0" xfId="3" applyNumberFormat="1" applyFont="1"/>
    <xf numFmtId="38" fontId="18" fillId="9" borderId="1" xfId="3" applyNumberFormat="1" applyFont="1" applyFill="1" applyBorder="1" applyProtection="1">
      <protection locked="0"/>
    </xf>
    <xf numFmtId="38" fontId="17" fillId="0" borderId="0" xfId="3" applyNumberFormat="1" applyFont="1" applyBorder="1" applyProtection="1"/>
    <xf numFmtId="38" fontId="17" fillId="0" borderId="1" xfId="3" applyNumberFormat="1" applyFont="1" applyBorder="1" applyProtection="1"/>
    <xf numFmtId="38" fontId="17" fillId="0" borderId="0" xfId="3" applyNumberFormat="1" applyFont="1" applyBorder="1" applyAlignment="1" applyProtection="1">
      <alignment horizontal="left"/>
    </xf>
    <xf numFmtId="38" fontId="21" fillId="11" borderId="16" xfId="5" applyNumberFormat="1" applyFont="1" applyFill="1" applyBorder="1" applyProtection="1"/>
    <xf numFmtId="38" fontId="21" fillId="0" borderId="16" xfId="5" applyNumberFormat="1" applyFont="1" applyFill="1" applyBorder="1" applyProtection="1"/>
    <xf numFmtId="38" fontId="15" fillId="0" borderId="0" xfId="3" quotePrefix="1" applyNumberFormat="1" applyFont="1" applyBorder="1" applyProtection="1"/>
    <xf numFmtId="38" fontId="15" fillId="0" borderId="16" xfId="3" applyNumberFormat="1" applyFont="1" applyBorder="1" applyProtection="1"/>
    <xf numFmtId="0" fontId="17" fillId="0" borderId="0" xfId="3" applyFont="1"/>
    <xf numFmtId="38" fontId="15" fillId="0" borderId="11" xfId="3" applyNumberFormat="1" applyFont="1" applyBorder="1" applyProtection="1"/>
    <xf numFmtId="38" fontId="22" fillId="0" borderId="0" xfId="3" applyNumberFormat="1" applyFont="1" applyBorder="1" applyProtection="1"/>
    <xf numFmtId="38" fontId="15" fillId="0" borderId="0" xfId="3" quotePrefix="1" applyNumberFormat="1" applyFont="1" applyBorder="1" applyAlignment="1" applyProtection="1">
      <alignment horizontal="left"/>
    </xf>
    <xf numFmtId="174" fontId="15" fillId="0" borderId="16" xfId="3" applyNumberFormat="1" applyFont="1" applyBorder="1" applyProtection="1"/>
    <xf numFmtId="38" fontId="15" fillId="0" borderId="0" xfId="3" applyNumberFormat="1" applyFont="1" applyBorder="1" applyProtection="1"/>
    <xf numFmtId="173" fontId="15" fillId="0" borderId="16" xfId="5" applyNumberFormat="1" applyFont="1" applyBorder="1" applyProtection="1"/>
    <xf numFmtId="38" fontId="17" fillId="0" borderId="16" xfId="5" applyNumberFormat="1" applyFont="1" applyBorder="1" applyProtection="1"/>
    <xf numFmtId="38" fontId="23" fillId="9" borderId="1" xfId="5" applyNumberFormat="1" applyFont="1" applyFill="1" applyBorder="1" applyProtection="1">
      <protection locked="0"/>
    </xf>
    <xf numFmtId="38" fontId="17" fillId="9" borderId="0" xfId="3" applyNumberFormat="1" applyFont="1" applyFill="1" applyBorder="1" applyAlignment="1" applyProtection="1">
      <alignment horizontal="right"/>
    </xf>
    <xf numFmtId="38" fontId="17" fillId="9" borderId="0" xfId="3" applyNumberFormat="1" applyFont="1" applyFill="1" applyBorder="1" applyProtection="1"/>
    <xf numFmtId="38" fontId="24" fillId="0" borderId="16" xfId="5" applyNumberFormat="1" applyFont="1" applyFill="1" applyBorder="1" applyProtection="1"/>
    <xf numFmtId="38" fontId="18" fillId="9" borderId="1" xfId="5" applyNumberFormat="1" applyFont="1" applyFill="1" applyBorder="1" applyProtection="1">
      <protection locked="0"/>
    </xf>
    <xf numFmtId="9" fontId="17" fillId="12" borderId="1" xfId="4" applyNumberFormat="1" applyFont="1" applyFill="1" applyBorder="1" applyProtection="1"/>
    <xf numFmtId="38" fontId="15" fillId="0" borderId="16" xfId="5" applyNumberFormat="1" applyFont="1" applyBorder="1" applyProtection="1"/>
    <xf numFmtId="38" fontId="15" fillId="13" borderId="16" xfId="5" applyNumberFormat="1" applyFont="1" applyFill="1" applyBorder="1" applyProtection="1"/>
    <xf numFmtId="38" fontId="15" fillId="0" borderId="0" xfId="3" applyNumberFormat="1" applyFont="1" applyBorder="1" applyAlignment="1" applyProtection="1">
      <alignment horizontal="left"/>
    </xf>
    <xf numFmtId="175" fontId="18" fillId="12" borderId="36" xfId="4" applyNumberFormat="1" applyFont="1" applyFill="1" applyBorder="1" applyProtection="1">
      <protection locked="0"/>
    </xf>
    <xf numFmtId="38" fontId="17" fillId="12" borderId="0" xfId="3" applyNumberFormat="1" applyFont="1" applyFill="1" applyBorder="1" applyProtection="1"/>
    <xf numFmtId="175" fontId="25" fillId="0" borderId="36" xfId="4" applyNumberFormat="1" applyFont="1" applyFill="1" applyBorder="1" applyProtection="1">
      <protection locked="0"/>
    </xf>
    <xf numFmtId="172" fontId="25" fillId="0" borderId="36" xfId="4" applyNumberFormat="1" applyFont="1" applyFill="1" applyBorder="1" applyProtection="1">
      <protection locked="0"/>
    </xf>
    <xf numFmtId="38" fontId="17" fillId="0" borderId="0" xfId="3" applyNumberFormat="1" applyFont="1" applyFill="1"/>
    <xf numFmtId="0" fontId="17" fillId="0" borderId="0" xfId="3" applyFont="1" applyFill="1"/>
    <xf numFmtId="38" fontId="18" fillId="12" borderId="1" xfId="5" applyNumberFormat="1" applyFont="1" applyFill="1" applyBorder="1" applyProtection="1">
      <protection locked="0"/>
    </xf>
    <xf numFmtId="38" fontId="15" fillId="8" borderId="16" xfId="5" applyNumberFormat="1" applyFont="1" applyFill="1" applyBorder="1" applyProtection="1"/>
    <xf numFmtId="9" fontId="15" fillId="0" borderId="0" xfId="4" applyFont="1" applyBorder="1" applyAlignment="1" applyProtection="1">
      <alignment horizontal="right"/>
    </xf>
    <xf numFmtId="38" fontId="25" fillId="12" borderId="1" xfId="5" applyNumberFormat="1" applyFont="1" applyFill="1" applyBorder="1" applyProtection="1">
      <protection locked="0"/>
    </xf>
    <xf numFmtId="38" fontId="25" fillId="8" borderId="1" xfId="5" applyNumberFormat="1" applyFont="1" applyFill="1" applyBorder="1" applyProtection="1">
      <protection locked="0"/>
    </xf>
    <xf numFmtId="9" fontId="17" fillId="9" borderId="0" xfId="4" applyFont="1" applyFill="1" applyBorder="1" applyAlignment="1" applyProtection="1">
      <alignment horizontal="right"/>
    </xf>
    <xf numFmtId="38" fontId="25" fillId="8" borderId="16" xfId="5" applyNumberFormat="1" applyFont="1" applyFill="1" applyBorder="1" applyProtection="1">
      <protection locked="0"/>
    </xf>
    <xf numFmtId="38" fontId="15" fillId="8" borderId="16" xfId="5" applyNumberFormat="1" applyFont="1" applyFill="1" applyBorder="1" applyProtection="1">
      <protection locked="0"/>
    </xf>
    <xf numFmtId="38" fontId="18" fillId="8" borderId="1" xfId="5" applyNumberFormat="1" applyFont="1" applyFill="1" applyBorder="1" applyProtection="1">
      <protection locked="0"/>
    </xf>
    <xf numFmtId="38" fontId="17" fillId="0" borderId="4" xfId="3" applyNumberFormat="1" applyFont="1" applyBorder="1" applyAlignment="1" applyProtection="1">
      <alignment horizontal="center"/>
    </xf>
    <xf numFmtId="38" fontId="15" fillId="0" borderId="0" xfId="3" applyNumberFormat="1" applyFont="1" applyAlignment="1" applyProtection="1">
      <alignment wrapText="1"/>
    </xf>
    <xf numFmtId="38" fontId="15" fillId="0" borderId="0" xfId="3" applyNumberFormat="1" applyFont="1" applyBorder="1" applyAlignment="1" applyProtection="1">
      <alignment horizontal="center"/>
    </xf>
    <xf numFmtId="166" fontId="18" fillId="12" borderId="81" xfId="4" applyNumberFormat="1" applyFont="1" applyFill="1" applyBorder="1" applyProtection="1">
      <protection locked="0"/>
    </xf>
    <xf numFmtId="38" fontId="25" fillId="9" borderId="82" xfId="5" applyNumberFormat="1" applyFont="1" applyFill="1" applyBorder="1" applyAlignment="1" applyProtection="1">
      <alignment horizontal="right"/>
      <protection locked="0"/>
    </xf>
    <xf numFmtId="38" fontId="17" fillId="0" borderId="0" xfId="3" quotePrefix="1" applyNumberFormat="1" applyFont="1" applyAlignment="1" applyProtection="1">
      <alignment horizontal="left"/>
    </xf>
    <xf numFmtId="38" fontId="18" fillId="9" borderId="0" xfId="3" quotePrefix="1" applyNumberFormat="1" applyFont="1" applyFill="1" applyAlignment="1" applyProtection="1">
      <alignment horizontal="left"/>
    </xf>
    <xf numFmtId="38" fontId="18" fillId="9" borderId="0" xfId="3" applyNumberFormat="1" applyFont="1" applyFill="1" applyAlignment="1" applyProtection="1">
      <alignment horizontal="left"/>
    </xf>
    <xf numFmtId="38" fontId="26" fillId="0" borderId="0" xfId="3" applyNumberFormat="1" applyFont="1"/>
    <xf numFmtId="38" fontId="26" fillId="13" borderId="0" xfId="3" applyNumberFormat="1" applyFont="1" applyFill="1"/>
    <xf numFmtId="38" fontId="27" fillId="13" borderId="0" xfId="3" applyNumberFormat="1" applyFont="1" applyFill="1"/>
    <xf numFmtId="9" fontId="27" fillId="13" borderId="0" xfId="4" applyFont="1" applyFill="1"/>
    <xf numFmtId="38" fontId="26" fillId="9" borderId="32" xfId="3" applyNumberFormat="1" applyFont="1" applyFill="1" applyBorder="1"/>
    <xf numFmtId="38" fontId="26" fillId="9" borderId="33" xfId="3" applyNumberFormat="1" applyFont="1" applyFill="1" applyBorder="1"/>
    <xf numFmtId="166" fontId="26" fillId="9" borderId="33" xfId="4" applyNumberFormat="1" applyFont="1" applyFill="1" applyBorder="1"/>
    <xf numFmtId="38" fontId="26" fillId="9" borderId="83" xfId="3" applyNumberFormat="1" applyFont="1" applyFill="1" applyBorder="1"/>
    <xf numFmtId="38" fontId="26" fillId="9" borderId="34" xfId="3" applyNumberFormat="1" applyFont="1" applyFill="1" applyBorder="1"/>
    <xf numFmtId="9" fontId="26" fillId="9" borderId="54" xfId="4" applyFont="1" applyFill="1" applyBorder="1"/>
    <xf numFmtId="38" fontId="19" fillId="0" borderId="0" xfId="3" applyNumberFormat="1" applyFont="1" applyAlignment="1">
      <alignment horizontal="left"/>
    </xf>
    <xf numFmtId="38" fontId="26" fillId="9" borderId="35" xfId="3" applyNumberFormat="1" applyFont="1" applyFill="1" applyBorder="1"/>
    <xf numFmtId="38" fontId="26" fillId="9" borderId="36" xfId="3" applyNumberFormat="1" applyFont="1" applyFill="1" applyBorder="1"/>
    <xf numFmtId="166" fontId="26" fillId="9" borderId="36" xfId="4" applyNumberFormat="1" applyFont="1" applyFill="1" applyBorder="1"/>
    <xf numFmtId="38" fontId="26" fillId="9" borderId="77" xfId="3" applyNumberFormat="1" applyFont="1" applyFill="1" applyBorder="1"/>
    <xf numFmtId="38" fontId="26" fillId="9" borderId="37" xfId="3" applyNumberFormat="1" applyFont="1" applyFill="1" applyBorder="1"/>
    <xf numFmtId="9" fontId="26" fillId="9" borderId="84" xfId="4" applyFont="1" applyFill="1" applyBorder="1"/>
    <xf numFmtId="38" fontId="26" fillId="9" borderId="38" xfId="3" applyNumberFormat="1" applyFont="1" applyFill="1" applyBorder="1"/>
    <xf numFmtId="38" fontId="26" fillId="9" borderId="39" xfId="3" applyNumberFormat="1" applyFont="1" applyFill="1" applyBorder="1"/>
    <xf numFmtId="166" fontId="26" fillId="9" borderId="39" xfId="4" applyNumberFormat="1" applyFont="1" applyFill="1" applyBorder="1"/>
    <xf numFmtId="38" fontId="26" fillId="9" borderId="85" xfId="3" applyNumberFormat="1" applyFont="1" applyFill="1" applyBorder="1"/>
    <xf numFmtId="38" fontId="26" fillId="9" borderId="40" xfId="3" applyNumberFormat="1" applyFont="1" applyFill="1" applyBorder="1"/>
    <xf numFmtId="9" fontId="26" fillId="13" borderId="86" xfId="4" applyFont="1" applyFill="1" applyBorder="1"/>
    <xf numFmtId="38" fontId="20" fillId="13" borderId="0" xfId="3" applyNumberFormat="1" applyFont="1" applyFill="1" applyAlignment="1">
      <alignment wrapText="1"/>
    </xf>
    <xf numFmtId="176" fontId="26" fillId="9" borderId="87" xfId="3" applyNumberFormat="1" applyFont="1" applyFill="1" applyBorder="1"/>
    <xf numFmtId="177" fontId="26" fillId="9" borderId="81" xfId="3" applyNumberFormat="1" applyFont="1" applyFill="1" applyBorder="1"/>
    <xf numFmtId="178" fontId="26" fillId="9" borderId="81" xfId="4" applyNumberFormat="1" applyFont="1" applyFill="1" applyBorder="1"/>
    <xf numFmtId="179" fontId="26" fillId="9" borderId="81" xfId="3" applyNumberFormat="1" applyFont="1" applyFill="1" applyBorder="1"/>
    <xf numFmtId="180" fontId="28" fillId="9" borderId="88" xfId="3" applyNumberFormat="1" applyFont="1" applyFill="1" applyBorder="1"/>
    <xf numFmtId="181" fontId="26" fillId="9" borderId="87" xfId="3" applyNumberFormat="1" applyFont="1" applyFill="1" applyBorder="1" applyAlignment="1">
      <alignment horizontal="center"/>
    </xf>
    <xf numFmtId="182" fontId="26" fillId="9" borderId="81" xfId="3" applyNumberFormat="1" applyFont="1" applyFill="1" applyBorder="1" applyAlignment="1">
      <alignment horizontal="center"/>
    </xf>
    <xf numFmtId="183" fontId="26" fillId="9" borderId="81" xfId="3" applyNumberFormat="1" applyFont="1" applyFill="1" applyBorder="1" applyAlignment="1">
      <alignment horizontal="center"/>
    </xf>
    <xf numFmtId="184" fontId="26" fillId="9" borderId="81" xfId="3" applyNumberFormat="1" applyFont="1" applyFill="1" applyBorder="1" applyAlignment="1">
      <alignment horizontal="center"/>
    </xf>
    <xf numFmtId="185" fontId="26" fillId="9" borderId="81" xfId="3" applyNumberFormat="1" applyFont="1" applyFill="1" applyBorder="1" applyAlignment="1">
      <alignment horizontal="center"/>
    </xf>
    <xf numFmtId="186" fontId="26" fillId="9" borderId="81" xfId="3" applyNumberFormat="1" applyFont="1" applyFill="1" applyBorder="1" applyAlignment="1">
      <alignment horizontal="center"/>
    </xf>
    <xf numFmtId="187" fontId="26" fillId="9" borderId="81" xfId="3" applyNumberFormat="1" applyFont="1" applyFill="1" applyBorder="1" applyAlignment="1">
      <alignment horizontal="center"/>
    </xf>
    <xf numFmtId="188" fontId="26" fillId="9" borderId="81" xfId="3" applyNumberFormat="1" applyFont="1" applyFill="1" applyBorder="1" applyAlignment="1">
      <alignment horizontal="center"/>
    </xf>
    <xf numFmtId="189" fontId="26" fillId="9" borderId="81" xfId="3" applyNumberFormat="1" applyFont="1" applyFill="1" applyBorder="1" applyAlignment="1">
      <alignment horizontal="center"/>
    </xf>
    <xf numFmtId="190" fontId="26" fillId="9" borderId="81" xfId="3" applyNumberFormat="1" applyFont="1" applyFill="1" applyBorder="1" applyAlignment="1">
      <alignment horizontal="center"/>
    </xf>
    <xf numFmtId="191" fontId="26" fillId="9" borderId="82" xfId="3" applyNumberFormat="1" applyFont="1" applyFill="1" applyBorder="1" applyAlignment="1">
      <alignment horizontal="center"/>
    </xf>
    <xf numFmtId="38" fontId="26" fillId="9" borderId="89" xfId="3" applyNumberFormat="1" applyFont="1" applyFill="1" applyBorder="1"/>
    <xf numFmtId="38" fontId="28" fillId="0" borderId="0" xfId="3" applyNumberFormat="1" applyFont="1"/>
    <xf numFmtId="0" fontId="26" fillId="0" borderId="0" xfId="3" applyFont="1"/>
    <xf numFmtId="38" fontId="19" fillId="0" borderId="0" xfId="3" applyNumberFormat="1" applyFont="1" applyProtection="1"/>
    <xf numFmtId="9" fontId="20" fillId="0" borderId="1" xfId="4" applyFont="1" applyBorder="1"/>
    <xf numFmtId="0" fontId="19" fillId="14" borderId="10" xfId="3" applyFont="1" applyFill="1" applyBorder="1"/>
    <xf numFmtId="38" fontId="26" fillId="0" borderId="0" xfId="3" applyNumberFormat="1" applyFont="1" applyProtection="1"/>
    <xf numFmtId="38" fontId="29" fillId="8" borderId="0" xfId="3" applyNumberFormat="1" applyFont="1" applyFill="1" applyAlignment="1" applyProtection="1">
      <alignment horizontal="left"/>
    </xf>
    <xf numFmtId="0" fontId="11" fillId="0" borderId="0" xfId="3" applyFont="1"/>
    <xf numFmtId="0" fontId="11" fillId="0" borderId="0" xfId="3" applyFont="1" applyBorder="1"/>
    <xf numFmtId="0" fontId="26" fillId="8" borderId="0" xfId="3" applyFont="1" applyFill="1" applyBorder="1" applyAlignment="1">
      <alignment horizontal="center"/>
    </xf>
    <xf numFmtId="166" fontId="11" fillId="0" borderId="0" xfId="3" applyNumberFormat="1" applyFont="1" applyBorder="1"/>
    <xf numFmtId="0" fontId="15" fillId="0" borderId="0" xfId="3" applyFont="1" applyFill="1" applyBorder="1"/>
    <xf numFmtId="0" fontId="17" fillId="0" borderId="0" xfId="3" applyFont="1" applyFill="1" applyBorder="1" applyAlignment="1">
      <alignment horizontal="center"/>
    </xf>
    <xf numFmtId="0" fontId="15" fillId="0" borderId="0" xfId="3" applyFont="1" applyBorder="1"/>
    <xf numFmtId="0" fontId="17" fillId="0" borderId="0" xfId="3" applyFont="1" applyAlignment="1">
      <alignment horizontal="center"/>
    </xf>
    <xf numFmtId="0" fontId="17" fillId="0" borderId="0" xfId="3" applyFont="1" applyBorder="1"/>
    <xf numFmtId="0" fontId="12" fillId="0" borderId="0" xfId="3" applyFont="1"/>
    <xf numFmtId="0" fontId="15" fillId="8" borderId="0" xfId="3" applyFont="1" applyFill="1"/>
    <xf numFmtId="166" fontId="17" fillId="8" borderId="33" xfId="4" applyNumberFormat="1" applyFont="1" applyFill="1" applyBorder="1"/>
    <xf numFmtId="166" fontId="17" fillId="9" borderId="91" xfId="4" applyNumberFormat="1" applyFont="1" applyFill="1" applyBorder="1" applyAlignment="1" applyProtection="1">
      <alignment horizontal="right"/>
    </xf>
    <xf numFmtId="166" fontId="17" fillId="9" borderId="92" xfId="4" applyNumberFormat="1" applyFont="1" applyFill="1" applyBorder="1" applyAlignment="1" applyProtection="1">
      <alignment horizontal="right"/>
    </xf>
    <xf numFmtId="0" fontId="15" fillId="8" borderId="93" xfId="3" applyFont="1" applyFill="1" applyBorder="1" applyAlignment="1">
      <alignment vertical="top"/>
    </xf>
    <xf numFmtId="0" fontId="17" fillId="8" borderId="0" xfId="3" applyFont="1" applyFill="1" applyAlignment="1">
      <alignment horizontal="center"/>
    </xf>
    <xf numFmtId="38" fontId="30" fillId="8" borderId="0" xfId="3" applyNumberFormat="1" applyFont="1" applyFill="1"/>
    <xf numFmtId="9" fontId="17" fillId="15" borderId="0" xfId="4" applyFont="1" applyFill="1"/>
    <xf numFmtId="173" fontId="17" fillId="8" borderId="36" xfId="5" applyNumberFormat="1" applyFont="1" applyFill="1" applyBorder="1"/>
    <xf numFmtId="173" fontId="17" fillId="9" borderId="94" xfId="5" applyNumberFormat="1" applyFont="1" applyFill="1" applyBorder="1"/>
    <xf numFmtId="173" fontId="17" fillId="9" borderId="95" xfId="5" applyNumberFormat="1" applyFont="1" applyFill="1" applyBorder="1"/>
    <xf numFmtId="0" fontId="15" fillId="8" borderId="96" xfId="3" applyFont="1" applyFill="1" applyBorder="1" applyAlignment="1">
      <alignment vertical="top"/>
    </xf>
    <xf numFmtId="173" fontId="17" fillId="8" borderId="52" xfId="5" applyNumberFormat="1" applyFont="1" applyFill="1" applyBorder="1"/>
    <xf numFmtId="173" fontId="17" fillId="9" borderId="97" xfId="5" applyNumberFormat="1" applyFont="1" applyFill="1" applyBorder="1"/>
    <xf numFmtId="173" fontId="17" fillId="9" borderId="98" xfId="5" applyNumberFormat="1" applyFont="1" applyFill="1" applyBorder="1"/>
    <xf numFmtId="0" fontId="15" fillId="8" borderId="99" xfId="3" applyFont="1" applyFill="1" applyBorder="1" applyAlignment="1">
      <alignment vertical="top"/>
    </xf>
    <xf numFmtId="173" fontId="11" fillId="8" borderId="100" xfId="5" applyNumberFormat="1" applyFont="1" applyFill="1" applyBorder="1" applyAlignment="1">
      <alignment horizontal="right" vertical="center"/>
    </xf>
    <xf numFmtId="173" fontId="26" fillId="8" borderId="101" xfId="5" applyNumberFormat="1" applyFont="1" applyFill="1" applyBorder="1" applyAlignment="1">
      <alignment horizontal="center" vertical="center"/>
    </xf>
    <xf numFmtId="173" fontId="12" fillId="15" borderId="102" xfId="5" applyNumberFormat="1" applyFont="1" applyFill="1" applyBorder="1" applyAlignment="1">
      <alignment horizontal="right" vertical="center"/>
    </xf>
    <xf numFmtId="0" fontId="12" fillId="8" borderId="103" xfId="3" applyFont="1" applyFill="1" applyBorder="1" applyAlignment="1">
      <alignment vertical="top"/>
    </xf>
    <xf numFmtId="9" fontId="12" fillId="15" borderId="60" xfId="4" applyFont="1" applyFill="1" applyBorder="1" applyAlignment="1">
      <alignment horizontal="right" vertical="center"/>
    </xf>
    <xf numFmtId="173" fontId="11" fillId="8" borderId="60" xfId="5" applyNumberFormat="1" applyFont="1" applyFill="1" applyBorder="1" applyAlignment="1">
      <alignment horizontal="right" vertical="center"/>
    </xf>
    <xf numFmtId="173" fontId="26" fillId="8" borderId="104" xfId="5" applyNumberFormat="1" applyFont="1" applyFill="1" applyBorder="1" applyAlignment="1">
      <alignment horizontal="center" vertical="center"/>
    </xf>
    <xf numFmtId="166" fontId="11" fillId="8" borderId="105" xfId="5" applyNumberFormat="1" applyFont="1" applyFill="1" applyBorder="1" applyAlignment="1">
      <alignment horizontal="right" vertical="center"/>
    </xf>
    <xf numFmtId="0" fontId="12" fillId="8" borderId="62" xfId="3" applyFont="1" applyFill="1" applyBorder="1" applyAlignment="1">
      <alignment vertical="top"/>
    </xf>
    <xf numFmtId="173" fontId="12" fillId="8" borderId="106" xfId="5" applyNumberFormat="1" applyFont="1" applyFill="1" applyBorder="1" applyAlignment="1">
      <alignment horizontal="right" vertical="center"/>
    </xf>
    <xf numFmtId="173" fontId="12" fillId="8" borderId="8" xfId="5" applyNumberFormat="1" applyFont="1" applyFill="1" applyBorder="1" applyAlignment="1">
      <alignment horizontal="right" vertical="center"/>
    </xf>
    <xf numFmtId="173" fontId="27" fillId="8" borderId="107" xfId="5" applyNumberFormat="1" applyFont="1" applyFill="1" applyBorder="1" applyAlignment="1">
      <alignment horizontal="center" vertical="top"/>
    </xf>
    <xf numFmtId="166" fontId="12" fillId="8" borderId="108" xfId="5" applyNumberFormat="1" applyFont="1" applyFill="1" applyBorder="1" applyAlignment="1">
      <alignment vertical="top"/>
    </xf>
    <xf numFmtId="0" fontId="12" fillId="8" borderId="109" xfId="3" applyFont="1" applyFill="1" applyBorder="1" applyAlignment="1">
      <alignment vertical="top"/>
    </xf>
    <xf numFmtId="173" fontId="26" fillId="8" borderId="55" xfId="5" applyNumberFormat="1" applyFont="1" applyFill="1" applyBorder="1" applyAlignment="1">
      <alignment horizontal="right" vertical="center"/>
    </xf>
    <xf numFmtId="173" fontId="26" fillId="8" borderId="16" xfId="5" applyNumberFormat="1" applyFont="1" applyFill="1" applyBorder="1" applyAlignment="1">
      <alignment horizontal="right" vertical="center"/>
    </xf>
    <xf numFmtId="0" fontId="26" fillId="8" borderId="0" xfId="3" applyFont="1" applyFill="1" applyBorder="1" applyAlignment="1">
      <alignment horizontal="center" vertical="top"/>
    </xf>
    <xf numFmtId="166" fontId="11" fillId="8" borderId="0" xfId="3" applyNumberFormat="1" applyFont="1" applyFill="1" applyBorder="1" applyAlignment="1">
      <alignment vertical="top"/>
    </xf>
    <xf numFmtId="0" fontId="11" fillId="8" borderId="57" xfId="3" applyFont="1" applyFill="1" applyBorder="1" applyAlignment="1">
      <alignment vertical="top"/>
    </xf>
    <xf numFmtId="173" fontId="26" fillId="8" borderId="59" xfId="5" applyNumberFormat="1" applyFont="1" applyFill="1" applyBorder="1" applyAlignment="1">
      <alignment horizontal="right" vertical="center"/>
    </xf>
    <xf numFmtId="173" fontId="26" fillId="8" borderId="60" xfId="5" applyNumberFormat="1" applyFont="1" applyFill="1" applyBorder="1" applyAlignment="1">
      <alignment horizontal="right" vertical="center"/>
    </xf>
    <xf numFmtId="0" fontId="26" fillId="8" borderId="105" xfId="3" applyFont="1" applyFill="1" applyBorder="1" applyAlignment="1">
      <alignment horizontal="center" vertical="top"/>
    </xf>
    <xf numFmtId="166" fontId="11" fillId="8" borderId="105" xfId="3" applyNumberFormat="1" applyFont="1" applyFill="1" applyBorder="1" applyAlignment="1">
      <alignment vertical="top"/>
    </xf>
    <xf numFmtId="0" fontId="11" fillId="8" borderId="62" xfId="3" applyFont="1" applyFill="1" applyBorder="1" applyAlignment="1">
      <alignment vertical="top"/>
    </xf>
    <xf numFmtId="0" fontId="12" fillId="0" borderId="0" xfId="3" applyFont="1" applyBorder="1"/>
    <xf numFmtId="166" fontId="17" fillId="8" borderId="0" xfId="4" applyNumberFormat="1" applyFont="1" applyFill="1" applyBorder="1"/>
    <xf numFmtId="0" fontId="27" fillId="8" borderId="0" xfId="3" applyFont="1" applyFill="1" applyBorder="1" applyAlignment="1">
      <alignment horizontal="center"/>
    </xf>
    <xf numFmtId="166" fontId="12" fillId="8" borderId="0" xfId="3" applyNumberFormat="1" applyFont="1" applyFill="1" applyBorder="1"/>
    <xf numFmtId="173" fontId="11" fillId="8" borderId="81" xfId="5" applyNumberFormat="1" applyFont="1" applyFill="1" applyBorder="1" applyAlignment="1">
      <alignment horizontal="right" vertical="center"/>
    </xf>
    <xf numFmtId="43" fontId="27" fillId="8" borderId="90" xfId="5" applyFont="1" applyFill="1" applyBorder="1" applyAlignment="1">
      <alignment horizontal="center" vertical="center"/>
    </xf>
    <xf numFmtId="0" fontId="12" fillId="8" borderId="89" xfId="3" applyFont="1" applyFill="1" applyBorder="1" applyAlignment="1">
      <alignment vertical="top"/>
    </xf>
    <xf numFmtId="173" fontId="27" fillId="8" borderId="106" xfId="5" applyNumberFormat="1" applyFont="1" applyFill="1" applyBorder="1" applyAlignment="1">
      <alignment horizontal="right" vertical="center"/>
    </xf>
    <xf numFmtId="173" fontId="27" fillId="8" borderId="8" xfId="5" applyNumberFormat="1" applyFont="1" applyFill="1" applyBorder="1" applyAlignment="1">
      <alignment horizontal="right" vertical="center"/>
    </xf>
    <xf numFmtId="173" fontId="27" fillId="8" borderId="110" xfId="5" applyNumberFormat="1" applyFont="1" applyFill="1" applyBorder="1" applyAlignment="1">
      <alignment horizontal="right" vertical="center"/>
    </xf>
    <xf numFmtId="173" fontId="27" fillId="8" borderId="111" xfId="5" applyNumberFormat="1" applyFont="1" applyFill="1" applyBorder="1" applyAlignment="1">
      <alignment horizontal="right" vertical="center"/>
    </xf>
    <xf numFmtId="0" fontId="27" fillId="8" borderId="108" xfId="3" applyFont="1" applyFill="1" applyBorder="1" applyAlignment="1">
      <alignment horizontal="center" vertical="top"/>
    </xf>
    <xf numFmtId="166" fontId="12" fillId="8" borderId="108" xfId="3" applyNumberFormat="1" applyFont="1" applyFill="1" applyBorder="1" applyAlignment="1">
      <alignment vertical="top"/>
    </xf>
    <xf numFmtId="9" fontId="27" fillId="8" borderId="55" xfId="4" applyFont="1" applyFill="1" applyBorder="1" applyAlignment="1">
      <alignment horizontal="right" vertical="center"/>
    </xf>
    <xf numFmtId="9" fontId="27" fillId="8" borderId="16" xfId="4" applyFont="1" applyFill="1" applyBorder="1" applyAlignment="1">
      <alignment horizontal="right" vertical="center"/>
    </xf>
    <xf numFmtId="9" fontId="27" fillId="8" borderId="56" xfId="4" applyFont="1" applyFill="1" applyBorder="1" applyAlignment="1">
      <alignment horizontal="right" vertical="center"/>
    </xf>
    <xf numFmtId="9" fontId="27" fillId="8" borderId="112" xfId="4" applyFont="1" applyFill="1" applyBorder="1" applyAlignment="1">
      <alignment horizontal="right" vertical="center"/>
    </xf>
    <xf numFmtId="9" fontId="27" fillId="8" borderId="0" xfId="3" applyNumberFormat="1" applyFont="1" applyFill="1" applyBorder="1" applyAlignment="1">
      <alignment horizontal="center" vertical="top"/>
    </xf>
    <xf numFmtId="166" fontId="27" fillId="16" borderId="0" xfId="3" applyNumberFormat="1" applyFont="1" applyFill="1" applyBorder="1" applyAlignment="1">
      <alignment vertical="top"/>
    </xf>
    <xf numFmtId="0" fontId="12" fillId="8" borderId="57" xfId="3" applyFont="1" applyFill="1" applyBorder="1" applyAlignment="1">
      <alignment vertical="top"/>
    </xf>
    <xf numFmtId="173" fontId="27" fillId="8" borderId="55" xfId="5" applyNumberFormat="1" applyFont="1" applyFill="1" applyBorder="1" applyAlignment="1">
      <alignment horizontal="right" vertical="center"/>
    </xf>
    <xf numFmtId="173" fontId="27" fillId="8" borderId="16" xfId="5" applyNumberFormat="1" applyFont="1" applyFill="1" applyBorder="1" applyAlignment="1">
      <alignment horizontal="right" vertical="center"/>
    </xf>
    <xf numFmtId="173" fontId="27" fillId="8" borderId="56" xfId="5" applyNumberFormat="1" applyFont="1" applyFill="1" applyBorder="1" applyAlignment="1">
      <alignment horizontal="right" vertical="center"/>
    </xf>
    <xf numFmtId="173" fontId="27" fillId="8" borderId="112" xfId="5" applyNumberFormat="1" applyFont="1" applyFill="1" applyBorder="1" applyAlignment="1">
      <alignment horizontal="right" vertical="center"/>
    </xf>
    <xf numFmtId="0" fontId="27" fillId="8" borderId="0" xfId="3" applyFont="1" applyFill="1" applyBorder="1" applyAlignment="1">
      <alignment horizontal="center" vertical="top"/>
    </xf>
    <xf numFmtId="166" fontId="12" fillId="8" borderId="0" xfId="3" applyNumberFormat="1" applyFont="1" applyFill="1" applyBorder="1" applyAlignment="1">
      <alignment vertical="top"/>
    </xf>
    <xf numFmtId="173" fontId="11" fillId="8" borderId="0" xfId="3" applyNumberFormat="1" applyFont="1" applyFill="1"/>
    <xf numFmtId="173" fontId="15" fillId="8" borderId="113" xfId="5" applyNumberFormat="1" applyFont="1" applyFill="1" applyBorder="1" applyAlignment="1">
      <alignment horizontal="right" vertical="center"/>
    </xf>
    <xf numFmtId="173" fontId="15" fillId="8" borderId="114" xfId="5" applyNumberFormat="1" applyFont="1" applyFill="1" applyBorder="1" applyAlignment="1">
      <alignment horizontal="right" vertical="center"/>
    </xf>
    <xf numFmtId="173" fontId="15" fillId="8" borderId="115" xfId="5" applyNumberFormat="1" applyFont="1" applyFill="1" applyBorder="1" applyAlignment="1">
      <alignment horizontal="right" vertical="center"/>
    </xf>
    <xf numFmtId="173" fontId="15" fillId="8" borderId="116" xfId="5" applyNumberFormat="1" applyFont="1" applyFill="1" applyBorder="1" applyAlignment="1">
      <alignment horizontal="right" vertical="center"/>
    </xf>
    <xf numFmtId="0" fontId="27" fillId="8" borderId="42" xfId="3" applyFont="1" applyFill="1" applyBorder="1" applyAlignment="1">
      <alignment horizontal="center" vertical="top"/>
    </xf>
    <xf numFmtId="166" fontId="12" fillId="8" borderId="42" xfId="3" applyNumberFormat="1" applyFont="1" applyFill="1" applyBorder="1" applyAlignment="1">
      <alignment vertical="top"/>
    </xf>
    <xf numFmtId="0" fontId="12" fillId="8" borderId="43" xfId="3" applyFont="1" applyFill="1" applyBorder="1" applyAlignment="1">
      <alignment vertical="top"/>
    </xf>
    <xf numFmtId="0" fontId="11" fillId="17" borderId="0" xfId="3" applyFont="1" applyFill="1"/>
    <xf numFmtId="173" fontId="11" fillId="17" borderId="0" xfId="5" applyNumberFormat="1" applyFont="1" applyFill="1" applyBorder="1" applyAlignment="1">
      <alignment horizontal="right" vertical="center"/>
    </xf>
    <xf numFmtId="0" fontId="27" fillId="17" borderId="0" xfId="3" applyFont="1" applyFill="1" applyBorder="1" applyAlignment="1">
      <alignment horizontal="center" vertical="top"/>
    </xf>
    <xf numFmtId="166" fontId="12" fillId="17" borderId="0" xfId="3" applyNumberFormat="1" applyFont="1" applyFill="1" applyBorder="1" applyAlignment="1">
      <alignment vertical="top"/>
    </xf>
    <xf numFmtId="0" fontId="12" fillId="17" borderId="0" xfId="3" applyFont="1" applyFill="1" applyBorder="1" applyAlignment="1">
      <alignment vertical="top"/>
    </xf>
    <xf numFmtId="0" fontId="12" fillId="17" borderId="0" xfId="3" applyFont="1" applyFill="1"/>
    <xf numFmtId="173" fontId="11" fillId="8" borderId="0" xfId="5" applyNumberFormat="1" applyFont="1" applyFill="1" applyBorder="1" applyAlignment="1">
      <alignment horizontal="right" vertical="center"/>
    </xf>
    <xf numFmtId="173" fontId="12" fillId="8" borderId="102" xfId="5" applyNumberFormat="1" applyFont="1" applyFill="1" applyBorder="1" applyAlignment="1">
      <alignment horizontal="center" vertical="center"/>
    </xf>
    <xf numFmtId="0" fontId="27" fillId="8" borderId="102" xfId="3" applyFont="1" applyFill="1" applyBorder="1" applyAlignment="1">
      <alignment horizontal="center" vertical="top"/>
    </xf>
    <xf numFmtId="166" fontId="12" fillId="8" borderId="102" xfId="3" applyNumberFormat="1" applyFont="1" applyFill="1" applyBorder="1" applyAlignment="1">
      <alignment vertical="top"/>
    </xf>
    <xf numFmtId="38" fontId="31" fillId="8" borderId="102" xfId="3" applyNumberFormat="1" applyFont="1" applyFill="1" applyBorder="1" applyAlignment="1" applyProtection="1">
      <alignment horizontal="left"/>
    </xf>
    <xf numFmtId="0" fontId="17" fillId="0" borderId="0" xfId="3" applyFont="1" applyBorder="1" applyAlignment="1">
      <alignment horizontal="center"/>
    </xf>
    <xf numFmtId="38" fontId="29" fillId="8" borderId="0" xfId="3" applyNumberFormat="1" applyFont="1" applyFill="1" applyBorder="1" applyAlignment="1" applyProtection="1">
      <alignment horizontal="center"/>
    </xf>
    <xf numFmtId="166" fontId="31" fillId="8" borderId="0" xfId="3" applyNumberFormat="1" applyFont="1" applyFill="1" applyBorder="1" applyAlignment="1" applyProtection="1">
      <alignment horizontal="left"/>
    </xf>
    <xf numFmtId="38" fontId="31" fillId="8" borderId="0" xfId="3" applyNumberFormat="1" applyFont="1" applyFill="1" applyBorder="1" applyAlignment="1" applyProtection="1">
      <alignment horizontal="left"/>
    </xf>
    <xf numFmtId="0" fontId="11" fillId="0" borderId="0" xfId="3" applyFont="1" applyBorder="1" applyAlignment="1">
      <alignment horizontal="center"/>
    </xf>
    <xf numFmtId="0" fontId="11" fillId="15" borderId="0" xfId="3" applyFont="1" applyFill="1"/>
    <xf numFmtId="9" fontId="31" fillId="18" borderId="87" xfId="4" applyFont="1" applyFill="1" applyBorder="1" applyAlignment="1" applyProtection="1">
      <alignment horizontal="center"/>
    </xf>
    <xf numFmtId="38" fontId="31" fillId="18" borderId="82" xfId="3" applyNumberFormat="1" applyFont="1" applyFill="1" applyBorder="1" applyAlignment="1" applyProtection="1">
      <alignment horizontal="left"/>
    </xf>
    <xf numFmtId="0" fontId="11" fillId="0" borderId="0" xfId="3" applyFont="1" applyBorder="1" applyAlignment="1">
      <alignment horizontal="right"/>
    </xf>
    <xf numFmtId="0" fontId="11" fillId="0" borderId="0" xfId="3" applyFont="1" applyFill="1" applyBorder="1"/>
    <xf numFmtId="0" fontId="15" fillId="0" borderId="0" xfId="3" applyFont="1" applyBorder="1" applyAlignment="1">
      <alignment horizontal="right"/>
    </xf>
    <xf numFmtId="0" fontId="15" fillId="13" borderId="1" xfId="3" applyFont="1" applyFill="1" applyBorder="1"/>
    <xf numFmtId="0" fontId="15" fillId="13" borderId="1" xfId="3" applyFont="1" applyFill="1" applyBorder="1" applyAlignment="1">
      <alignment horizontal="right"/>
    </xf>
    <xf numFmtId="192" fontId="12" fillId="0" borderId="1" xfId="5" applyNumberFormat="1" applyFont="1" applyFill="1" applyBorder="1"/>
    <xf numFmtId="0" fontId="11" fillId="13" borderId="1" xfId="3" applyFont="1" applyFill="1" applyBorder="1"/>
    <xf numFmtId="38" fontId="17" fillId="15" borderId="106" xfId="3" applyNumberFormat="1" applyFont="1" applyFill="1" applyBorder="1" applyAlignment="1" applyProtection="1"/>
    <xf numFmtId="38" fontId="17" fillId="15" borderId="8" xfId="3" applyNumberFormat="1" applyFont="1" applyFill="1" applyBorder="1" applyAlignment="1" applyProtection="1"/>
    <xf numFmtId="0" fontId="11" fillId="15" borderId="108" xfId="3" applyFont="1" applyFill="1" applyBorder="1" applyAlignment="1">
      <alignment horizontal="right"/>
    </xf>
    <xf numFmtId="173" fontId="12" fillId="15" borderId="109" xfId="5" applyNumberFormat="1" applyFont="1" applyFill="1" applyBorder="1" applyAlignment="1">
      <alignment horizontal="right"/>
    </xf>
    <xf numFmtId="38" fontId="15" fillId="15" borderId="117" xfId="3" applyNumberFormat="1" applyFont="1" applyFill="1" applyBorder="1" applyAlignment="1"/>
    <xf numFmtId="38" fontId="15" fillId="15" borderId="118" xfId="3" applyNumberFormat="1" applyFont="1" applyFill="1" applyBorder="1" applyAlignment="1"/>
    <xf numFmtId="0" fontId="11" fillId="15" borderId="119" xfId="3" applyFont="1" applyFill="1" applyBorder="1"/>
    <xf numFmtId="173" fontId="11" fillId="15" borderId="120" xfId="5" applyNumberFormat="1" applyFont="1" applyFill="1" applyBorder="1" applyAlignment="1">
      <alignment horizontal="right"/>
    </xf>
    <xf numFmtId="38" fontId="15" fillId="15" borderId="35" xfId="3" applyNumberFormat="1" applyFont="1" applyFill="1" applyBorder="1" applyAlignment="1"/>
    <xf numFmtId="38" fontId="15" fillId="15" borderId="36" xfId="3" applyNumberFormat="1" applyFont="1" applyFill="1" applyBorder="1" applyAlignment="1"/>
    <xf numFmtId="0" fontId="11" fillId="15" borderId="94" xfId="3" applyFont="1" applyFill="1" applyBorder="1"/>
    <xf numFmtId="173" fontId="11" fillId="15" borderId="84" xfId="5" applyNumberFormat="1" applyFont="1" applyFill="1" applyBorder="1" applyAlignment="1">
      <alignment horizontal="right"/>
    </xf>
    <xf numFmtId="38" fontId="15" fillId="15" borderId="48" xfId="3" applyNumberFormat="1" applyFont="1" applyFill="1" applyBorder="1" applyAlignment="1"/>
    <xf numFmtId="38" fontId="15" fillId="15" borderId="49" xfId="3" applyNumberFormat="1" applyFont="1" applyFill="1" applyBorder="1" applyAlignment="1"/>
    <xf numFmtId="0" fontId="11" fillId="15" borderId="121" xfId="3" applyFont="1" applyFill="1" applyBorder="1"/>
    <xf numFmtId="173" fontId="11" fillId="15" borderId="58" xfId="5" applyNumberFormat="1" applyFont="1" applyFill="1" applyBorder="1" applyAlignment="1">
      <alignment horizontal="right"/>
    </xf>
    <xf numFmtId="0" fontId="15" fillId="15" borderId="5" xfId="3" applyFont="1" applyFill="1" applyBorder="1" applyAlignment="1"/>
    <xf numFmtId="0" fontId="15" fillId="15" borderId="0" xfId="3" applyFont="1" applyFill="1" applyBorder="1" applyAlignment="1"/>
    <xf numFmtId="0" fontId="15" fillId="15" borderId="0" xfId="3" applyFont="1" applyFill="1" applyBorder="1"/>
    <xf numFmtId="0" fontId="11" fillId="15" borderId="0" xfId="3" applyFont="1" applyFill="1" applyBorder="1"/>
    <xf numFmtId="173" fontId="12" fillId="15" borderId="57" xfId="5" applyNumberFormat="1" applyFont="1" applyFill="1" applyBorder="1"/>
    <xf numFmtId="0" fontId="11" fillId="15" borderId="108" xfId="3" applyFont="1" applyFill="1" applyBorder="1"/>
    <xf numFmtId="38" fontId="17" fillId="15" borderId="118" xfId="3" applyNumberFormat="1" applyFont="1" applyFill="1" applyBorder="1" applyAlignment="1" applyProtection="1"/>
    <xf numFmtId="9" fontId="11" fillId="15" borderId="118" xfId="3" applyNumberFormat="1" applyFont="1" applyFill="1" applyBorder="1"/>
    <xf numFmtId="38" fontId="17" fillId="15" borderId="36" xfId="3" applyNumberFormat="1" applyFont="1" applyFill="1" applyBorder="1" applyAlignment="1" applyProtection="1"/>
    <xf numFmtId="9" fontId="11" fillId="15" borderId="36" xfId="3" applyNumberFormat="1" applyFont="1" applyFill="1" applyBorder="1"/>
    <xf numFmtId="38" fontId="17" fillId="15" borderId="49" xfId="3" applyNumberFormat="1" applyFont="1" applyFill="1" applyBorder="1" applyAlignment="1" applyProtection="1"/>
    <xf numFmtId="9" fontId="11" fillId="15" borderId="49" xfId="3" applyNumberFormat="1" applyFont="1" applyFill="1" applyBorder="1"/>
    <xf numFmtId="0" fontId="15" fillId="15" borderId="21" xfId="3" applyFont="1" applyFill="1" applyBorder="1" applyAlignment="1"/>
    <xf numFmtId="0" fontId="15" fillId="15" borderId="105" xfId="3" applyFont="1" applyFill="1" applyBorder="1" applyAlignment="1"/>
    <xf numFmtId="0" fontId="15" fillId="15" borderId="105" xfId="3" applyFont="1" applyFill="1" applyBorder="1"/>
    <xf numFmtId="173" fontId="11" fillId="15" borderId="105" xfId="3" applyNumberFormat="1" applyFont="1" applyFill="1" applyBorder="1" applyAlignment="1">
      <alignment vertical="center"/>
    </xf>
    <xf numFmtId="173" fontId="12" fillId="15" borderId="62" xfId="5" applyNumberFormat="1" applyFont="1" applyFill="1" applyBorder="1"/>
    <xf numFmtId="38" fontId="17" fillId="16" borderId="8" xfId="3" applyNumberFormat="1" applyFont="1" applyFill="1" applyBorder="1" applyAlignment="1" applyProtection="1"/>
    <xf numFmtId="173" fontId="11" fillId="15" borderId="108" xfId="3" applyNumberFormat="1" applyFont="1" applyFill="1" applyBorder="1" applyAlignment="1">
      <alignment vertical="center"/>
    </xf>
    <xf numFmtId="0" fontId="17" fillId="15" borderId="122" xfId="3" applyFont="1" applyFill="1" applyBorder="1" applyAlignment="1"/>
    <xf numFmtId="173" fontId="17" fillId="15" borderId="11" xfId="5" applyNumberFormat="1" applyFont="1" applyFill="1" applyBorder="1" applyAlignment="1"/>
    <xf numFmtId="173" fontId="17" fillId="16" borderId="11" xfId="5" applyNumberFormat="1" applyFont="1" applyFill="1" applyBorder="1" applyAlignment="1"/>
    <xf numFmtId="173" fontId="11" fillId="15" borderId="0" xfId="3" applyNumberFormat="1" applyFont="1" applyFill="1" applyBorder="1" applyAlignment="1">
      <alignment vertical="center"/>
    </xf>
    <xf numFmtId="173" fontId="12" fillId="15" borderId="57" xfId="5" applyNumberFormat="1" applyFont="1" applyFill="1" applyBorder="1" applyAlignment="1">
      <alignment horizontal="left"/>
    </xf>
    <xf numFmtId="173" fontId="15" fillId="8" borderId="38" xfId="5" applyNumberFormat="1" applyFont="1" applyFill="1" applyBorder="1" applyAlignment="1" applyProtection="1">
      <alignment horizontal="center"/>
    </xf>
    <xf numFmtId="173" fontId="15" fillId="8" borderId="39" xfId="5" applyNumberFormat="1" applyFont="1" applyFill="1" applyBorder="1" applyAlignment="1" applyProtection="1">
      <alignment horizontal="center"/>
    </xf>
    <xf numFmtId="173" fontId="15" fillId="16" borderId="39" xfId="5" applyNumberFormat="1" applyFont="1" applyFill="1" applyBorder="1" applyAlignment="1" applyProtection="1">
      <alignment horizontal="center"/>
    </xf>
    <xf numFmtId="173" fontId="15" fillId="8" borderId="57" xfId="5" applyNumberFormat="1" applyFont="1" applyFill="1" applyBorder="1" applyAlignment="1">
      <alignment horizontal="left"/>
    </xf>
    <xf numFmtId="173" fontId="15" fillId="8" borderId="48" xfId="5" applyNumberFormat="1" applyFont="1" applyFill="1" applyBorder="1" applyAlignment="1" applyProtection="1">
      <alignment horizontal="center"/>
    </xf>
    <xf numFmtId="173" fontId="15" fillId="8" borderId="49" xfId="5" applyNumberFormat="1" applyFont="1" applyFill="1" applyBorder="1" applyAlignment="1" applyProtection="1">
      <alignment horizontal="center"/>
    </xf>
    <xf numFmtId="173" fontId="15" fillId="16" borderId="49" xfId="5" applyNumberFormat="1" applyFont="1" applyFill="1" applyBorder="1" applyAlignment="1" applyProtection="1">
      <alignment horizontal="center"/>
    </xf>
    <xf numFmtId="173" fontId="17" fillId="15" borderId="2" xfId="5" applyNumberFormat="1" applyFont="1" applyFill="1" applyBorder="1" applyAlignment="1"/>
    <xf numFmtId="173" fontId="17" fillId="15" borderId="1" xfId="5" applyNumberFormat="1" applyFont="1" applyFill="1" applyBorder="1" applyAlignment="1"/>
    <xf numFmtId="173" fontId="17" fillId="16" borderId="1" xfId="5" applyNumberFormat="1" applyFont="1" applyFill="1" applyBorder="1" applyAlignment="1"/>
    <xf numFmtId="173" fontId="15" fillId="8" borderId="57" xfId="5" applyNumberFormat="1" applyFont="1" applyFill="1" applyBorder="1"/>
    <xf numFmtId="173" fontId="15" fillId="15" borderId="0" xfId="3" applyNumberFormat="1" applyFont="1" applyFill="1" applyBorder="1" applyAlignment="1">
      <alignment vertical="center"/>
    </xf>
    <xf numFmtId="173" fontId="17" fillId="15" borderId="57" xfId="5" applyNumberFormat="1" applyFont="1" applyFill="1" applyBorder="1" applyAlignment="1">
      <alignment horizontal="left"/>
    </xf>
    <xf numFmtId="173" fontId="15" fillId="8" borderId="123" xfId="5" applyNumberFormat="1" applyFont="1" applyFill="1" applyBorder="1" applyAlignment="1" applyProtection="1">
      <alignment horizontal="center"/>
    </xf>
    <xf numFmtId="173" fontId="15" fillId="8" borderId="74" xfId="5" applyNumberFormat="1" applyFont="1" applyFill="1" applyBorder="1" applyAlignment="1" applyProtection="1">
      <alignment horizontal="center"/>
    </xf>
    <xf numFmtId="173" fontId="26" fillId="18" borderId="57" xfId="5" applyNumberFormat="1" applyFont="1" applyFill="1" applyBorder="1"/>
    <xf numFmtId="173" fontId="15" fillId="8" borderId="55" xfId="5" applyNumberFormat="1" applyFont="1" applyFill="1" applyBorder="1" applyAlignment="1" applyProtection="1">
      <alignment horizontal="center"/>
    </xf>
    <xf numFmtId="173" fontId="15" fillId="8" borderId="16" xfId="5" applyNumberFormat="1" applyFont="1" applyFill="1" applyBorder="1" applyAlignment="1" applyProtection="1">
      <alignment horizontal="center"/>
    </xf>
    <xf numFmtId="38" fontId="12" fillId="15" borderId="114" xfId="3" applyNumberFormat="1" applyFont="1" applyFill="1" applyBorder="1" applyAlignment="1" applyProtection="1">
      <alignment horizontal="center"/>
    </xf>
    <xf numFmtId="0" fontId="11" fillId="15" borderId="42" xfId="3" applyFont="1" applyFill="1" applyBorder="1" applyAlignment="1">
      <alignment vertical="center"/>
    </xf>
    <xf numFmtId="173" fontId="12" fillId="15" borderId="43" xfId="5" applyNumberFormat="1" applyFont="1" applyFill="1" applyBorder="1"/>
    <xf numFmtId="0" fontId="32" fillId="17" borderId="0" xfId="3" applyFont="1" applyFill="1" applyBorder="1" applyAlignment="1">
      <alignment horizontal="center" vertical="center"/>
    </xf>
    <xf numFmtId="0" fontId="28" fillId="17" borderId="0" xfId="3" applyFont="1" applyFill="1" applyBorder="1" applyAlignment="1">
      <alignment vertical="center"/>
    </xf>
    <xf numFmtId="38" fontId="31" fillId="8" borderId="0" xfId="3" applyNumberFormat="1" applyFont="1" applyFill="1" applyAlignment="1" applyProtection="1">
      <alignment horizontal="left"/>
    </xf>
    <xf numFmtId="38" fontId="31" fillId="8" borderId="0" xfId="3" applyNumberFormat="1" applyFont="1" applyFill="1" applyAlignment="1" applyProtection="1">
      <alignment horizontal="right"/>
    </xf>
    <xf numFmtId="0" fontId="11" fillId="0" borderId="0" xfId="3" applyFont="1" applyFill="1" applyBorder="1" applyAlignment="1">
      <alignment horizontal="right" vertical="center"/>
    </xf>
    <xf numFmtId="0" fontId="11" fillId="0" borderId="0" xfId="3" applyFont="1" applyFill="1" applyBorder="1" applyAlignment="1">
      <alignment vertical="center"/>
    </xf>
    <xf numFmtId="0" fontId="12" fillId="0" borderId="0" xfId="3" applyFont="1" applyAlignment="1">
      <alignment horizontal="right"/>
    </xf>
    <xf numFmtId="0" fontId="11" fillId="0" borderId="0" xfId="3" applyFont="1" applyProtection="1"/>
    <xf numFmtId="173" fontId="26" fillId="8" borderId="124" xfId="3" applyNumberFormat="1" applyFont="1" applyFill="1" applyBorder="1" applyProtection="1"/>
    <xf numFmtId="0" fontId="26" fillId="0" borderId="0" xfId="3" applyFont="1" applyProtection="1"/>
    <xf numFmtId="0" fontId="27" fillId="8" borderId="34" xfId="3" applyFont="1" applyFill="1" applyBorder="1" applyProtection="1"/>
    <xf numFmtId="173" fontId="26" fillId="8" borderId="51" xfId="3" applyNumberFormat="1" applyFont="1" applyFill="1" applyBorder="1" applyProtection="1"/>
    <xf numFmtId="0" fontId="26" fillId="8" borderId="53" xfId="3" applyFont="1" applyFill="1" applyBorder="1" applyProtection="1"/>
    <xf numFmtId="173" fontId="27" fillId="8" borderId="106" xfId="3" applyNumberFormat="1" applyFont="1" applyFill="1" applyBorder="1" applyProtection="1"/>
    <xf numFmtId="173" fontId="27" fillId="0" borderId="0" xfId="5" applyNumberFormat="1" applyFont="1" applyBorder="1" applyAlignment="1" applyProtection="1">
      <alignment vertical="center"/>
    </xf>
    <xf numFmtId="0" fontId="27" fillId="8" borderId="109" xfId="3" applyFont="1" applyFill="1" applyBorder="1" applyProtection="1"/>
    <xf numFmtId="173" fontId="26" fillId="8" borderId="123" xfId="3" applyNumberFormat="1" applyFont="1" applyFill="1" applyBorder="1" applyProtection="1"/>
    <xf numFmtId="0" fontId="26" fillId="8" borderId="125" xfId="3" applyFont="1" applyFill="1" applyBorder="1" applyProtection="1"/>
    <xf numFmtId="173" fontId="27" fillId="8" borderId="38" xfId="3" applyNumberFormat="1" applyFont="1" applyFill="1" applyBorder="1" applyProtection="1"/>
    <xf numFmtId="0" fontId="27" fillId="8" borderId="86" xfId="3" applyFont="1" applyFill="1" applyBorder="1" applyProtection="1"/>
    <xf numFmtId="173" fontId="26" fillId="19" borderId="51" xfId="3" applyNumberFormat="1" applyFont="1" applyFill="1" applyBorder="1" applyProtection="1"/>
    <xf numFmtId="0" fontId="26" fillId="8" borderId="126" xfId="3" applyFont="1" applyFill="1" applyBorder="1" applyProtection="1"/>
    <xf numFmtId="0" fontId="26" fillId="8" borderId="34" xfId="3" applyFont="1" applyFill="1" applyBorder="1" applyProtection="1"/>
    <xf numFmtId="0" fontId="26" fillId="8" borderId="56" xfId="3" applyFont="1" applyFill="1" applyBorder="1" applyProtection="1"/>
    <xf numFmtId="0" fontId="33" fillId="0" borderId="60" xfId="3" applyFont="1" applyBorder="1" applyAlignment="1" applyProtection="1">
      <alignment horizontal="center" vertical="center"/>
    </xf>
    <xf numFmtId="0" fontId="27" fillId="0" borderId="0" xfId="3" applyFont="1" applyProtection="1"/>
    <xf numFmtId="0" fontId="26" fillId="0" borderId="0" xfId="3" applyFont="1" applyBorder="1" applyProtection="1"/>
    <xf numFmtId="173" fontId="26" fillId="6" borderId="118" xfId="5" applyNumberFormat="1" applyFont="1" applyFill="1" applyBorder="1" applyAlignment="1" applyProtection="1">
      <alignment vertical="center"/>
    </xf>
    <xf numFmtId="0" fontId="26" fillId="0" borderId="128" xfId="3" applyFont="1" applyBorder="1" applyProtection="1"/>
    <xf numFmtId="173" fontId="26" fillId="6" borderId="16" xfId="5" applyNumberFormat="1" applyFont="1" applyFill="1" applyBorder="1" applyAlignment="1" applyProtection="1">
      <alignment vertical="center"/>
    </xf>
    <xf numFmtId="0" fontId="26" fillId="0" borderId="129" xfId="3" applyFont="1" applyBorder="1" applyProtection="1"/>
    <xf numFmtId="173" fontId="26" fillId="6" borderId="52" xfId="5" applyNumberFormat="1" applyFont="1" applyFill="1" applyBorder="1" applyAlignment="1" applyProtection="1">
      <alignment vertical="center"/>
    </xf>
    <xf numFmtId="0" fontId="26" fillId="0" borderId="130" xfId="3" applyFont="1" applyBorder="1" applyProtection="1"/>
    <xf numFmtId="0" fontId="33" fillId="0" borderId="59" xfId="3" applyFont="1" applyBorder="1" applyAlignment="1" applyProtection="1">
      <alignment horizontal="center" vertical="center"/>
    </xf>
    <xf numFmtId="0" fontId="27" fillId="0" borderId="61" xfId="3" applyFont="1" applyBorder="1" applyProtection="1"/>
    <xf numFmtId="173" fontId="26" fillId="0" borderId="0" xfId="5" applyNumberFormat="1" applyFont="1" applyBorder="1" applyAlignment="1" applyProtection="1">
      <alignment vertical="center"/>
    </xf>
    <xf numFmtId="173" fontId="26" fillId="0" borderId="0" xfId="5" applyNumberFormat="1" applyFont="1" applyAlignment="1" applyProtection="1">
      <alignment vertical="center"/>
    </xf>
    <xf numFmtId="0" fontId="33" fillId="0" borderId="0" xfId="3" applyFont="1" applyAlignment="1" applyProtection="1">
      <alignment horizontal="center" vertical="center"/>
    </xf>
    <xf numFmtId="0" fontId="33" fillId="0" borderId="0" xfId="3" quotePrefix="1" applyFont="1" applyBorder="1" applyAlignment="1" applyProtection="1">
      <alignment horizontal="left" vertical="center"/>
    </xf>
    <xf numFmtId="0" fontId="27" fillId="0" borderId="0" xfId="3" applyFont="1" applyAlignment="1" applyProtection="1">
      <alignment horizontal="center"/>
    </xf>
    <xf numFmtId="0" fontId="27" fillId="0" borderId="0" xfId="3" applyFont="1" applyAlignment="1" applyProtection="1">
      <alignment horizontal="right"/>
    </xf>
    <xf numFmtId="38" fontId="27" fillId="0" borderId="0" xfId="3" applyNumberFormat="1" applyFont="1" applyProtection="1"/>
    <xf numFmtId="0" fontId="15" fillId="8" borderId="0" xfId="6" applyFont="1" applyFill="1" applyAlignment="1" applyProtection="1">
      <alignment vertical="center"/>
    </xf>
    <xf numFmtId="173" fontId="17" fillId="8" borderId="35" xfId="5" applyNumberFormat="1" applyFont="1" applyFill="1" applyBorder="1" applyAlignment="1" applyProtection="1">
      <alignment vertical="center"/>
    </xf>
    <xf numFmtId="173" fontId="15" fillId="8" borderId="133" xfId="5" applyNumberFormat="1" applyFont="1" applyFill="1" applyBorder="1" applyAlignment="1" applyProtection="1">
      <alignment vertical="center"/>
    </xf>
    <xf numFmtId="173" fontId="17" fillId="8" borderId="78" xfId="5" applyNumberFormat="1" applyFont="1" applyFill="1" applyBorder="1" applyAlignment="1" applyProtection="1">
      <alignment vertical="center"/>
    </xf>
    <xf numFmtId="173" fontId="15" fillId="19" borderId="36" xfId="5" applyNumberFormat="1" applyFont="1" applyFill="1" applyBorder="1" applyAlignment="1" applyProtection="1">
      <alignment vertical="center"/>
    </xf>
    <xf numFmtId="173" fontId="15" fillId="19" borderId="37" xfId="5" applyNumberFormat="1" applyFont="1" applyFill="1" applyBorder="1" applyAlignment="1" applyProtection="1">
      <alignment vertical="center"/>
    </xf>
    <xf numFmtId="173" fontId="17" fillId="8" borderId="38" xfId="5" applyNumberFormat="1" applyFont="1" applyFill="1" applyBorder="1" applyAlignment="1" applyProtection="1">
      <alignment vertical="center"/>
    </xf>
    <xf numFmtId="173" fontId="15" fillId="19" borderId="39" xfId="5" applyNumberFormat="1" applyFont="1" applyFill="1" applyBorder="1" applyAlignment="1" applyProtection="1">
      <alignment vertical="center"/>
    </xf>
    <xf numFmtId="173" fontId="15" fillId="19" borderId="40" xfId="5" applyNumberFormat="1" applyFont="1" applyFill="1" applyBorder="1" applyAlignment="1" applyProtection="1">
      <alignment vertical="center"/>
    </xf>
    <xf numFmtId="173" fontId="15" fillId="8" borderId="134" xfId="5" applyNumberFormat="1" applyFont="1" applyFill="1" applyBorder="1" applyAlignment="1" applyProtection="1">
      <alignment vertical="center"/>
    </xf>
    <xf numFmtId="173" fontId="17" fillId="8" borderId="135" xfId="5" applyNumberFormat="1" applyFont="1" applyFill="1" applyBorder="1" applyAlignment="1" applyProtection="1">
      <alignment vertical="center"/>
    </xf>
    <xf numFmtId="0" fontId="15" fillId="6" borderId="0" xfId="6" applyFont="1" applyFill="1" applyAlignment="1" applyProtection="1">
      <alignment vertical="center"/>
    </xf>
    <xf numFmtId="173" fontId="20" fillId="6" borderId="87" xfId="5" applyNumberFormat="1" applyFont="1" applyFill="1" applyBorder="1" applyAlignment="1" applyProtection="1">
      <alignment horizontal="center" vertical="center" wrapText="1"/>
    </xf>
    <xf numFmtId="173" fontId="20" fillId="6" borderId="81" xfId="5" applyNumberFormat="1" applyFont="1" applyFill="1" applyBorder="1" applyAlignment="1" applyProtection="1">
      <alignment horizontal="center" vertical="center" wrapText="1"/>
    </xf>
    <xf numFmtId="173" fontId="20" fillId="6" borderId="82" xfId="5" applyNumberFormat="1" applyFont="1" applyFill="1" applyBorder="1" applyAlignment="1" applyProtection="1">
      <alignment horizontal="center" vertical="center" wrapText="1"/>
    </xf>
    <xf numFmtId="173" fontId="20" fillId="6" borderId="12" xfId="5" applyNumberFormat="1" applyFont="1" applyFill="1" applyBorder="1" applyAlignment="1" applyProtection="1">
      <alignment horizontal="center" vertical="center" wrapText="1"/>
    </xf>
    <xf numFmtId="173" fontId="20" fillId="6" borderId="136" xfId="5" applyNumberFormat="1" applyFont="1" applyFill="1" applyBorder="1" applyAlignment="1" applyProtection="1">
      <alignment horizontal="center" vertical="center" wrapText="1"/>
    </xf>
    <xf numFmtId="0" fontId="17" fillId="8" borderId="0" xfId="6" applyFont="1" applyFill="1" applyAlignment="1" applyProtection="1">
      <alignment horizontal="right" vertical="center"/>
    </xf>
    <xf numFmtId="38" fontId="22" fillId="8" borderId="0" xfId="6" applyNumberFormat="1" applyFont="1" applyFill="1" applyAlignment="1" applyProtection="1">
      <alignment vertical="center"/>
    </xf>
    <xf numFmtId="173" fontId="15" fillId="6" borderId="40" xfId="5" applyNumberFormat="1" applyFont="1" applyFill="1" applyBorder="1" applyAlignment="1" applyProtection="1">
      <alignment vertical="center"/>
    </xf>
    <xf numFmtId="0" fontId="16" fillId="6" borderId="113" xfId="6" applyFont="1" applyFill="1" applyBorder="1" applyAlignment="1" applyProtection="1">
      <alignment horizontal="center" vertical="center" wrapText="1"/>
    </xf>
    <xf numFmtId="0" fontId="16" fillId="6" borderId="114" xfId="6" applyFont="1" applyFill="1" applyBorder="1" applyAlignment="1" applyProtection="1">
      <alignment horizontal="center" vertical="center" wrapText="1"/>
    </xf>
    <xf numFmtId="0" fontId="16" fillId="6" borderId="115" xfId="6" applyFont="1" applyFill="1" applyBorder="1" applyAlignment="1" applyProtection="1">
      <alignment horizontal="center" vertical="center" wrapText="1"/>
    </xf>
    <xf numFmtId="0" fontId="10" fillId="0" borderId="0" xfId="3"/>
    <xf numFmtId="173" fontId="20" fillId="6" borderId="106" xfId="5" applyNumberFormat="1" applyFont="1" applyFill="1" applyBorder="1" applyAlignment="1" applyProtection="1">
      <alignment vertical="center"/>
    </xf>
    <xf numFmtId="173" fontId="20" fillId="6" borderId="8" xfId="5" applyNumberFormat="1" applyFont="1" applyFill="1" applyBorder="1" applyAlignment="1" applyProtection="1">
      <alignment vertical="center"/>
    </xf>
    <xf numFmtId="173" fontId="20" fillId="6" borderId="110" xfId="5" applyNumberFormat="1" applyFont="1" applyFill="1" applyBorder="1" applyAlignment="1" applyProtection="1">
      <alignment vertical="center"/>
    </xf>
    <xf numFmtId="173" fontId="20" fillId="6" borderId="127" xfId="5" applyNumberFormat="1" applyFont="1" applyFill="1" applyBorder="1" applyAlignment="1" applyProtection="1">
      <alignment vertical="center"/>
    </xf>
    <xf numFmtId="173" fontId="20" fillId="6" borderId="140" xfId="5" applyNumberFormat="1" applyFont="1" applyFill="1" applyBorder="1" applyAlignment="1" applyProtection="1">
      <alignment vertical="center"/>
    </xf>
    <xf numFmtId="0" fontId="19" fillId="6" borderId="8" xfId="6" applyFont="1" applyFill="1" applyBorder="1" applyAlignment="1" applyProtection="1">
      <alignment vertical="center"/>
    </xf>
    <xf numFmtId="43" fontId="19" fillId="6" borderId="110" xfId="5" applyFont="1" applyFill="1" applyBorder="1" applyAlignment="1" applyProtection="1">
      <alignment vertical="center"/>
    </xf>
    <xf numFmtId="173" fontId="19" fillId="8" borderId="55" xfId="5" applyNumberFormat="1" applyFont="1" applyFill="1" applyBorder="1" applyAlignment="1" applyProtection="1">
      <alignment vertical="center"/>
    </xf>
    <xf numFmtId="173" fontId="19" fillId="8" borderId="16" xfId="5" applyNumberFormat="1" applyFont="1" applyFill="1" applyBorder="1" applyAlignment="1" applyProtection="1">
      <alignment vertical="center"/>
    </xf>
    <xf numFmtId="173" fontId="19" fillId="8" borderId="56" xfId="5" applyNumberFormat="1" applyFont="1" applyFill="1" applyBorder="1" applyAlignment="1" applyProtection="1">
      <alignment vertical="center"/>
    </xf>
    <xf numFmtId="173" fontId="19" fillId="8" borderId="129" xfId="5" applyNumberFormat="1" applyFont="1" applyFill="1" applyBorder="1" applyAlignment="1" applyProtection="1">
      <alignment vertical="center"/>
    </xf>
    <xf numFmtId="173" fontId="19" fillId="8" borderId="46" xfId="5" applyNumberFormat="1" applyFont="1" applyFill="1" applyBorder="1" applyAlignment="1" applyProtection="1">
      <alignment vertical="center"/>
    </xf>
    <xf numFmtId="173" fontId="19" fillId="8" borderId="38" xfId="5" applyNumberFormat="1" applyFont="1" applyFill="1" applyBorder="1" applyAlignment="1" applyProtection="1">
      <alignment vertical="center"/>
    </xf>
    <xf numFmtId="173" fontId="19" fillId="8" borderId="39" xfId="5" applyNumberFormat="1" applyFont="1" applyFill="1" applyBorder="1" applyAlignment="1" applyProtection="1">
      <alignment vertical="center"/>
    </xf>
    <xf numFmtId="173" fontId="19" fillId="8" borderId="40" xfId="5" applyNumberFormat="1" applyFont="1" applyFill="1" applyBorder="1" applyAlignment="1" applyProtection="1">
      <alignment vertical="center"/>
    </xf>
    <xf numFmtId="173" fontId="19" fillId="8" borderId="141" xfId="5" applyNumberFormat="1" applyFont="1" applyFill="1" applyBorder="1" applyAlignment="1" applyProtection="1">
      <alignment vertical="center"/>
    </xf>
    <xf numFmtId="173" fontId="19" fillId="8" borderId="135" xfId="5" applyNumberFormat="1" applyFont="1" applyFill="1" applyBorder="1" applyAlignment="1" applyProtection="1">
      <alignment vertical="center"/>
    </xf>
    <xf numFmtId="9" fontId="19" fillId="2" borderId="135" xfId="4" applyFont="1" applyFill="1" applyBorder="1" applyAlignment="1" applyProtection="1">
      <alignment vertical="center"/>
    </xf>
    <xf numFmtId="0" fontId="16" fillId="6" borderId="87" xfId="6" applyFont="1" applyFill="1" applyBorder="1" applyAlignment="1" applyProtection="1">
      <alignment horizontal="center" vertical="center" wrapText="1"/>
    </xf>
    <xf numFmtId="0" fontId="16" fillId="6" borderId="81" xfId="6" applyFont="1" applyFill="1" applyBorder="1" applyAlignment="1" applyProtection="1">
      <alignment horizontal="center" vertical="center" wrapText="1"/>
    </xf>
    <xf numFmtId="0" fontId="16" fillId="6" borderId="82" xfId="6" applyFont="1" applyFill="1" applyBorder="1" applyAlignment="1" applyProtection="1">
      <alignment horizontal="center" vertical="center" wrapText="1"/>
    </xf>
    <xf numFmtId="0" fontId="16" fillId="6" borderId="7" xfId="6" applyFont="1" applyFill="1" applyBorder="1" applyAlignment="1" applyProtection="1">
      <alignment horizontal="center" vertical="center" wrapText="1"/>
    </xf>
    <xf numFmtId="0" fontId="16" fillId="6" borderId="136" xfId="6" applyFont="1" applyFill="1" applyBorder="1" applyAlignment="1" applyProtection="1">
      <alignment horizontal="center" vertical="center" wrapText="1"/>
    </xf>
    <xf numFmtId="10" fontId="34" fillId="0" borderId="0" xfId="3" applyNumberFormat="1" applyFont="1" applyBorder="1"/>
    <xf numFmtId="0" fontId="34" fillId="0" borderId="0" xfId="3" applyFont="1" applyBorder="1" applyAlignment="1">
      <alignment horizontal="right"/>
    </xf>
    <xf numFmtId="0" fontId="10" fillId="0" borderId="0" xfId="3" applyBorder="1"/>
    <xf numFmtId="0" fontId="34" fillId="0" borderId="0" xfId="3" applyFont="1" applyBorder="1"/>
    <xf numFmtId="9" fontId="26" fillId="0" borderId="0" xfId="4" applyFont="1"/>
    <xf numFmtId="173" fontId="26" fillId="0" borderId="0" xfId="3" applyNumberFormat="1" applyFont="1"/>
    <xf numFmtId="0" fontId="28" fillId="0" borderId="0" xfId="3" applyFont="1"/>
    <xf numFmtId="0" fontId="20" fillId="0" borderId="0" xfId="3" applyFont="1"/>
    <xf numFmtId="173" fontId="26" fillId="0" borderId="36" xfId="5" applyNumberFormat="1" applyFont="1" applyBorder="1"/>
    <xf numFmtId="173" fontId="26" fillId="0" borderId="77" xfId="5" applyNumberFormat="1" applyFont="1" applyBorder="1"/>
    <xf numFmtId="173" fontId="27" fillId="0" borderId="35" xfId="5" applyNumberFormat="1" applyFont="1" applyBorder="1"/>
    <xf numFmtId="0" fontId="26" fillId="0" borderId="37" xfId="3" applyFont="1" applyBorder="1"/>
    <xf numFmtId="173" fontId="27" fillId="0" borderId="51" xfId="5" applyNumberFormat="1" applyFont="1" applyBorder="1"/>
    <xf numFmtId="0" fontId="26" fillId="0" borderId="53" xfId="3" applyFont="1" applyBorder="1"/>
    <xf numFmtId="173" fontId="26" fillId="0" borderId="0" xfId="5" applyNumberFormat="1" applyFont="1"/>
    <xf numFmtId="0" fontId="27" fillId="0" borderId="0" xfId="3" applyFont="1"/>
    <xf numFmtId="173" fontId="26" fillId="0" borderId="74" xfId="5" applyNumberFormat="1" applyFont="1" applyBorder="1"/>
    <xf numFmtId="173" fontId="26" fillId="0" borderId="75" xfId="5" applyNumberFormat="1" applyFont="1" applyBorder="1"/>
    <xf numFmtId="173" fontId="27" fillId="0" borderId="32" xfId="5" applyNumberFormat="1" applyFont="1" applyBorder="1"/>
    <xf numFmtId="0" fontId="26" fillId="0" borderId="34" xfId="3" applyFont="1" applyBorder="1"/>
    <xf numFmtId="173" fontId="26" fillId="0" borderId="49" xfId="5" applyNumberFormat="1" applyFont="1" applyBorder="1"/>
    <xf numFmtId="173" fontId="26" fillId="0" borderId="79" xfId="5" applyNumberFormat="1" applyFont="1" applyBorder="1"/>
    <xf numFmtId="43" fontId="26" fillId="0" borderId="0" xfId="5" applyFont="1"/>
    <xf numFmtId="43" fontId="27" fillId="0" borderId="0" xfId="5" applyFont="1"/>
    <xf numFmtId="9" fontId="26" fillId="0" borderId="0" xfId="3" applyNumberFormat="1" applyFont="1"/>
    <xf numFmtId="9" fontId="27" fillId="0" borderId="12" xfId="4" applyFont="1" applyBorder="1"/>
    <xf numFmtId="9" fontId="27" fillId="0" borderId="90" xfId="4" applyFont="1" applyBorder="1"/>
    <xf numFmtId="0" fontId="27" fillId="0" borderId="90" xfId="3" applyFont="1" applyBorder="1"/>
    <xf numFmtId="0" fontId="27" fillId="0" borderId="89" xfId="3" applyFont="1" applyBorder="1"/>
    <xf numFmtId="9" fontId="26" fillId="0" borderId="142" xfId="4" applyFont="1" applyBorder="1"/>
    <xf numFmtId="9" fontId="26" fillId="0" borderId="102" xfId="4" applyFont="1" applyBorder="1"/>
    <xf numFmtId="0" fontId="26" fillId="0" borderId="102" xfId="3" applyFont="1" applyBorder="1"/>
    <xf numFmtId="0" fontId="26" fillId="0" borderId="103" xfId="3" applyFont="1" applyBorder="1"/>
    <xf numFmtId="9" fontId="26" fillId="0" borderId="5" xfId="4" applyFont="1" applyBorder="1"/>
    <xf numFmtId="9" fontId="26" fillId="0" borderId="0" xfId="4" applyFont="1" applyBorder="1"/>
    <xf numFmtId="0" fontId="26" fillId="0" borderId="0" xfId="3" applyFont="1" applyBorder="1"/>
    <xf numFmtId="0" fontId="26" fillId="0" borderId="57" xfId="3" applyFont="1" applyBorder="1"/>
    <xf numFmtId="0" fontId="26" fillId="0" borderId="21" xfId="3" applyFont="1" applyBorder="1"/>
    <xf numFmtId="0" fontId="26" fillId="0" borderId="105" xfId="3" applyFont="1" applyBorder="1"/>
    <xf numFmtId="0" fontId="26" fillId="0" borderId="62" xfId="3" applyFont="1" applyBorder="1"/>
    <xf numFmtId="10" fontId="35" fillId="3" borderId="113" xfId="2" applyNumberFormat="1" applyFont="1" applyFill="1" applyBorder="1"/>
    <xf numFmtId="10" fontId="35" fillId="3" borderId="35" xfId="2" applyNumberFormat="1" applyFont="1" applyFill="1" applyBorder="1"/>
    <xf numFmtId="0" fontId="34" fillId="0" borderId="43" xfId="3" applyFont="1" applyBorder="1"/>
    <xf numFmtId="0" fontId="10" fillId="0" borderId="42" xfId="3" applyBorder="1"/>
    <xf numFmtId="0" fontId="34" fillId="0" borderId="143" xfId="3" applyFont="1" applyBorder="1" applyAlignment="1">
      <alignment horizontal="right"/>
    </xf>
    <xf numFmtId="0" fontId="34" fillId="0" borderId="103" xfId="3" applyFont="1" applyBorder="1"/>
    <xf numFmtId="0" fontId="10" fillId="0" borderId="102" xfId="3" applyBorder="1"/>
    <xf numFmtId="0" fontId="34" fillId="0" borderId="101" xfId="3" applyFont="1" applyBorder="1" applyAlignment="1">
      <alignment horizontal="right"/>
    </xf>
    <xf numFmtId="10" fontId="35" fillId="3" borderId="144" xfId="2" applyNumberFormat="1" applyFont="1" applyFill="1" applyBorder="1"/>
    <xf numFmtId="173" fontId="15" fillId="3" borderId="39" xfId="5" applyNumberFormat="1" applyFont="1" applyFill="1" applyBorder="1" applyAlignment="1" applyProtection="1">
      <alignment horizontal="center"/>
    </xf>
    <xf numFmtId="173" fontId="15" fillId="3" borderId="16" xfId="5" applyNumberFormat="1" applyFont="1" applyFill="1" applyBorder="1" applyAlignment="1" applyProtection="1">
      <alignment horizontal="center"/>
    </xf>
    <xf numFmtId="173" fontId="15" fillId="3" borderId="38" xfId="5" applyNumberFormat="1" applyFont="1" applyFill="1" applyBorder="1" applyAlignment="1" applyProtection="1">
      <alignment horizontal="center"/>
    </xf>
    <xf numFmtId="0" fontId="17" fillId="8" borderId="0" xfId="6" applyFont="1" applyFill="1" applyAlignment="1" applyProtection="1">
      <alignment vertical="center"/>
    </xf>
    <xf numFmtId="173" fontId="26" fillId="0" borderId="0" xfId="7" applyNumberFormat="1" applyFont="1"/>
    <xf numFmtId="0" fontId="26" fillId="0" borderId="145" xfId="3" applyFont="1" applyBorder="1"/>
    <xf numFmtId="0" fontId="26" fillId="0" borderId="56" xfId="3" applyFont="1" applyBorder="1"/>
    <xf numFmtId="0" fontId="26" fillId="0" borderId="40" xfId="3" applyFont="1" applyBorder="1"/>
    <xf numFmtId="173" fontId="26" fillId="8" borderId="48" xfId="7" applyNumberFormat="1" applyFont="1" applyFill="1" applyBorder="1"/>
    <xf numFmtId="173" fontId="26" fillId="8" borderId="49" xfId="7" applyNumberFormat="1" applyFont="1" applyFill="1" applyBorder="1"/>
    <xf numFmtId="0" fontId="27" fillId="0" borderId="59" xfId="3" applyFont="1" applyBorder="1" applyAlignment="1">
      <alignment horizontal="center"/>
    </xf>
    <xf numFmtId="0" fontId="27" fillId="0" borderId="60" xfId="3" applyFont="1" applyBorder="1" applyAlignment="1">
      <alignment horizontal="center"/>
    </xf>
    <xf numFmtId="173" fontId="27" fillId="0" borderId="60" xfId="7" applyNumberFormat="1" applyFont="1" applyBorder="1" applyAlignment="1">
      <alignment horizontal="center"/>
    </xf>
    <xf numFmtId="173" fontId="27" fillId="0" borderId="61" xfId="7" applyNumberFormat="1" applyFont="1" applyBorder="1" applyAlignment="1">
      <alignment horizontal="center"/>
    </xf>
    <xf numFmtId="0" fontId="33" fillId="0" borderId="0" xfId="3" applyFont="1"/>
    <xf numFmtId="0" fontId="27" fillId="0" borderId="0" xfId="3" applyFont="1" applyAlignment="1">
      <alignment horizontal="right"/>
    </xf>
    <xf numFmtId="0" fontId="15" fillId="20" borderId="0" xfId="3" applyFont="1" applyFill="1" applyBorder="1" applyAlignment="1"/>
    <xf numFmtId="173" fontId="19" fillId="21" borderId="39" xfId="5" applyNumberFormat="1" applyFont="1" applyFill="1" applyBorder="1" applyAlignment="1" applyProtection="1">
      <alignment vertical="center"/>
    </xf>
    <xf numFmtId="173" fontId="20" fillId="21" borderId="38" xfId="5" applyNumberFormat="1" applyFont="1" applyFill="1" applyBorder="1" applyAlignment="1" applyProtection="1">
      <alignment vertical="center"/>
    </xf>
    <xf numFmtId="173" fontId="20" fillId="21" borderId="55" xfId="5" applyNumberFormat="1" applyFont="1" applyFill="1" applyBorder="1" applyAlignment="1" applyProtection="1">
      <alignment vertical="center"/>
    </xf>
    <xf numFmtId="173" fontId="19" fillId="21" borderId="135" xfId="5" applyNumberFormat="1" applyFont="1" applyFill="1" applyBorder="1" applyAlignment="1" applyProtection="1">
      <alignment vertical="center"/>
    </xf>
    <xf numFmtId="173" fontId="19" fillId="21" borderId="141" xfId="5" applyNumberFormat="1" applyFont="1" applyFill="1" applyBorder="1" applyAlignment="1" applyProtection="1">
      <alignment vertical="center"/>
    </xf>
    <xf numFmtId="173" fontId="19" fillId="21" borderId="40" xfId="5" applyNumberFormat="1" applyFont="1" applyFill="1" applyBorder="1" applyAlignment="1" applyProtection="1">
      <alignment vertical="center"/>
    </xf>
    <xf numFmtId="173" fontId="19" fillId="21" borderId="38" xfId="5" applyNumberFormat="1" applyFont="1" applyFill="1" applyBorder="1" applyAlignment="1" applyProtection="1">
      <alignment vertical="center"/>
    </xf>
    <xf numFmtId="0" fontId="15" fillId="6" borderId="39" xfId="6" applyFont="1" applyFill="1" applyBorder="1" applyAlignment="1" applyProtection="1">
      <alignment vertical="center"/>
    </xf>
    <xf numFmtId="173" fontId="15" fillId="3" borderId="36" xfId="5" applyNumberFormat="1" applyFont="1" applyFill="1" applyBorder="1" applyAlignment="1" applyProtection="1">
      <alignment vertical="center"/>
    </xf>
    <xf numFmtId="173" fontId="17" fillId="3" borderId="78" xfId="5" applyNumberFormat="1" applyFont="1" applyFill="1" applyBorder="1" applyAlignment="1" applyProtection="1">
      <alignment vertical="center"/>
    </xf>
    <xf numFmtId="173" fontId="15" fillId="3" borderId="37" xfId="5" applyNumberFormat="1" applyFont="1" applyFill="1" applyBorder="1" applyAlignment="1" applyProtection="1">
      <alignment vertical="center"/>
    </xf>
    <xf numFmtId="173" fontId="17" fillId="3" borderId="35" xfId="5" applyNumberFormat="1" applyFont="1" applyFill="1" applyBorder="1" applyAlignment="1" applyProtection="1">
      <alignment vertical="center"/>
    </xf>
    <xf numFmtId="173" fontId="15" fillId="3" borderId="133" xfId="5" applyNumberFormat="1" applyFont="1" applyFill="1" applyBorder="1" applyAlignment="1" applyProtection="1">
      <alignment vertical="center"/>
    </xf>
    <xf numFmtId="173" fontId="15" fillId="3" borderId="33" xfId="5" applyNumberFormat="1" applyFont="1" applyFill="1" applyBorder="1" applyAlignment="1" applyProtection="1">
      <alignment vertical="center"/>
    </xf>
    <xf numFmtId="173" fontId="17" fillId="3" borderId="132" xfId="5" applyNumberFormat="1" applyFont="1" applyFill="1" applyBorder="1" applyAlignment="1" applyProtection="1">
      <alignment vertical="center"/>
    </xf>
    <xf numFmtId="173" fontId="15" fillId="3" borderId="34" xfId="5" applyNumberFormat="1" applyFont="1" applyFill="1" applyBorder="1" applyAlignment="1" applyProtection="1">
      <alignment vertical="center"/>
    </xf>
    <xf numFmtId="173" fontId="17" fillId="3" borderId="32" xfId="5" applyNumberFormat="1" applyFont="1" applyFill="1" applyBorder="1" applyAlignment="1" applyProtection="1">
      <alignment vertical="center"/>
    </xf>
    <xf numFmtId="173" fontId="15" fillId="3" borderId="131" xfId="5" applyNumberFormat="1" applyFont="1" applyFill="1" applyBorder="1" applyAlignment="1" applyProtection="1">
      <alignment vertical="center"/>
    </xf>
    <xf numFmtId="0" fontId="15" fillId="3" borderId="0" xfId="6" applyFont="1" applyFill="1" applyAlignment="1" applyProtection="1">
      <alignment vertical="center"/>
    </xf>
    <xf numFmtId="0" fontId="26" fillId="6" borderId="145" xfId="3" applyFont="1" applyFill="1" applyBorder="1" applyAlignment="1">
      <alignment horizontal="center"/>
    </xf>
    <xf numFmtId="173" fontId="26" fillId="6" borderId="100" xfId="7" applyNumberFormat="1" applyFont="1" applyFill="1" applyBorder="1" applyAlignment="1">
      <alignment horizontal="center" wrapText="1"/>
    </xf>
    <xf numFmtId="173" fontId="27" fillId="6" borderId="100" xfId="7" applyNumberFormat="1" applyFont="1" applyFill="1" applyBorder="1" applyAlignment="1">
      <alignment horizontal="center" wrapText="1"/>
    </xf>
    <xf numFmtId="173" fontId="27" fillId="6" borderId="150" xfId="7" applyNumberFormat="1" applyFont="1" applyFill="1" applyBorder="1" applyAlignment="1">
      <alignment horizontal="center" wrapText="1"/>
    </xf>
    <xf numFmtId="173" fontId="27" fillId="6" borderId="7" xfId="7" applyNumberFormat="1" applyFont="1" applyFill="1" applyBorder="1" applyAlignment="1">
      <alignment horizontal="center" wrapText="1"/>
    </xf>
    <xf numFmtId="173" fontId="27" fillId="21" borderId="36" xfId="7" applyNumberFormat="1" applyFont="1" applyFill="1" applyBorder="1"/>
    <xf numFmtId="173" fontId="26" fillId="21" borderId="36" xfId="7" applyNumberFormat="1" applyFont="1" applyFill="1" applyBorder="1"/>
    <xf numFmtId="173" fontId="27" fillId="21" borderId="8" xfId="7" applyNumberFormat="1" applyFont="1" applyFill="1" applyBorder="1"/>
    <xf numFmtId="173" fontId="27" fillId="21" borderId="78" xfId="3" applyNumberFormat="1" applyFont="1" applyFill="1" applyBorder="1"/>
    <xf numFmtId="173" fontId="27" fillId="21" borderId="149" xfId="3" applyNumberFormat="1" applyFont="1" applyFill="1" applyBorder="1"/>
    <xf numFmtId="173" fontId="27" fillId="21" borderId="140" xfId="7" applyNumberFormat="1" applyFont="1" applyFill="1" applyBorder="1"/>
    <xf numFmtId="173" fontId="27" fillId="21" borderId="127" xfId="7" applyNumberFormat="1" applyFont="1" applyFill="1" applyBorder="1"/>
    <xf numFmtId="0" fontId="27" fillId="21" borderId="110" xfId="3" applyFont="1" applyFill="1" applyBorder="1"/>
    <xf numFmtId="0" fontId="27" fillId="21" borderId="107" xfId="3" applyFont="1" applyFill="1" applyBorder="1"/>
    <xf numFmtId="0" fontId="27" fillId="21" borderId="8" xfId="3" applyFont="1" applyFill="1" applyBorder="1"/>
    <xf numFmtId="0" fontId="27" fillId="21" borderId="138" xfId="3" applyFont="1" applyFill="1" applyBorder="1"/>
    <xf numFmtId="173" fontId="27" fillId="21" borderId="124" xfId="7" applyNumberFormat="1" applyFont="1" applyFill="1" applyBorder="1"/>
    <xf numFmtId="173" fontId="27" fillId="21" borderId="74" xfId="7" applyNumberFormat="1" applyFont="1" applyFill="1" applyBorder="1"/>
    <xf numFmtId="173" fontId="27" fillId="21" borderId="123" xfId="7" applyNumberFormat="1" applyFont="1" applyFill="1" applyBorder="1"/>
    <xf numFmtId="9" fontId="26" fillId="2" borderId="16" xfId="9" applyFont="1" applyFill="1" applyBorder="1"/>
    <xf numFmtId="9" fontId="26" fillId="2" borderId="55" xfId="9" applyFont="1" applyFill="1" applyBorder="1"/>
    <xf numFmtId="173" fontId="26" fillId="21" borderId="74" xfId="7" applyNumberFormat="1" applyFont="1" applyFill="1" applyBorder="1"/>
    <xf numFmtId="173" fontId="26" fillId="21" borderId="123" xfId="7" applyNumberFormat="1" applyFont="1" applyFill="1" applyBorder="1"/>
    <xf numFmtId="173" fontId="27" fillId="21" borderId="106" xfId="7" applyNumberFormat="1" applyFont="1" applyFill="1" applyBorder="1"/>
    <xf numFmtId="173" fontId="27" fillId="21" borderId="110" xfId="7" applyNumberFormat="1" applyFont="1" applyFill="1" applyBorder="1"/>
    <xf numFmtId="9" fontId="26" fillId="6" borderId="56" xfId="9" applyFont="1" applyFill="1" applyBorder="1"/>
    <xf numFmtId="173" fontId="26" fillId="6" borderId="50" xfId="7" applyNumberFormat="1" applyFont="1" applyFill="1" applyBorder="1"/>
    <xf numFmtId="173" fontId="26" fillId="6" borderId="124" xfId="7" applyNumberFormat="1" applyFont="1" applyFill="1" applyBorder="1"/>
    <xf numFmtId="173" fontId="27" fillId="21" borderId="0" xfId="3" applyNumberFormat="1" applyFont="1" applyFill="1"/>
    <xf numFmtId="173" fontId="26" fillId="21" borderId="0" xfId="7" applyNumberFormat="1" applyFont="1" applyFill="1"/>
    <xf numFmtId="192" fontId="27" fillId="21" borderId="130" xfId="7" applyNumberFormat="1" applyFont="1" applyFill="1" applyBorder="1" applyAlignment="1">
      <alignment horizontal="center"/>
    </xf>
    <xf numFmtId="192" fontId="27" fillId="21" borderId="141" xfId="7" applyNumberFormat="1" applyFont="1" applyFill="1" applyBorder="1" applyAlignment="1">
      <alignment horizontal="center"/>
    </xf>
    <xf numFmtId="192" fontId="27" fillId="21" borderId="129" xfId="7" applyNumberFormat="1" applyFont="1" applyFill="1" applyBorder="1" applyAlignment="1">
      <alignment horizontal="center"/>
    </xf>
    <xf numFmtId="192" fontId="27" fillId="21" borderId="9" xfId="7" applyNumberFormat="1" applyFont="1" applyFill="1" applyBorder="1" applyAlignment="1">
      <alignment horizontal="center"/>
    </xf>
    <xf numFmtId="173" fontId="26" fillId="2" borderId="137" xfId="8" applyNumberFormat="1" applyFont="1" applyFill="1" applyBorder="1"/>
    <xf numFmtId="173" fontId="26" fillId="2" borderId="77" xfId="8" applyNumberFormat="1" applyFont="1" applyFill="1" applyBorder="1"/>
    <xf numFmtId="173" fontId="26" fillId="2" borderId="45" xfId="8" applyNumberFormat="1" applyFont="1" applyFill="1" applyBorder="1"/>
    <xf numFmtId="173" fontId="26" fillId="2" borderId="101" xfId="8" applyNumberFormat="1" applyFont="1" applyFill="1" applyBorder="1"/>
    <xf numFmtId="0" fontId="26" fillId="21" borderId="148" xfId="3" applyFont="1" applyFill="1" applyBorder="1"/>
    <xf numFmtId="0" fontId="26" fillId="21" borderId="147" xfId="3" applyFont="1" applyFill="1" applyBorder="1"/>
    <xf numFmtId="0" fontId="26" fillId="21" borderId="78" xfId="3" applyFont="1" applyFill="1" applyBorder="1"/>
    <xf numFmtId="0" fontId="26" fillId="21" borderId="133" xfId="3" applyFont="1" applyFill="1" applyBorder="1"/>
    <xf numFmtId="0" fontId="26" fillId="21" borderId="146" xfId="3" applyFont="1" applyFill="1" applyBorder="1"/>
    <xf numFmtId="0" fontId="26" fillId="21" borderId="139" xfId="3" applyFont="1" applyFill="1" applyBorder="1"/>
    <xf numFmtId="0" fontId="26" fillId="21" borderId="132" xfId="3" applyFont="1" applyFill="1" applyBorder="1"/>
    <xf numFmtId="0" fontId="26" fillId="21" borderId="131" xfId="3" applyFont="1" applyFill="1" applyBorder="1"/>
    <xf numFmtId="0" fontId="26" fillId="2" borderId="37" xfId="3" applyFont="1" applyFill="1" applyBorder="1"/>
    <xf numFmtId="43" fontId="26" fillId="2" borderId="77" xfId="7" applyFont="1" applyFill="1" applyBorder="1"/>
    <xf numFmtId="0" fontId="26" fillId="2" borderId="36" xfId="3" applyFont="1" applyFill="1" applyBorder="1"/>
    <xf numFmtId="0" fontId="26" fillId="2" borderId="133" xfId="3" applyFont="1" applyFill="1" applyBorder="1"/>
    <xf numFmtId="0" fontId="26" fillId="2" borderId="37" xfId="3" applyFont="1" applyFill="1" applyBorder="1" applyAlignment="1">
      <alignment horizontal="center"/>
    </xf>
    <xf numFmtId="173" fontId="26" fillId="2" borderId="36" xfId="7" applyNumberFormat="1" applyFont="1" applyFill="1" applyBorder="1"/>
    <xf numFmtId="0" fontId="26" fillId="6" borderId="82" xfId="3" applyFont="1" applyFill="1" applyBorder="1"/>
    <xf numFmtId="0" fontId="26" fillId="6" borderId="88" xfId="3" applyFont="1" applyFill="1" applyBorder="1" applyAlignment="1">
      <alignment wrapText="1"/>
    </xf>
    <xf numFmtId="0" fontId="26" fillId="6" borderId="81" xfId="3" applyFont="1" applyFill="1" applyBorder="1"/>
    <xf numFmtId="0" fontId="26" fillId="6" borderId="12" xfId="3" applyFont="1" applyFill="1" applyBorder="1"/>
    <xf numFmtId="0" fontId="19" fillId="3" borderId="36" xfId="6" applyFont="1" applyFill="1" applyBorder="1" applyAlignment="1" applyProtection="1">
      <alignment vertical="center"/>
    </xf>
    <xf numFmtId="0" fontId="19" fillId="3" borderId="118" xfId="6" applyFont="1" applyFill="1" applyBorder="1" applyAlignment="1" applyProtection="1">
      <alignment vertical="center"/>
    </xf>
    <xf numFmtId="43" fontId="19" fillId="3" borderId="40" xfId="5" applyFont="1" applyFill="1" applyBorder="1" applyAlignment="1" applyProtection="1">
      <alignment vertical="center"/>
    </xf>
    <xf numFmtId="43" fontId="19" fillId="3" borderId="56" xfId="5" applyFont="1" applyFill="1" applyBorder="1" applyAlignment="1" applyProtection="1">
      <alignment vertical="center"/>
    </xf>
    <xf numFmtId="43" fontId="19" fillId="6" borderId="40" xfId="5" applyFont="1" applyFill="1" applyBorder="1" applyAlignment="1" applyProtection="1">
      <alignment vertical="center"/>
    </xf>
    <xf numFmtId="0" fontId="19" fillId="6" borderId="39" xfId="6" applyFont="1" applyFill="1" applyBorder="1" applyAlignment="1" applyProtection="1">
      <alignment vertical="center"/>
    </xf>
    <xf numFmtId="43" fontId="15" fillId="3" borderId="40" xfId="5" applyFont="1" applyFill="1" applyBorder="1" applyAlignment="1" applyProtection="1">
      <alignment vertical="center"/>
    </xf>
    <xf numFmtId="173" fontId="15" fillId="3" borderId="39" xfId="5" applyNumberFormat="1" applyFont="1" applyFill="1" applyBorder="1" applyAlignment="1" applyProtection="1">
      <alignment vertical="center"/>
    </xf>
    <xf numFmtId="173" fontId="15" fillId="3" borderId="38" xfId="5" applyNumberFormat="1" applyFont="1" applyFill="1" applyBorder="1" applyAlignment="1" applyProtection="1">
      <alignment vertical="center"/>
    </xf>
    <xf numFmtId="43" fontId="15" fillId="3" borderId="37" xfId="5" applyFont="1" applyFill="1" applyBorder="1" applyAlignment="1" applyProtection="1">
      <alignment vertical="center"/>
    </xf>
    <xf numFmtId="0" fontId="15" fillId="3" borderId="36" xfId="6" applyFont="1" applyFill="1" applyBorder="1" applyAlignment="1" applyProtection="1">
      <alignment vertical="center"/>
    </xf>
    <xf numFmtId="173" fontId="15" fillId="3" borderId="35" xfId="5" applyNumberFormat="1" applyFont="1" applyFill="1" applyBorder="1" applyAlignment="1" applyProtection="1">
      <alignment vertical="center"/>
    </xf>
    <xf numFmtId="43" fontId="15" fillId="3" borderId="110" xfId="5" applyFont="1" applyFill="1" applyBorder="1" applyAlignment="1" applyProtection="1">
      <alignment vertical="center"/>
    </xf>
    <xf numFmtId="0" fontId="17" fillId="3" borderId="8" xfId="6" applyFont="1" applyFill="1" applyBorder="1" applyAlignment="1" applyProtection="1">
      <alignment horizontal="center" vertical="center"/>
    </xf>
    <xf numFmtId="173" fontId="17" fillId="3" borderId="8" xfId="5" applyNumberFormat="1" applyFont="1" applyFill="1" applyBorder="1" applyAlignment="1" applyProtection="1">
      <alignment vertical="center"/>
    </xf>
    <xf numFmtId="173" fontId="17" fillId="3" borderId="106" xfId="5" applyNumberFormat="1" applyFont="1" applyFill="1" applyBorder="1" applyAlignment="1" applyProtection="1">
      <alignment vertical="center"/>
    </xf>
    <xf numFmtId="173" fontId="17" fillId="3" borderId="110" xfId="5" applyNumberFormat="1" applyFont="1" applyFill="1" applyBorder="1" applyAlignment="1" applyProtection="1">
      <alignment vertical="center"/>
    </xf>
    <xf numFmtId="173" fontId="26" fillId="3" borderId="0" xfId="5" applyNumberFormat="1" applyFont="1" applyFill="1" applyAlignment="1" applyProtection="1">
      <alignment vertical="center"/>
    </xf>
    <xf numFmtId="173" fontId="26" fillId="3" borderId="0" xfId="5" quotePrefix="1" applyNumberFormat="1" applyFont="1" applyFill="1" applyAlignment="1" applyProtection="1">
      <alignment horizontal="left" vertical="center"/>
    </xf>
    <xf numFmtId="173" fontId="26" fillId="6" borderId="0" xfId="5" applyNumberFormat="1" applyFont="1" applyFill="1" applyAlignment="1" applyProtection="1">
      <alignment vertical="center"/>
    </xf>
    <xf numFmtId="173" fontId="26" fillId="6" borderId="0" xfId="5" quotePrefix="1" applyNumberFormat="1" applyFont="1" applyFill="1" applyAlignment="1" applyProtection="1">
      <alignment horizontal="left" vertical="center"/>
    </xf>
    <xf numFmtId="173" fontId="26" fillId="3" borderId="44" xfId="5" applyNumberFormat="1" applyFont="1" applyFill="1" applyBorder="1" applyAlignment="1" applyProtection="1">
      <alignment vertical="center"/>
    </xf>
    <xf numFmtId="173" fontId="26" fillId="3" borderId="44" xfId="5" quotePrefix="1" applyNumberFormat="1" applyFont="1" applyFill="1" applyBorder="1" applyAlignment="1" applyProtection="1">
      <alignment horizontal="left" vertical="center"/>
    </xf>
    <xf numFmtId="173" fontId="26" fillId="6" borderId="44" xfId="5" applyNumberFormat="1" applyFont="1" applyFill="1" applyBorder="1" applyAlignment="1" applyProtection="1">
      <alignment vertical="center"/>
    </xf>
    <xf numFmtId="173" fontId="26" fillId="6" borderId="44" xfId="5" quotePrefix="1" applyNumberFormat="1" applyFont="1" applyFill="1" applyBorder="1" applyAlignment="1" applyProtection="1">
      <alignment horizontal="left" vertical="center"/>
    </xf>
    <xf numFmtId="173" fontId="27" fillId="3" borderId="108" xfId="5" applyNumberFormat="1" applyFont="1" applyFill="1" applyBorder="1" applyAlignment="1" applyProtection="1">
      <alignment vertical="center"/>
    </xf>
    <xf numFmtId="0" fontId="27" fillId="3" borderId="108" xfId="3" applyFont="1" applyFill="1" applyBorder="1" applyAlignment="1" applyProtection="1">
      <alignment horizontal="left" vertical="center"/>
    </xf>
    <xf numFmtId="0" fontId="27" fillId="3" borderId="0" xfId="3" applyFont="1" applyFill="1" applyProtection="1"/>
    <xf numFmtId="173" fontId="27" fillId="3" borderId="0" xfId="5" applyNumberFormat="1" applyFont="1" applyFill="1" applyAlignment="1" applyProtection="1">
      <alignment vertical="center"/>
    </xf>
    <xf numFmtId="173" fontId="26" fillId="3" borderId="52" xfId="5" applyNumberFormat="1" applyFont="1" applyFill="1" applyBorder="1" applyAlignment="1" applyProtection="1">
      <alignment vertical="center"/>
    </xf>
    <xf numFmtId="173" fontId="26" fillId="3" borderId="51" xfId="5" applyNumberFormat="1" applyFont="1" applyFill="1" applyBorder="1" applyAlignment="1" applyProtection="1">
      <alignment vertical="center"/>
    </xf>
    <xf numFmtId="173" fontId="26" fillId="3" borderId="16" xfId="5" applyNumberFormat="1" applyFont="1" applyFill="1" applyBorder="1" applyAlignment="1" applyProtection="1">
      <alignment vertical="center"/>
    </xf>
    <xf numFmtId="173" fontId="26" fillId="3" borderId="55" xfId="5" applyNumberFormat="1" applyFont="1" applyFill="1" applyBorder="1" applyAlignment="1" applyProtection="1">
      <alignment vertical="center"/>
    </xf>
    <xf numFmtId="173" fontId="26" fillId="3" borderId="118" xfId="5" applyNumberFormat="1" applyFont="1" applyFill="1" applyBorder="1" applyAlignment="1" applyProtection="1">
      <alignment vertical="center"/>
    </xf>
    <xf numFmtId="173" fontId="26" fillId="3" borderId="117" xfId="5" applyNumberFormat="1" applyFont="1" applyFill="1" applyBorder="1" applyAlignment="1" applyProtection="1">
      <alignment vertical="center"/>
    </xf>
    <xf numFmtId="173" fontId="27" fillId="3" borderId="8" xfId="5" applyNumberFormat="1" applyFont="1" applyFill="1" applyBorder="1" applyAlignment="1" applyProtection="1">
      <alignment vertical="center"/>
    </xf>
    <xf numFmtId="173" fontId="27" fillId="3" borderId="106" xfId="5" applyNumberFormat="1" applyFont="1" applyFill="1" applyBorder="1" applyAlignment="1" applyProtection="1">
      <alignment vertical="center"/>
    </xf>
    <xf numFmtId="0" fontId="26" fillId="3" borderId="127" xfId="3" applyFont="1" applyFill="1" applyBorder="1" applyProtection="1"/>
    <xf numFmtId="173" fontId="26" fillId="3" borderId="16" xfId="3" applyNumberFormat="1" applyFont="1" applyFill="1" applyBorder="1" applyProtection="1"/>
    <xf numFmtId="173" fontId="26" fillId="3" borderId="55" xfId="3" applyNumberFormat="1" applyFont="1" applyFill="1" applyBorder="1" applyProtection="1"/>
    <xf numFmtId="173" fontId="26" fillId="3" borderId="33" xfId="3" applyNumberFormat="1" applyFont="1" applyFill="1" applyBorder="1" applyProtection="1"/>
    <xf numFmtId="173" fontId="26" fillId="3" borderId="32" xfId="3" applyNumberFormat="1" applyFont="1" applyFill="1" applyBorder="1" applyProtection="1"/>
    <xf numFmtId="173" fontId="27" fillId="3" borderId="52" xfId="3" applyNumberFormat="1" applyFont="1" applyFill="1" applyBorder="1" applyProtection="1"/>
    <xf numFmtId="173" fontId="27" fillId="3" borderId="51" xfId="3" applyNumberFormat="1" applyFont="1" applyFill="1" applyBorder="1" applyProtection="1"/>
    <xf numFmtId="173" fontId="27" fillId="3" borderId="33" xfId="3" applyNumberFormat="1" applyFont="1" applyFill="1" applyBorder="1" applyProtection="1"/>
    <xf numFmtId="173" fontId="27" fillId="3" borderId="32" xfId="3" applyNumberFormat="1" applyFont="1" applyFill="1" applyBorder="1" applyProtection="1"/>
    <xf numFmtId="173" fontId="26" fillId="3" borderId="53" xfId="3" applyNumberFormat="1" applyFont="1" applyFill="1" applyBorder="1" applyProtection="1"/>
    <xf numFmtId="173" fontId="26" fillId="3" borderId="52" xfId="3" applyNumberFormat="1" applyFont="1" applyFill="1" applyBorder="1" applyProtection="1"/>
    <xf numFmtId="173" fontId="26" fillId="3" borderId="124" xfId="3" applyNumberFormat="1" applyFont="1" applyFill="1" applyBorder="1" applyProtection="1"/>
    <xf numFmtId="173" fontId="26" fillId="3" borderId="74" xfId="3" applyNumberFormat="1" applyFont="1" applyFill="1" applyBorder="1" applyProtection="1"/>
    <xf numFmtId="173" fontId="27" fillId="3" borderId="40" xfId="3" applyNumberFormat="1" applyFont="1" applyFill="1" applyBorder="1" applyProtection="1"/>
    <xf numFmtId="173" fontId="27" fillId="3" borderId="39" xfId="3" applyNumberFormat="1" applyFont="1" applyFill="1" applyBorder="1" applyProtection="1"/>
    <xf numFmtId="173" fontId="27" fillId="3" borderId="110" xfId="3" applyNumberFormat="1" applyFont="1" applyFill="1" applyBorder="1" applyProtection="1"/>
    <xf numFmtId="173" fontId="27" fillId="3" borderId="8" xfId="3" applyNumberFormat="1" applyFont="1" applyFill="1" applyBorder="1" applyProtection="1"/>
    <xf numFmtId="173" fontId="26" fillId="3" borderId="123" xfId="3" applyNumberFormat="1" applyFont="1" applyFill="1" applyBorder="1" applyProtection="1"/>
    <xf numFmtId="173" fontId="27" fillId="3" borderId="38" xfId="3" applyNumberFormat="1" applyFont="1" applyFill="1" applyBorder="1" applyProtection="1"/>
    <xf numFmtId="173" fontId="27" fillId="3" borderId="106" xfId="3" applyNumberFormat="1" applyFont="1" applyFill="1" applyBorder="1" applyProtection="1"/>
    <xf numFmtId="173" fontId="26" fillId="3" borderId="51" xfId="3" applyNumberFormat="1" applyFont="1" applyFill="1" applyBorder="1" applyProtection="1"/>
    <xf numFmtId="9" fontId="18" fillId="2" borderId="68" xfId="3" applyNumberFormat="1" applyFont="1" applyFill="1" applyBorder="1" applyAlignment="1" applyProtection="1">
      <alignment horizontal="center"/>
      <protection locked="0"/>
    </xf>
    <xf numFmtId="0" fontId="26" fillId="0" borderId="44" xfId="3" applyFont="1" applyBorder="1" applyProtection="1"/>
    <xf numFmtId="192" fontId="12" fillId="3" borderId="1" xfId="5" applyNumberFormat="1" applyFont="1" applyFill="1" applyBorder="1"/>
    <xf numFmtId="164" fontId="0" fillId="2" borderId="1" xfId="1" applyNumberFormat="1" applyFont="1" applyFill="1" applyBorder="1"/>
    <xf numFmtId="0" fontId="0" fillId="0" borderId="1" xfId="0" applyBorder="1" applyAlignment="1">
      <alignment wrapText="1"/>
    </xf>
    <xf numFmtId="0" fontId="0" fillId="0" borderId="1" xfId="0" applyFill="1" applyBorder="1" applyAlignment="1">
      <alignment wrapText="1"/>
    </xf>
    <xf numFmtId="0" fontId="38" fillId="0" borderId="0" xfId="0" applyFont="1" applyAlignment="1">
      <alignment horizontal="left" vertical="center"/>
    </xf>
    <xf numFmtId="193" fontId="2" fillId="0" borderId="0" xfId="0" applyNumberFormat="1" applyFont="1"/>
    <xf numFmtId="0" fontId="40" fillId="0" borderId="0" xfId="3" applyFont="1" applyBorder="1"/>
    <xf numFmtId="173" fontId="40" fillId="0" borderId="0" xfId="5" applyNumberFormat="1" applyFont="1" applyBorder="1"/>
    <xf numFmtId="0" fontId="42" fillId="0" borderId="0" xfId="3" applyFont="1" applyBorder="1"/>
    <xf numFmtId="173" fontId="42" fillId="0" borderId="0" xfId="5" applyNumberFormat="1" applyFont="1" applyBorder="1"/>
    <xf numFmtId="173" fontId="41" fillId="3" borderId="44" xfId="5" applyNumberFormat="1" applyFont="1" applyFill="1" applyBorder="1"/>
    <xf numFmtId="173" fontId="40" fillId="0" borderId="44" xfId="5" applyNumberFormat="1" applyFont="1" applyFill="1" applyBorder="1"/>
    <xf numFmtId="173" fontId="41" fillId="3" borderId="151" xfId="5" applyNumberFormat="1" applyFont="1" applyFill="1" applyBorder="1"/>
    <xf numFmtId="173" fontId="40" fillId="0" borderId="151" xfId="5" applyNumberFormat="1" applyFont="1" applyFill="1" applyBorder="1"/>
    <xf numFmtId="173" fontId="41" fillId="3" borderId="24" xfId="5" applyNumberFormat="1" applyFont="1" applyFill="1" applyBorder="1"/>
    <xf numFmtId="173" fontId="40" fillId="0" borderId="24" xfId="5" applyNumberFormat="1" applyFont="1" applyFill="1" applyBorder="1"/>
    <xf numFmtId="0" fontId="43" fillId="22" borderId="152" xfId="3" applyFont="1" applyFill="1" applyBorder="1" applyAlignment="1">
      <alignment horizontal="center" vertical="center"/>
    </xf>
    <xf numFmtId="0" fontId="43" fillId="22" borderId="156" xfId="3" applyFont="1" applyFill="1" applyBorder="1" applyAlignment="1">
      <alignment horizontal="center" vertical="center"/>
    </xf>
    <xf numFmtId="0" fontId="43" fillId="22" borderId="44" xfId="3" applyFont="1" applyFill="1" applyBorder="1" applyAlignment="1">
      <alignment horizontal="left" vertical="center"/>
    </xf>
    <xf numFmtId="0" fontId="43" fillId="22" borderId="151" xfId="3" applyFont="1" applyFill="1" applyBorder="1" applyAlignment="1">
      <alignment horizontal="left" vertical="center"/>
    </xf>
    <xf numFmtId="0" fontId="43" fillId="22" borderId="24" xfId="3" applyFont="1" applyFill="1" applyBorder="1" applyAlignment="1">
      <alignment horizontal="left" vertical="center"/>
    </xf>
    <xf numFmtId="0" fontId="44" fillId="0" borderId="153" xfId="0" applyFont="1" applyBorder="1" applyAlignment="1">
      <alignment vertical="center"/>
    </xf>
    <xf numFmtId="0" fontId="45" fillId="22" borderId="152" xfId="0" applyFont="1" applyFill="1" applyBorder="1" applyAlignment="1">
      <alignment vertical="center"/>
    </xf>
    <xf numFmtId="0" fontId="45" fillId="22" borderId="156" xfId="0" applyFont="1" applyFill="1" applyBorder="1" applyAlignment="1">
      <alignment vertical="center"/>
    </xf>
    <xf numFmtId="0" fontId="45" fillId="22" borderId="44" xfId="0" applyFont="1" applyFill="1" applyBorder="1" applyAlignment="1">
      <alignment vertical="center"/>
    </xf>
    <xf numFmtId="165" fontId="44" fillId="0" borderId="44" xfId="1" applyNumberFormat="1" applyFont="1" applyBorder="1" applyAlignment="1">
      <alignment vertical="center"/>
    </xf>
    <xf numFmtId="165" fontId="45" fillId="22" borderId="44" xfId="0" applyNumberFormat="1" applyFont="1" applyFill="1" applyBorder="1" applyAlignment="1">
      <alignment vertical="center"/>
    </xf>
    <xf numFmtId="0" fontId="45" fillId="22" borderId="151" xfId="0" applyFont="1" applyFill="1" applyBorder="1" applyAlignment="1">
      <alignment vertical="center"/>
    </xf>
    <xf numFmtId="165" fontId="44" fillId="0" borderId="151" xfId="1" applyNumberFormat="1" applyFont="1" applyBorder="1" applyAlignment="1">
      <alignment vertical="center"/>
    </xf>
    <xf numFmtId="165" fontId="45" fillId="22" borderId="151" xfId="0" applyNumberFormat="1" applyFont="1" applyFill="1" applyBorder="1" applyAlignment="1">
      <alignment vertical="center"/>
    </xf>
    <xf numFmtId="0" fontId="45" fillId="22" borderId="24" xfId="0" applyFont="1" applyFill="1" applyBorder="1" applyAlignment="1">
      <alignment vertical="center"/>
    </xf>
    <xf numFmtId="165" fontId="44" fillId="0" borderId="24" xfId="1" applyNumberFormat="1" applyFont="1" applyBorder="1" applyAlignment="1">
      <alignment vertical="center"/>
    </xf>
    <xf numFmtId="165" fontId="45" fillId="22" borderId="24" xfId="0" applyNumberFormat="1" applyFont="1" applyFill="1" applyBorder="1" applyAlignment="1">
      <alignment vertical="center"/>
    </xf>
    <xf numFmtId="0" fontId="44" fillId="0" borderId="0" xfId="0" applyFont="1" applyAlignment="1">
      <alignment vertical="center"/>
    </xf>
    <xf numFmtId="165" fontId="44" fillId="0" borderId="0" xfId="1" applyNumberFormat="1" applyFont="1" applyAlignment="1">
      <alignment vertical="center"/>
    </xf>
    <xf numFmtId="165" fontId="45" fillId="22" borderId="0" xfId="0" applyNumberFormat="1" applyFont="1" applyFill="1" applyAlignment="1">
      <alignment vertical="center"/>
    </xf>
    <xf numFmtId="165" fontId="45" fillId="22" borderId="157" xfId="1" applyNumberFormat="1" applyFont="1" applyFill="1" applyBorder="1" applyAlignment="1">
      <alignment vertical="center"/>
    </xf>
    <xf numFmtId="165" fontId="45" fillId="22" borderId="158" xfId="1" applyNumberFormat="1" applyFont="1" applyFill="1" applyBorder="1" applyAlignment="1">
      <alignment vertical="center"/>
    </xf>
    <xf numFmtId="165" fontId="45" fillId="22" borderId="158" xfId="0" applyNumberFormat="1" applyFont="1" applyFill="1" applyBorder="1" applyAlignment="1">
      <alignment vertical="center"/>
    </xf>
    <xf numFmtId="0" fontId="45" fillId="22" borderId="152" xfId="0" applyFont="1" applyFill="1" applyBorder="1" applyAlignment="1">
      <alignment horizontal="center" vertical="center" wrapText="1"/>
    </xf>
    <xf numFmtId="165" fontId="45" fillId="22" borderId="158" xfId="1" applyNumberFormat="1" applyFont="1" applyFill="1" applyBorder="1" applyAlignment="1">
      <alignment horizontal="right" vertical="center"/>
    </xf>
    <xf numFmtId="38" fontId="11" fillId="8" borderId="0" xfId="3" applyNumberFormat="1" applyFont="1" applyFill="1" applyBorder="1"/>
    <xf numFmtId="0" fontId="47" fillId="22" borderId="152" xfId="3" applyFont="1" applyFill="1" applyBorder="1" applyAlignment="1">
      <alignment vertical="center"/>
    </xf>
    <xf numFmtId="0" fontId="46" fillId="8" borderId="156" xfId="3" applyFont="1" applyFill="1" applyBorder="1" applyAlignment="1">
      <alignment vertical="center"/>
    </xf>
    <xf numFmtId="0" fontId="45" fillId="22" borderId="159" xfId="3" applyFont="1" applyFill="1" applyBorder="1" applyAlignment="1">
      <alignment vertical="center"/>
    </xf>
    <xf numFmtId="0" fontId="47" fillId="22" borderId="160" xfId="3" applyFont="1" applyFill="1" applyBorder="1" applyAlignment="1">
      <alignment vertical="center"/>
    </xf>
    <xf numFmtId="194" fontId="47" fillId="22" borderId="160" xfId="3" applyNumberFormat="1" applyFont="1" applyFill="1" applyBorder="1" applyAlignment="1">
      <alignment vertical="center"/>
    </xf>
    <xf numFmtId="9" fontId="47" fillId="22" borderId="160" xfId="3" applyNumberFormat="1" applyFont="1" applyFill="1" applyBorder="1" applyAlignment="1">
      <alignment vertical="center"/>
    </xf>
    <xf numFmtId="9" fontId="45" fillId="22" borderId="160" xfId="3" applyNumberFormat="1" applyFont="1" applyFill="1" applyBorder="1" applyAlignment="1">
      <alignment vertical="center"/>
    </xf>
    <xf numFmtId="0" fontId="47" fillId="22" borderId="44" xfId="3" applyFont="1" applyFill="1" applyBorder="1" applyAlignment="1">
      <alignment vertical="center"/>
    </xf>
    <xf numFmtId="38" fontId="46" fillId="8" borderId="44" xfId="3" applyNumberFormat="1" applyFont="1" applyFill="1" applyBorder="1" applyAlignment="1">
      <alignment vertical="center"/>
    </xf>
    <xf numFmtId="0" fontId="47" fillId="22" borderId="151" xfId="3" applyFont="1" applyFill="1" applyBorder="1" applyAlignment="1">
      <alignment vertical="center"/>
    </xf>
    <xf numFmtId="38" fontId="46" fillId="8" borderId="151" xfId="3" applyNumberFormat="1" applyFont="1" applyFill="1" applyBorder="1" applyAlignment="1">
      <alignment horizontal="center" vertical="center" wrapText="1"/>
    </xf>
    <xf numFmtId="38" fontId="46" fillId="8" borderId="151" xfId="3" applyNumberFormat="1" applyFont="1" applyFill="1" applyBorder="1" applyAlignment="1">
      <alignment vertical="center"/>
    </xf>
    <xf numFmtId="166" fontId="46" fillId="8" borderId="151" xfId="4" applyNumberFormat="1" applyFont="1" applyFill="1" applyBorder="1" applyAlignment="1">
      <alignment vertical="center"/>
    </xf>
    <xf numFmtId="0" fontId="40" fillId="8" borderId="0" xfId="6" applyFont="1" applyFill="1" applyAlignment="1" applyProtection="1">
      <alignment vertical="center"/>
    </xf>
    <xf numFmtId="0" fontId="40" fillId="8" borderId="0" xfId="6" applyFont="1" applyFill="1" applyBorder="1" applyAlignment="1" applyProtection="1">
      <alignment vertical="center"/>
    </xf>
    <xf numFmtId="0" fontId="15" fillId="8" borderId="0" xfId="6" applyFont="1" applyFill="1" applyBorder="1" applyAlignment="1" applyProtection="1">
      <alignment vertical="center"/>
    </xf>
    <xf numFmtId="10" fontId="48" fillId="3" borderId="44" xfId="2" applyNumberFormat="1" applyFont="1" applyFill="1" applyBorder="1"/>
    <xf numFmtId="10" fontId="48" fillId="3" borderId="151" xfId="2" applyNumberFormat="1" applyFont="1" applyFill="1" applyBorder="1"/>
    <xf numFmtId="164" fontId="48" fillId="3" borderId="151" xfId="1" applyFont="1" applyFill="1" applyBorder="1"/>
    <xf numFmtId="173" fontId="40" fillId="3" borderId="44" xfId="5" applyNumberFormat="1" applyFont="1" applyFill="1" applyBorder="1"/>
    <xf numFmtId="173" fontId="41" fillId="3" borderId="44" xfId="6" applyNumberFormat="1" applyFont="1" applyFill="1" applyBorder="1"/>
    <xf numFmtId="173" fontId="40" fillId="3" borderId="151" xfId="5" applyNumberFormat="1" applyFont="1" applyFill="1" applyBorder="1"/>
    <xf numFmtId="173" fontId="41" fillId="3" borderId="151" xfId="6" applyNumberFormat="1" applyFont="1" applyFill="1" applyBorder="1"/>
    <xf numFmtId="9" fontId="48" fillId="3" borderId="44" xfId="2" applyNumberFormat="1" applyFont="1" applyFill="1" applyBorder="1"/>
    <xf numFmtId="9" fontId="48" fillId="3" borderId="151" xfId="2" applyNumberFormat="1" applyFont="1" applyFill="1" applyBorder="1"/>
    <xf numFmtId="0" fontId="43" fillId="22" borderId="151" xfId="6" applyFont="1" applyFill="1" applyBorder="1" applyAlignment="1">
      <alignment horizontal="left"/>
    </xf>
    <xf numFmtId="0" fontId="43" fillId="8" borderId="0" xfId="6" applyFont="1" applyFill="1" applyBorder="1" applyAlignment="1" applyProtection="1">
      <alignment vertical="center"/>
    </xf>
    <xf numFmtId="0" fontId="43" fillId="0" borderId="0" xfId="6" applyFont="1" applyFill="1" applyBorder="1" applyAlignment="1" applyProtection="1">
      <alignment vertical="center"/>
    </xf>
    <xf numFmtId="0" fontId="49" fillId="22" borderId="153" xfId="6" applyFont="1" applyFill="1" applyBorder="1" applyAlignment="1"/>
    <xf numFmtId="0" fontId="49" fillId="22" borderId="152" xfId="6" applyFont="1" applyFill="1" applyBorder="1" applyAlignment="1">
      <alignment horizontal="right"/>
    </xf>
    <xf numFmtId="0" fontId="49" fillId="22" borderId="156" xfId="6" applyFont="1" applyFill="1" applyBorder="1" applyAlignment="1">
      <alignment horizontal="center"/>
    </xf>
    <xf numFmtId="173" fontId="49" fillId="22" borderId="154" xfId="5" applyNumberFormat="1" applyFont="1" applyFill="1" applyBorder="1" applyAlignment="1">
      <alignment vertical="center"/>
    </xf>
    <xf numFmtId="173" fontId="49" fillId="22" borderId="155" xfId="5" applyNumberFormat="1" applyFont="1" applyFill="1" applyBorder="1" applyAlignment="1">
      <alignment vertical="center"/>
    </xf>
    <xf numFmtId="10" fontId="0" fillId="2" borderId="1" xfId="0" applyNumberFormat="1" applyFill="1" applyBorder="1"/>
    <xf numFmtId="9" fontId="0" fillId="0" borderId="0" xfId="2" applyFont="1"/>
    <xf numFmtId="0" fontId="44" fillId="0" borderId="0" xfId="0" applyFont="1"/>
    <xf numFmtId="0" fontId="43" fillId="0" borderId="152" xfId="0" applyFont="1" applyBorder="1"/>
    <xf numFmtId="0" fontId="43" fillId="0" borderId="156" xfId="0" applyFont="1" applyBorder="1"/>
    <xf numFmtId="0" fontId="43" fillId="22" borderId="159" xfId="0" applyFont="1" applyFill="1" applyBorder="1" applyAlignment="1">
      <alignment horizontal="center" vertical="center"/>
    </xf>
    <xf numFmtId="0" fontId="43" fillId="22" borderId="160" xfId="0" applyFont="1" applyFill="1" applyBorder="1" applyAlignment="1">
      <alignment horizontal="center" vertical="center" wrapText="1"/>
    </xf>
    <xf numFmtId="0" fontId="43" fillId="22" borderId="162" xfId="0" applyFont="1" applyFill="1" applyBorder="1"/>
    <xf numFmtId="0" fontId="43" fillId="22" borderId="163" xfId="0" applyFont="1" applyFill="1" applyBorder="1"/>
    <xf numFmtId="0" fontId="50" fillId="0" borderId="164" xfId="0" applyFont="1" applyBorder="1" applyAlignment="1">
      <alignment horizontal="center" vertical="center" wrapText="1" readingOrder="1"/>
    </xf>
    <xf numFmtId="0" fontId="51" fillId="0" borderId="165" xfId="0" applyFont="1" applyBorder="1" applyAlignment="1">
      <alignment horizontal="center" vertical="center" wrapText="1" readingOrder="1"/>
    </xf>
    <xf numFmtId="0" fontId="48" fillId="0" borderId="161" xfId="0" applyFont="1" applyBorder="1" applyAlignment="1">
      <alignment horizontal="center"/>
    </xf>
    <xf numFmtId="0" fontId="48" fillId="0" borderId="151" xfId="0" applyFont="1" applyBorder="1" applyAlignment="1">
      <alignment horizontal="center"/>
    </xf>
    <xf numFmtId="0" fontId="43" fillId="22" borderId="166" xfId="0" applyFont="1" applyFill="1" applyBorder="1"/>
    <xf numFmtId="165" fontId="50" fillId="0" borderId="164" xfId="1" applyNumberFormat="1" applyFont="1" applyBorder="1" applyAlignment="1">
      <alignment horizontal="center" vertical="center" wrapText="1" readingOrder="1"/>
    </xf>
    <xf numFmtId="165" fontId="51" fillId="0" borderId="165" xfId="1" applyNumberFormat="1" applyFont="1" applyBorder="1" applyAlignment="1">
      <alignment horizontal="center" vertical="center" wrapText="1" readingOrder="1"/>
    </xf>
    <xf numFmtId="165" fontId="43" fillId="22" borderId="160" xfId="1" applyNumberFormat="1" applyFont="1" applyFill="1" applyBorder="1" applyAlignment="1">
      <alignment horizontal="center" vertical="center" wrapText="1"/>
    </xf>
    <xf numFmtId="165" fontId="49" fillId="22" borderId="160" xfId="1" applyNumberFormat="1" applyFont="1" applyFill="1" applyBorder="1" applyAlignment="1">
      <alignment horizontal="center" vertical="center" wrapText="1"/>
    </xf>
    <xf numFmtId="0" fontId="52" fillId="0" borderId="0" xfId="0" applyFont="1"/>
    <xf numFmtId="0" fontId="48" fillId="0" borderId="0" xfId="0" applyFont="1"/>
    <xf numFmtId="165" fontId="43" fillId="22" borderId="170" xfId="1" applyNumberFormat="1" applyFont="1" applyFill="1" applyBorder="1" applyAlignment="1">
      <alignment vertical="center" wrapText="1"/>
    </xf>
    <xf numFmtId="0" fontId="43" fillId="0" borderId="159" xfId="0" applyFont="1" applyFill="1" applyBorder="1" applyAlignment="1">
      <alignment horizontal="center" vertical="center"/>
    </xf>
    <xf numFmtId="165" fontId="43" fillId="22" borderId="160" xfId="0" applyNumberFormat="1" applyFont="1" applyFill="1" applyBorder="1" applyAlignment="1"/>
    <xf numFmtId="165" fontId="43" fillId="22" borderId="156" xfId="1" applyNumberFormat="1" applyFont="1" applyFill="1" applyBorder="1" applyAlignment="1">
      <alignment horizontal="center" vertical="center" wrapText="1"/>
    </xf>
    <xf numFmtId="0" fontId="43" fillId="0" borderId="153" xfId="0" applyFont="1" applyFill="1" applyBorder="1" applyAlignment="1"/>
    <xf numFmtId="165" fontId="44" fillId="0" borderId="0" xfId="1" applyNumberFormat="1" applyFont="1"/>
    <xf numFmtId="0" fontId="45" fillId="22" borderId="0" xfId="0" applyFont="1" applyFill="1"/>
    <xf numFmtId="0" fontId="45" fillId="0" borderId="0" xfId="0" applyFont="1"/>
    <xf numFmtId="0" fontId="45" fillId="22" borderId="152" xfId="0" applyFont="1" applyFill="1" applyBorder="1"/>
    <xf numFmtId="0" fontId="45" fillId="22" borderId="156" xfId="0" applyFont="1" applyFill="1" applyBorder="1"/>
    <xf numFmtId="0" fontId="45" fillId="22" borderId="44" xfId="0" applyFont="1" applyFill="1" applyBorder="1"/>
    <xf numFmtId="165" fontId="44" fillId="0" borderId="44" xfId="1" applyNumberFormat="1" applyFont="1" applyBorder="1"/>
    <xf numFmtId="0" fontId="45" fillId="22" borderId="151" xfId="0" applyFont="1" applyFill="1" applyBorder="1"/>
    <xf numFmtId="165" fontId="44" fillId="0" borderId="151" xfId="1" applyNumberFormat="1" applyFont="1" applyBorder="1"/>
    <xf numFmtId="165" fontId="44" fillId="0" borderId="24" xfId="1" applyNumberFormat="1" applyFont="1" applyBorder="1"/>
    <xf numFmtId="165" fontId="45" fillId="22" borderId="158" xfId="1" applyNumberFormat="1" applyFont="1" applyFill="1" applyBorder="1"/>
    <xf numFmtId="0" fontId="2" fillId="4" borderId="0" xfId="0" applyFont="1" applyFill="1" applyBorder="1" applyAlignment="1">
      <alignment horizontal="left" vertical="center" wrapText="1"/>
    </xf>
    <xf numFmtId="165" fontId="2" fillId="3" borderId="0" xfId="1" applyNumberFormat="1" applyFont="1" applyFill="1" applyBorder="1"/>
    <xf numFmtId="0" fontId="12" fillId="8" borderId="43" xfId="3" applyFont="1" applyFill="1" applyBorder="1" applyAlignment="1">
      <alignment horizontal="center"/>
    </xf>
    <xf numFmtId="0" fontId="12" fillId="8" borderId="42" xfId="3" applyFont="1" applyFill="1" applyBorder="1" applyAlignment="1">
      <alignment horizontal="center"/>
    </xf>
    <xf numFmtId="0" fontId="12" fillId="8" borderId="41" xfId="3" applyFont="1" applyFill="1" applyBorder="1" applyAlignment="1">
      <alignment horizontal="center"/>
    </xf>
    <xf numFmtId="0" fontId="12" fillId="8" borderId="44" xfId="3" applyFont="1" applyFill="1" applyBorder="1" applyAlignment="1">
      <alignment horizontal="center"/>
    </xf>
    <xf numFmtId="0" fontId="43" fillId="22" borderId="169" xfId="0" applyFont="1" applyFill="1" applyBorder="1" applyAlignment="1">
      <alignment horizontal="center"/>
    </xf>
    <xf numFmtId="0" fontId="43" fillId="22" borderId="159" xfId="0" applyFont="1" applyFill="1" applyBorder="1" applyAlignment="1">
      <alignment horizontal="center"/>
    </xf>
    <xf numFmtId="165" fontId="43" fillId="22" borderId="168" xfId="1" applyNumberFormat="1" applyFont="1" applyFill="1" applyBorder="1" applyAlignment="1">
      <alignment horizontal="left" vertical="center" wrapText="1"/>
    </xf>
    <xf numFmtId="165" fontId="43" fillId="22" borderId="152" xfId="1" applyNumberFormat="1" applyFont="1" applyFill="1" applyBorder="1" applyAlignment="1">
      <alignment horizontal="left" vertical="center" wrapText="1"/>
    </xf>
    <xf numFmtId="0" fontId="43" fillId="22" borderId="168" xfId="0" applyFont="1" applyFill="1" applyBorder="1" applyAlignment="1">
      <alignment horizontal="center"/>
    </xf>
    <xf numFmtId="0" fontId="43" fillId="22" borderId="153" xfId="0" applyFont="1" applyFill="1" applyBorder="1" applyAlignment="1">
      <alignment horizontal="center"/>
    </xf>
    <xf numFmtId="0" fontId="43" fillId="22" borderId="152" xfId="0" applyFont="1" applyFill="1" applyBorder="1" applyAlignment="1">
      <alignment horizontal="center"/>
    </xf>
    <xf numFmtId="0" fontId="43" fillId="22" borderId="169" xfId="0" applyFont="1" applyFill="1" applyBorder="1" applyAlignment="1">
      <alignment horizontal="left"/>
    </xf>
    <xf numFmtId="0" fontId="43" fillId="22" borderId="159" xfId="0" applyFont="1" applyFill="1" applyBorder="1" applyAlignment="1">
      <alignment horizontal="left"/>
    </xf>
    <xf numFmtId="0" fontId="43" fillId="22" borderId="160" xfId="0" applyFont="1" applyFill="1" applyBorder="1" applyAlignment="1">
      <alignment horizontal="center"/>
    </xf>
    <xf numFmtId="0" fontId="43" fillId="22" borderId="160" xfId="0" applyFont="1" applyFill="1" applyBorder="1" applyAlignment="1">
      <alignment horizontal="left"/>
    </xf>
    <xf numFmtId="0" fontId="49" fillId="22" borderId="167" xfId="0" applyFont="1" applyFill="1" applyBorder="1" applyAlignment="1">
      <alignment horizontal="left"/>
    </xf>
    <xf numFmtId="0" fontId="43" fillId="22" borderId="156" xfId="0" applyFont="1" applyFill="1" applyBorder="1" applyAlignment="1">
      <alignment horizontal="center"/>
    </xf>
    <xf numFmtId="165" fontId="43" fillId="22" borderId="167" xfId="0" applyNumberFormat="1" applyFont="1" applyFill="1" applyBorder="1" applyAlignment="1">
      <alignment horizontal="center" vertical="center" wrapText="1"/>
    </xf>
    <xf numFmtId="0" fontId="43" fillId="22" borderId="0" xfId="0" applyFont="1" applyFill="1" applyBorder="1" applyAlignment="1">
      <alignment horizontal="center" vertical="center" wrapText="1"/>
    </xf>
    <xf numFmtId="0" fontId="43" fillId="22" borderId="15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169" fontId="2" fillId="3" borderId="1" xfId="1" applyNumberFormat="1" applyFont="1" applyFill="1" applyBorder="1" applyAlignment="1">
      <alignment horizontal="center"/>
    </xf>
    <xf numFmtId="0" fontId="2" fillId="4" borderId="13"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0" fillId="4" borderId="13" xfId="0" applyFont="1" applyFill="1" applyBorder="1" applyAlignment="1">
      <alignment horizontal="left" vertical="center" wrapText="1"/>
    </xf>
    <xf numFmtId="0" fontId="0" fillId="4" borderId="10" xfId="0" applyFont="1" applyFill="1" applyBorder="1" applyAlignment="1">
      <alignment horizontal="left" vertical="center" wrapText="1"/>
    </xf>
    <xf numFmtId="0" fontId="0" fillId="4" borderId="13" xfId="0" applyFont="1" applyFill="1" applyBorder="1" applyAlignment="1">
      <alignment horizontal="left" vertical="center" wrapText="1" indent="1"/>
    </xf>
    <xf numFmtId="0" fontId="0" fillId="4" borderId="10" xfId="0" applyFont="1" applyFill="1" applyBorder="1" applyAlignment="1">
      <alignment horizontal="left" vertical="center" wrapText="1" indent="1"/>
    </xf>
    <xf numFmtId="0" fontId="2" fillId="4" borderId="13" xfId="0" applyFont="1" applyFill="1" applyBorder="1" applyAlignment="1">
      <alignment horizontal="left" vertical="center" wrapText="1" indent="1"/>
    </xf>
    <xf numFmtId="0" fontId="2" fillId="4" borderId="10" xfId="0" applyFont="1" applyFill="1" applyBorder="1" applyAlignment="1">
      <alignment horizontal="left" vertical="center" wrapText="1" indent="1"/>
    </xf>
    <xf numFmtId="0" fontId="5" fillId="0" borderId="0" xfId="0" applyFont="1" applyAlignment="1">
      <alignment horizontal="left"/>
    </xf>
    <xf numFmtId="37" fontId="18" fillId="0" borderId="64" xfId="3" applyNumberFormat="1" applyFont="1" applyFill="1" applyBorder="1" applyAlignment="1" applyProtection="1">
      <alignment horizontal="center"/>
      <protection locked="0"/>
    </xf>
    <xf numFmtId="37" fontId="18" fillId="0" borderId="63" xfId="3" applyNumberFormat="1" applyFont="1" applyFill="1" applyBorder="1" applyAlignment="1" applyProtection="1">
      <alignment horizontal="center"/>
      <protection locked="0"/>
    </xf>
    <xf numFmtId="38" fontId="27" fillId="13" borderId="89" xfId="3" applyNumberFormat="1" applyFont="1" applyFill="1" applyBorder="1" applyAlignment="1">
      <alignment horizontal="center"/>
    </xf>
    <xf numFmtId="38" fontId="27" fillId="13" borderId="90" xfId="3" applyNumberFormat="1" applyFont="1" applyFill="1" applyBorder="1" applyAlignment="1">
      <alignment horizontal="center"/>
    </xf>
    <xf numFmtId="38" fontId="27" fillId="13" borderId="12" xfId="3" applyNumberFormat="1" applyFont="1" applyFill="1" applyBorder="1" applyAlignment="1">
      <alignment horizontal="center"/>
    </xf>
    <xf numFmtId="0" fontId="17" fillId="6" borderId="62" xfId="6" applyFont="1" applyFill="1" applyBorder="1" applyAlignment="1" applyProtection="1">
      <alignment horizontal="center" vertical="center"/>
    </xf>
    <xf numFmtId="0" fontId="17" fillId="6" borderId="105" xfId="6" applyFont="1" applyFill="1" applyBorder="1" applyAlignment="1" applyProtection="1">
      <alignment horizontal="center" vertical="center"/>
    </xf>
    <xf numFmtId="0" fontId="17" fillId="6" borderId="21" xfId="6" applyFont="1" applyFill="1" applyBorder="1" applyAlignment="1" applyProtection="1">
      <alignment horizontal="center" vertical="center"/>
    </xf>
    <xf numFmtId="0" fontId="49" fillId="22" borderId="152" xfId="6" applyFont="1" applyFill="1" applyBorder="1" applyAlignment="1" applyProtection="1">
      <alignment horizontal="center" vertical="center"/>
    </xf>
    <xf numFmtId="0" fontId="49" fillId="22" borderId="156" xfId="6" applyFont="1" applyFill="1" applyBorder="1" applyAlignment="1" applyProtection="1">
      <alignment horizontal="center" vertical="center"/>
    </xf>
    <xf numFmtId="0" fontId="43" fillId="22" borderId="44" xfId="6" applyFont="1" applyFill="1" applyBorder="1" applyAlignment="1">
      <alignment horizontal="left"/>
    </xf>
    <xf numFmtId="0" fontId="43" fillId="22" borderId="151" xfId="6" applyFont="1" applyFill="1" applyBorder="1" applyAlignment="1">
      <alignment horizontal="left"/>
    </xf>
    <xf numFmtId="0" fontId="49" fillId="22" borderId="151" xfId="6" applyFont="1" applyFill="1" applyBorder="1" applyAlignment="1">
      <alignment horizontal="left"/>
    </xf>
    <xf numFmtId="0" fontId="27" fillId="6" borderId="43" xfId="3" applyFont="1" applyFill="1" applyBorder="1" applyAlignment="1">
      <alignment horizontal="center"/>
    </xf>
    <xf numFmtId="0" fontId="27" fillId="6" borderId="42" xfId="3" applyFont="1" applyFill="1" applyBorder="1" applyAlignment="1">
      <alignment horizontal="center"/>
    </xf>
    <xf numFmtId="0" fontId="27" fillId="6" borderId="41" xfId="3" applyFont="1" applyFill="1" applyBorder="1" applyAlignment="1">
      <alignment horizontal="center"/>
    </xf>
  </cellXfs>
  <cellStyles count="10">
    <cellStyle name="Comma" xfId="1" builtinId="3"/>
    <cellStyle name="Comma 2" xfId="5"/>
    <cellStyle name="Comma 2 2" xfId="7"/>
    <cellStyle name="Comma 3" xfId="8"/>
    <cellStyle name="Normal" xfId="0" builtinId="0"/>
    <cellStyle name="Normal 2" xfId="3"/>
    <cellStyle name="Normal 2 2" xfId="6"/>
    <cellStyle name="Percent" xfId="2" builtinId="5"/>
    <cellStyle name="Percent 2" xfId="4"/>
    <cellStyle name="Percent 2 2" xfId="9"/>
  </cellStyles>
  <dxfs count="17">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2" defaultPivotStyle="PivotStyleLight16"/>
  <colors>
    <mruColors>
      <color rgb="FF0D46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charts/_rels/chart1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Land distribution</a:t>
            </a:r>
          </a:p>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(not buildings)</a:t>
            </a:r>
          </a:p>
        </c:rich>
      </c:tx>
      <c:layout>
        <c:manualLayout>
          <c:xMode val="edge"/>
          <c:yMode val="edge"/>
          <c:x val="0.54432298301893545"/>
          <c:y val="6.6527382242303798E-2"/>
        </c:manualLayout>
      </c:layout>
      <c:overlay val="0"/>
    </c:title>
    <c:autoTitleDeleted val="0"/>
    <c:plotArea>
      <c:layout>
        <c:manualLayout>
          <c:layoutTarget val="inner"/>
          <c:xMode val="edge"/>
          <c:yMode val="edge"/>
          <c:x val="0.24458770778652669"/>
          <c:y val="0.1969400699912511"/>
          <c:w val="0.48026924759405076"/>
          <c:h val="0.80044874599008453"/>
        </c:manualLayout>
      </c:layout>
      <c:pieChart>
        <c:varyColors val="1"/>
        <c:ser>
          <c:idx val="0"/>
          <c:order val="0"/>
          <c:explosion val="25"/>
          <c:dLbls>
            <c:dLbl>
              <c:idx val="0"/>
              <c:layout>
                <c:manualLayout>
                  <c:x val="2.3805993000874891E-2"/>
                  <c:y val="-0.12393263342082239"/>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1.7687445319335082E-2"/>
                  <c:y val="0.14081000291630213"/>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2.8709098862642168E-2"/>
                  <c:y val="1.2530256634587343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3"/>
              <c:layout>
                <c:manualLayout>
                  <c:x val="-1.313079615048119E-2"/>
                  <c:y val="-5.4242490522018079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4"/>
              <c:layout>
                <c:manualLayout>
                  <c:x val="2.7895669291338583E-2"/>
                  <c:y val="-4.1646617089530477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Input!$G$14:$G$18</c:f>
              <c:strCache>
                <c:ptCount val="5"/>
                <c:pt idx="0">
                  <c:v>Warehouses</c:v>
                </c:pt>
                <c:pt idx="1">
                  <c:v>Roads</c:v>
                </c:pt>
                <c:pt idx="2">
                  <c:v>Common Parking</c:v>
                </c:pt>
                <c:pt idx="3">
                  <c:v>Open Yard</c:v>
                </c:pt>
                <c:pt idx="4">
                  <c:v>Other</c:v>
                </c:pt>
              </c:strCache>
            </c:strRef>
          </c:cat>
          <c:val>
            <c:numRef>
              <c:f>Input!$H$14:$H$18</c:f>
              <c:numCache>
                <c:formatCode>_-* #,##0_-;\-* #,##0_-;_-* "-"??_-;_-@_-</c:formatCode>
                <c:ptCount val="5"/>
                <c:pt idx="0">
                  <c:v>364595</c:v>
                </c:pt>
                <c:pt idx="1">
                  <c:v>41515.999999999942</c:v>
                </c:pt>
                <c:pt idx="2">
                  <c:v>9185</c:v>
                </c:pt>
                <c:pt idx="3" formatCode="General">
                  <c:v>57390</c:v>
                </c:pt>
                <c:pt idx="4">
                  <c:v>44690</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Warehouse temperature distribution</a:t>
            </a:r>
          </a:p>
        </c:rich>
      </c:tx>
      <c:overlay val="0"/>
    </c:title>
    <c:autoTitleDeleted val="0"/>
    <c:plotArea>
      <c:layout>
        <c:manualLayout>
          <c:layoutTarget val="inner"/>
          <c:xMode val="edge"/>
          <c:yMode val="edge"/>
          <c:x val="0.16237765686387323"/>
          <c:y val="0.19231044036162145"/>
          <c:w val="0.49518978186181845"/>
          <c:h val="0.80768955963837852"/>
        </c:manualLayout>
      </c:layout>
      <c:pie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Input!$A$15:$A$18</c:f>
              <c:strCache>
                <c:ptCount val="4"/>
                <c:pt idx="0">
                  <c:v>AC</c:v>
                </c:pt>
                <c:pt idx="1">
                  <c:v>Chilled</c:v>
                </c:pt>
                <c:pt idx="2">
                  <c:v>Frozen</c:v>
                </c:pt>
                <c:pt idx="3">
                  <c:v>Dry</c:v>
                </c:pt>
              </c:strCache>
            </c:strRef>
          </c:cat>
          <c:val>
            <c:numRef>
              <c:f>Input!$B$15:$B$18</c:f>
              <c:numCache>
                <c:formatCode>_-* #,##0_-;\-* #,##0_-;_-* "-"??_-;_-@_-</c:formatCode>
                <c:ptCount val="4"/>
                <c:pt idx="0">
                  <c:v>102086.6</c:v>
                </c:pt>
                <c:pt idx="1">
                  <c:v>40105.449999999997</c:v>
                </c:pt>
                <c:pt idx="2">
                  <c:v>18229.75</c:v>
                </c:pt>
                <c:pt idx="3">
                  <c:v>204173.2</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3443871973640318"/>
          <c:y val="0.42608413531641876"/>
          <c:w val="0.12532679052942386"/>
          <c:h val="0.33486876640419949"/>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Other land distribution</a:t>
            </a:r>
          </a:p>
        </c:rich>
      </c:tx>
      <c:layout/>
      <c:overlay val="0"/>
    </c:title>
    <c:autoTitleDeleted val="0"/>
    <c:plotArea>
      <c:layout>
        <c:manualLayout>
          <c:layoutTarget val="inner"/>
          <c:xMode val="edge"/>
          <c:yMode val="edge"/>
          <c:x val="0.1342150324625217"/>
          <c:y val="0.19860533620347817"/>
          <c:w val="0.40208717969236751"/>
          <c:h val="0.74384070696198945"/>
        </c:manualLayout>
      </c:layout>
      <c:pieChart>
        <c:varyColors val="1"/>
        <c:ser>
          <c:idx val="0"/>
          <c:order val="0"/>
          <c:explosion val="13"/>
          <c:dLbls>
            <c:numFmt formatCode="0.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Input!$A$20:$A$26</c:f>
              <c:strCache>
                <c:ptCount val="7"/>
                <c:pt idx="0">
                  <c:v>Services</c:v>
                </c:pt>
                <c:pt idx="1">
                  <c:v>Entrances &amp; Guardhouses</c:v>
                </c:pt>
                <c:pt idx="2">
                  <c:v>Mosque</c:v>
                </c:pt>
                <c:pt idx="3">
                  <c:v>Commercial</c:v>
                </c:pt>
                <c:pt idx="4">
                  <c:v>Petrol Station</c:v>
                </c:pt>
                <c:pt idx="5">
                  <c:v>Accommodation</c:v>
                </c:pt>
                <c:pt idx="6">
                  <c:v>Vehicle Maintenance</c:v>
                </c:pt>
              </c:strCache>
            </c:strRef>
          </c:cat>
          <c:val>
            <c:numRef>
              <c:f>Input!$B$20:$B$26</c:f>
              <c:numCache>
                <c:formatCode>_-* #,##0_-;\-* #,##0_-;_-* "-"??_-;_-@_-</c:formatCode>
                <c:ptCount val="7"/>
                <c:pt idx="0">
                  <c:v>3045</c:v>
                </c:pt>
                <c:pt idx="1">
                  <c:v>225</c:v>
                </c:pt>
                <c:pt idx="2">
                  <c:v>650</c:v>
                </c:pt>
                <c:pt idx="3">
                  <c:v>2800</c:v>
                </c:pt>
                <c:pt idx="4">
                  <c:v>3800</c:v>
                </c:pt>
                <c:pt idx="5">
                  <c:v>18580</c:v>
                </c:pt>
                <c:pt idx="6">
                  <c:v>15590</c:v>
                </c:pt>
              </c:numCache>
            </c:numRef>
          </c:val>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SQM</c:v>
          </c:tx>
          <c:invertIfNegative val="0"/>
          <c:cat>
            <c:strRef>
              <c:f>Input!$A$15:$A$28</c:f>
              <c:strCache>
                <c:ptCount val="14"/>
                <c:pt idx="0">
                  <c:v>AC</c:v>
                </c:pt>
                <c:pt idx="1">
                  <c:v>Chilled</c:v>
                </c:pt>
                <c:pt idx="2">
                  <c:v>Frozen</c:v>
                </c:pt>
                <c:pt idx="3">
                  <c:v>Dry</c:v>
                </c:pt>
                <c:pt idx="4">
                  <c:v>Open Yard</c:v>
                </c:pt>
                <c:pt idx="5">
                  <c:v>Services</c:v>
                </c:pt>
                <c:pt idx="6">
                  <c:v>Entrances &amp; Guardhouses</c:v>
                </c:pt>
                <c:pt idx="7">
                  <c:v>Mosque</c:v>
                </c:pt>
                <c:pt idx="8">
                  <c:v>Commercial</c:v>
                </c:pt>
                <c:pt idx="9">
                  <c:v>Petrol Station</c:v>
                </c:pt>
                <c:pt idx="10">
                  <c:v>Accommodation</c:v>
                </c:pt>
                <c:pt idx="11">
                  <c:v>Vehicle Maintenance</c:v>
                </c:pt>
                <c:pt idx="12">
                  <c:v>Common Parking</c:v>
                </c:pt>
                <c:pt idx="13">
                  <c:v>Roads</c:v>
                </c:pt>
              </c:strCache>
            </c:strRef>
          </c:cat>
          <c:val>
            <c:numRef>
              <c:f>Input!$B$15:$B$28</c:f>
              <c:numCache>
                <c:formatCode>_-* #,##0_-;\-* #,##0_-;_-* "-"??_-;_-@_-</c:formatCode>
                <c:ptCount val="14"/>
                <c:pt idx="0">
                  <c:v>102086.6</c:v>
                </c:pt>
                <c:pt idx="1">
                  <c:v>40105.449999999997</c:v>
                </c:pt>
                <c:pt idx="2">
                  <c:v>18229.75</c:v>
                </c:pt>
                <c:pt idx="3">
                  <c:v>204173.2</c:v>
                </c:pt>
                <c:pt idx="4">
                  <c:v>57390</c:v>
                </c:pt>
                <c:pt idx="5">
                  <c:v>3045</c:v>
                </c:pt>
                <c:pt idx="6">
                  <c:v>225</c:v>
                </c:pt>
                <c:pt idx="7">
                  <c:v>650</c:v>
                </c:pt>
                <c:pt idx="8">
                  <c:v>2800</c:v>
                </c:pt>
                <c:pt idx="9">
                  <c:v>3800</c:v>
                </c:pt>
                <c:pt idx="10">
                  <c:v>18580</c:v>
                </c:pt>
                <c:pt idx="11">
                  <c:v>15590</c:v>
                </c:pt>
                <c:pt idx="12">
                  <c:v>9185</c:v>
                </c:pt>
                <c:pt idx="13">
                  <c:v>41515.999999999942</c:v>
                </c:pt>
              </c:numCache>
            </c:numRef>
          </c:val>
        </c:ser>
        <c:dLbls>
          <c:showLegendKey val="0"/>
          <c:showVal val="0"/>
          <c:showCatName val="0"/>
          <c:showSerName val="0"/>
          <c:showPercent val="0"/>
          <c:showBubbleSize val="0"/>
        </c:dLbls>
        <c:gapWidth val="150"/>
        <c:axId val="1108656208"/>
        <c:axId val="1108654032"/>
      </c:barChart>
      <c:catAx>
        <c:axId val="1108656208"/>
        <c:scaling>
          <c:orientation val="minMax"/>
        </c:scaling>
        <c:delete val="0"/>
        <c:axPos val="b"/>
        <c:numFmt formatCode="General" sourceLinked="0"/>
        <c:majorTickMark val="out"/>
        <c:minorTickMark val="none"/>
        <c:tickLblPos val="nextTo"/>
        <c:crossAx val="1108654032"/>
        <c:crosses val="autoZero"/>
        <c:auto val="1"/>
        <c:lblAlgn val="ctr"/>
        <c:lblOffset val="100"/>
        <c:noMultiLvlLbl val="0"/>
      </c:catAx>
      <c:valAx>
        <c:axId val="1108654032"/>
        <c:scaling>
          <c:orientation val="minMax"/>
          <c:max val="200000"/>
        </c:scaling>
        <c:delete val="0"/>
        <c:axPos val="l"/>
        <c:majorGridlines/>
        <c:numFmt formatCode="_(* #,##0_);_(* \(#,##0\);_(* &quot;-&quot;_);_(@_)" sourceLinked="0"/>
        <c:majorTickMark val="out"/>
        <c:minorTickMark val="none"/>
        <c:tickLblPos val="nextTo"/>
        <c:crossAx val="1108656208"/>
        <c:crosses val="autoZero"/>
        <c:crossBetween val="between"/>
        <c:dispUnits>
          <c:builtInUnit val="thousands"/>
          <c:dispUnitsLbl/>
        </c:dispUnits>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Warehouse temperature </a:t>
            </a:r>
          </a:p>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distribution in SQM</a:t>
            </a:r>
          </a:p>
        </c:rich>
      </c:tx>
      <c:overlay val="0"/>
    </c:title>
    <c:autoTitleDeleted val="0"/>
    <c:plotArea>
      <c:layout>
        <c:manualLayout>
          <c:layoutTarget val="inner"/>
          <c:xMode val="edge"/>
          <c:yMode val="edge"/>
          <c:x val="0.14836455939360491"/>
          <c:y val="0.2508605387162135"/>
          <c:w val="0.4493282746020571"/>
          <c:h val="0.74369120746938844"/>
        </c:manualLayout>
      </c:layout>
      <c:pieChart>
        <c:varyColors val="1"/>
        <c:ser>
          <c:idx val="0"/>
          <c:order val="0"/>
          <c:explosion val="25"/>
          <c:dLbls>
            <c:numFmt formatCode="#,##0" sourceLinked="0"/>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Input!$A$15:$A$18</c:f>
              <c:strCache>
                <c:ptCount val="4"/>
                <c:pt idx="0">
                  <c:v>AC</c:v>
                </c:pt>
                <c:pt idx="1">
                  <c:v>Chilled</c:v>
                </c:pt>
                <c:pt idx="2">
                  <c:v>Frozen</c:v>
                </c:pt>
                <c:pt idx="3">
                  <c:v>Dry</c:v>
                </c:pt>
              </c:strCache>
            </c:strRef>
          </c:cat>
          <c:val>
            <c:numRef>
              <c:f>Input!$B$15:$B$18</c:f>
              <c:numCache>
                <c:formatCode>_-* #,##0_-;\-* #,##0_-;_-* "-"??_-;_-@_-</c:formatCode>
                <c:ptCount val="4"/>
                <c:pt idx="0">
                  <c:v>102086.6</c:v>
                </c:pt>
                <c:pt idx="1">
                  <c:v>40105.449999999997</c:v>
                </c:pt>
                <c:pt idx="2">
                  <c:v>18229.75</c:v>
                </c:pt>
                <c:pt idx="3">
                  <c:v>204173.2</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488576732408565"/>
          <c:y val="0.40873691309653798"/>
          <c:w val="0.12512973343761252"/>
          <c:h val="0.33524223544456055"/>
        </c:manualLayout>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Warehouse</a:t>
            </a:r>
            <a:r>
              <a:rPr lang="en-US" baseline="0">
                <a:latin typeface="Helvetica" panose="020B0604020202020204" pitchFamily="34" charset="0"/>
                <a:cs typeface="Helvetica" panose="020B0604020202020204" pitchFamily="34" charset="0"/>
              </a:rPr>
              <a:t> buildings by Temperature</a:t>
            </a:r>
            <a:endParaRPr lang="en-US">
              <a:latin typeface="Helvetica" panose="020B0604020202020204" pitchFamily="34" charset="0"/>
              <a:cs typeface="Helvetica" panose="020B0604020202020204" pitchFamily="34" charset="0"/>
            </a:endParaRPr>
          </a:p>
        </c:rich>
      </c:tx>
      <c:layout>
        <c:manualLayout>
          <c:xMode val="edge"/>
          <c:yMode val="edge"/>
          <c:x val="0.26641303170525077"/>
          <c:y val="2.2977849714730901E-2"/>
        </c:manualLayout>
      </c:layout>
      <c:overlay val="0"/>
    </c:title>
    <c:autoTitleDeleted val="0"/>
    <c:plotArea>
      <c:layout>
        <c:manualLayout>
          <c:layoutTarget val="inner"/>
          <c:xMode val="edge"/>
          <c:yMode val="edge"/>
          <c:x val="0.15963320209973755"/>
          <c:y val="0.17812971882710926"/>
          <c:w val="0.45225516934319832"/>
          <c:h val="0.80532478195468049"/>
        </c:manualLayout>
      </c:layout>
      <c:pieChart>
        <c:varyColors val="1"/>
        <c:ser>
          <c:idx val="0"/>
          <c:order val="0"/>
          <c:tx>
            <c:strRef>
              <c:f>'WH area by temp'!$C$3:$G$3</c:f>
              <c:strCache>
                <c:ptCount val="5"/>
                <c:pt idx="0">
                  <c:v>DRY</c:v>
                </c:pt>
                <c:pt idx="1">
                  <c:v>AC</c:v>
                </c:pt>
                <c:pt idx="2">
                  <c:v>CHILLED</c:v>
                </c:pt>
                <c:pt idx="3">
                  <c:v>FROZEN</c:v>
                </c:pt>
                <c:pt idx="4">
                  <c:v>OFFICES</c:v>
                </c:pt>
              </c:strCache>
            </c:strRef>
          </c:tx>
          <c:explosion val="6"/>
          <c:dPt>
            <c:idx val="0"/>
            <c:bubble3D val="0"/>
            <c:explosion val="9"/>
          </c:dPt>
          <c:dPt>
            <c:idx val="4"/>
            <c:bubble3D val="0"/>
            <c:explosion val="7"/>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'WH area by temp'!$C$3:$F$3</c:f>
              <c:strCache>
                <c:ptCount val="4"/>
                <c:pt idx="0">
                  <c:v>DRY</c:v>
                </c:pt>
                <c:pt idx="1">
                  <c:v>AC</c:v>
                </c:pt>
                <c:pt idx="2">
                  <c:v>CHILLED</c:v>
                </c:pt>
                <c:pt idx="3">
                  <c:v>FROZEN</c:v>
                </c:pt>
              </c:strCache>
            </c:strRef>
          </c:cat>
          <c:val>
            <c:numRef>
              <c:f>'WH area by temp'!$C$9:$F$9</c:f>
              <c:numCache>
                <c:formatCode>_-* #,##0_-;\-* #,##0_-;_-* "-"??_-;_-@_-</c:formatCode>
                <c:ptCount val="4"/>
                <c:pt idx="0">
                  <c:v>124944</c:v>
                </c:pt>
                <c:pt idx="1">
                  <c:v>62775</c:v>
                </c:pt>
                <c:pt idx="2">
                  <c:v>23829</c:v>
                </c:pt>
                <c:pt idx="3">
                  <c:v>10902</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1263729104636175"/>
          <c:y val="0.32353572295733252"/>
          <c:w val="0.12691526260735095"/>
          <c:h val="0.2795426223895926"/>
        </c:manualLayout>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Warehouse</a:t>
            </a:r>
            <a:r>
              <a:rPr lang="en-US" baseline="0">
                <a:latin typeface="Helvetica" panose="020B0604020202020204" pitchFamily="34" charset="0"/>
                <a:cs typeface="Helvetica" panose="020B0604020202020204" pitchFamily="34" charset="0"/>
              </a:rPr>
              <a:t> buildings SQM by Temperature</a:t>
            </a:r>
            <a:endParaRPr lang="en-US">
              <a:latin typeface="Helvetica" panose="020B0604020202020204" pitchFamily="34" charset="0"/>
              <a:cs typeface="Helvetica" panose="020B0604020202020204" pitchFamily="34" charset="0"/>
            </a:endParaRPr>
          </a:p>
        </c:rich>
      </c:tx>
      <c:layout>
        <c:manualLayout>
          <c:xMode val="edge"/>
          <c:yMode val="edge"/>
          <c:x val="0.26641303170525077"/>
          <c:y val="2.2977849714730901E-2"/>
        </c:manualLayout>
      </c:layout>
      <c:overlay val="0"/>
    </c:title>
    <c:autoTitleDeleted val="0"/>
    <c:plotArea>
      <c:layout>
        <c:manualLayout>
          <c:layoutTarget val="inner"/>
          <c:xMode val="edge"/>
          <c:yMode val="edge"/>
          <c:x val="0.15963320209973755"/>
          <c:y val="0.17812971882710926"/>
          <c:w val="0.45225516934319832"/>
          <c:h val="0.80532478195468049"/>
        </c:manualLayout>
      </c:layout>
      <c:pieChart>
        <c:varyColors val="1"/>
        <c:ser>
          <c:idx val="0"/>
          <c:order val="0"/>
          <c:tx>
            <c:strRef>
              <c:f>'WH area by temp'!$C$3:$G$3</c:f>
              <c:strCache>
                <c:ptCount val="5"/>
                <c:pt idx="0">
                  <c:v>DRY</c:v>
                </c:pt>
                <c:pt idx="1">
                  <c:v>AC</c:v>
                </c:pt>
                <c:pt idx="2">
                  <c:v>CHILLED</c:v>
                </c:pt>
                <c:pt idx="3">
                  <c:v>FROZEN</c:v>
                </c:pt>
                <c:pt idx="4">
                  <c:v>OFFICES</c:v>
                </c:pt>
              </c:strCache>
            </c:strRef>
          </c:tx>
          <c:explosion val="6"/>
          <c:dPt>
            <c:idx val="0"/>
            <c:bubble3D val="0"/>
            <c:explosion val="9"/>
          </c:dPt>
          <c:dPt>
            <c:idx val="4"/>
            <c:bubble3D val="0"/>
            <c:explosion val="7"/>
          </c:dPt>
          <c:dLbls>
            <c:dLbl>
              <c:idx val="3"/>
              <c:layout>
                <c:manualLayout>
                  <c:x val="-8.2263772489861664E-2"/>
                  <c:y val="-1.4646125756019646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'WH area by temp'!$C$3:$F$3</c:f>
              <c:strCache>
                <c:ptCount val="4"/>
                <c:pt idx="0">
                  <c:v>DRY</c:v>
                </c:pt>
                <c:pt idx="1">
                  <c:v>AC</c:v>
                </c:pt>
                <c:pt idx="2">
                  <c:v>CHILLED</c:v>
                </c:pt>
                <c:pt idx="3">
                  <c:v>FROZEN</c:v>
                </c:pt>
              </c:strCache>
            </c:strRef>
          </c:cat>
          <c:val>
            <c:numRef>
              <c:f>'WH area by temp'!$C$9:$F$9</c:f>
              <c:numCache>
                <c:formatCode>_-* #,##0_-;\-* #,##0_-;_-* "-"??_-;_-@_-</c:formatCode>
                <c:ptCount val="4"/>
                <c:pt idx="0">
                  <c:v>124944</c:v>
                </c:pt>
                <c:pt idx="1">
                  <c:v>62775</c:v>
                </c:pt>
                <c:pt idx="2">
                  <c:v>23829</c:v>
                </c:pt>
                <c:pt idx="3">
                  <c:v>10902</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1263729104636175"/>
          <c:y val="0.32353572295733252"/>
          <c:w val="0.12691526260735095"/>
          <c:h val="0.2795426223895926"/>
        </c:manualLayout>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Warehouse</a:t>
            </a:r>
            <a:r>
              <a:rPr lang="en-US" baseline="0">
                <a:latin typeface="Helvetica" panose="020B0604020202020204" pitchFamily="34" charset="0"/>
                <a:cs typeface="Helvetica" panose="020B0604020202020204" pitchFamily="34" charset="0"/>
              </a:rPr>
              <a:t> Buildings by Type</a:t>
            </a:r>
            <a:endParaRPr lang="en-US">
              <a:latin typeface="Helvetica" panose="020B0604020202020204" pitchFamily="34" charset="0"/>
              <a:cs typeface="Helvetica" panose="020B0604020202020204" pitchFamily="34" charset="0"/>
            </a:endParaRPr>
          </a:p>
        </c:rich>
      </c:tx>
      <c:overlay val="0"/>
    </c:title>
    <c:autoTitleDeleted val="0"/>
    <c:plotArea>
      <c:layout>
        <c:manualLayout>
          <c:layoutTarget val="inner"/>
          <c:xMode val="edge"/>
          <c:yMode val="edge"/>
          <c:x val="0.15963320209973755"/>
          <c:y val="0.17812971882710926"/>
          <c:w val="0.45225516934319832"/>
          <c:h val="0.80532478195468049"/>
        </c:manualLayout>
      </c:layout>
      <c:pieChart>
        <c:varyColors val="1"/>
        <c:ser>
          <c:idx val="0"/>
          <c:order val="0"/>
          <c:explosion val="14"/>
          <c:dPt>
            <c:idx val="0"/>
            <c:bubble3D val="0"/>
            <c:explosion val="13"/>
          </c:dPt>
          <c:dPt>
            <c:idx val="1"/>
            <c:bubble3D val="0"/>
            <c:explosion val="6"/>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'Buildings &amp; Spaces'!$A$5:$A$8</c:f>
              <c:strCache>
                <c:ptCount val="4"/>
                <c:pt idx="0">
                  <c:v>Large 3PL Warehouses</c:v>
                </c:pt>
                <c:pt idx="1">
                  <c:v>Modular Warehouses</c:v>
                </c:pt>
                <c:pt idx="2">
                  <c:v>Small Modular Warehouses</c:v>
                </c:pt>
                <c:pt idx="3">
                  <c:v>Specialised warehouses</c:v>
                </c:pt>
              </c:strCache>
            </c:strRef>
          </c:cat>
          <c:val>
            <c:numRef>
              <c:f>'Buildings &amp; Spaces'!$F$5:$F$8</c:f>
              <c:numCache>
                <c:formatCode>_-* #,##0_-;\-* #,##0_-;_-* "-"??_-;_-@_-</c:formatCode>
                <c:ptCount val="4"/>
                <c:pt idx="0">
                  <c:v>90000</c:v>
                </c:pt>
                <c:pt idx="1">
                  <c:v>81000</c:v>
                </c:pt>
                <c:pt idx="2">
                  <c:v>39200</c:v>
                </c:pt>
                <c:pt idx="3">
                  <c:v>12250</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1263729104636175"/>
          <c:y val="0.32353572295733252"/>
          <c:w val="0.2243590355829313"/>
          <c:h val="0.49860775942082791"/>
        </c:manualLayout>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Warehouse</a:t>
            </a:r>
            <a:r>
              <a:rPr lang="en-US" baseline="0">
                <a:latin typeface="Helvetica" panose="020B0604020202020204" pitchFamily="34" charset="0"/>
                <a:cs typeface="Helvetica" panose="020B0604020202020204" pitchFamily="34" charset="0"/>
              </a:rPr>
              <a:t> Buildings by Type (SQM)</a:t>
            </a:r>
            <a:endParaRPr lang="en-US">
              <a:latin typeface="Helvetica" panose="020B0604020202020204" pitchFamily="34" charset="0"/>
              <a:cs typeface="Helvetica" panose="020B0604020202020204" pitchFamily="34" charset="0"/>
            </a:endParaRPr>
          </a:p>
        </c:rich>
      </c:tx>
      <c:layout>
        <c:manualLayout>
          <c:xMode val="edge"/>
          <c:yMode val="edge"/>
          <c:x val="0.26641303170525077"/>
          <c:y val="2.2977849714730901E-2"/>
        </c:manualLayout>
      </c:layout>
      <c:overlay val="0"/>
    </c:title>
    <c:autoTitleDeleted val="0"/>
    <c:plotArea>
      <c:layout>
        <c:manualLayout>
          <c:layoutTarget val="inner"/>
          <c:xMode val="edge"/>
          <c:yMode val="edge"/>
          <c:x val="0.15963320209973755"/>
          <c:y val="0.17812971882710926"/>
          <c:w val="0.45225516934319832"/>
          <c:h val="0.80532478195468049"/>
        </c:manualLayout>
      </c:layout>
      <c:pieChart>
        <c:varyColors val="1"/>
        <c:ser>
          <c:idx val="0"/>
          <c:order val="0"/>
          <c:explosion val="14"/>
          <c:dPt>
            <c:idx val="0"/>
            <c:bubble3D val="0"/>
            <c:explosion val="13"/>
          </c:dPt>
          <c:dPt>
            <c:idx val="1"/>
            <c:bubble3D val="0"/>
            <c:explosion val="6"/>
          </c:dPt>
          <c:dLbls>
            <c:dLbl>
              <c:idx val="3"/>
              <c:layout>
                <c:manualLayout>
                  <c:x val="-0.1046924974136265"/>
                  <c:y val="4.4412745867515147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'Buildings &amp; Spaces'!$A$5:$A$8</c:f>
              <c:strCache>
                <c:ptCount val="4"/>
                <c:pt idx="0">
                  <c:v>Large 3PL Warehouses</c:v>
                </c:pt>
                <c:pt idx="1">
                  <c:v>Modular Warehouses</c:v>
                </c:pt>
                <c:pt idx="2">
                  <c:v>Small Modular Warehouses</c:v>
                </c:pt>
                <c:pt idx="3">
                  <c:v>Specialised warehouses</c:v>
                </c:pt>
              </c:strCache>
            </c:strRef>
          </c:cat>
          <c:val>
            <c:numRef>
              <c:f>'Buildings &amp; Spaces'!$F$5:$F$8</c:f>
              <c:numCache>
                <c:formatCode>_-* #,##0_-;\-* #,##0_-;_-* "-"??_-;_-@_-</c:formatCode>
                <c:ptCount val="4"/>
                <c:pt idx="0">
                  <c:v>90000</c:v>
                </c:pt>
                <c:pt idx="1">
                  <c:v>81000</c:v>
                </c:pt>
                <c:pt idx="2">
                  <c:v>39200</c:v>
                </c:pt>
                <c:pt idx="3">
                  <c:v>12250</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1263729104636175"/>
          <c:y val="0.32353572295733252"/>
          <c:w val="0.25274767256867176"/>
          <c:h val="0.49860775942082791"/>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Warehouse costs</a:t>
            </a:r>
          </a:p>
        </c:rich>
      </c:tx>
      <c:overlay val="0"/>
    </c:title>
    <c:autoTitleDeleted val="0"/>
    <c:plotArea>
      <c:layout>
        <c:manualLayout>
          <c:layoutTarget val="inner"/>
          <c:xMode val="edge"/>
          <c:yMode val="edge"/>
          <c:x val="0.15963320209973755"/>
          <c:y val="0.15055635229259973"/>
          <c:w val="0.50023468941382321"/>
          <c:h val="0.83289802113825506"/>
        </c:manualLayout>
      </c:layout>
      <c:pie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'WH Cost PPT'!$A$24:$A$29</c:f>
              <c:strCache>
                <c:ptCount val="6"/>
                <c:pt idx="0">
                  <c:v>Dry</c:v>
                </c:pt>
                <c:pt idx="1">
                  <c:v>AC</c:v>
                </c:pt>
                <c:pt idx="2">
                  <c:v>Chilled</c:v>
                </c:pt>
                <c:pt idx="3">
                  <c:v>Freezer</c:v>
                </c:pt>
                <c:pt idx="4">
                  <c:v>Mezzanine</c:v>
                </c:pt>
                <c:pt idx="5">
                  <c:v>Yard</c:v>
                </c:pt>
              </c:strCache>
            </c:strRef>
          </c:cat>
          <c:val>
            <c:numRef>
              <c:f>'WH Cost PPT'!$B$24:$B$29</c:f>
              <c:numCache>
                <c:formatCode>General</c:formatCode>
                <c:ptCount val="6"/>
                <c:pt idx="0">
                  <c:v>241677909.90000004</c:v>
                </c:pt>
                <c:pt idx="1">
                  <c:v>208512684.49375001</c:v>
                </c:pt>
                <c:pt idx="2">
                  <c:v>89670176.887499988</c:v>
                </c:pt>
                <c:pt idx="3">
                  <c:v>40759171.3125</c:v>
                </c:pt>
                <c:pt idx="4">
                  <c:v>62026823.376000009</c:v>
                </c:pt>
                <c:pt idx="5">
                  <c:v>38303548.75</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1263729104636175"/>
          <c:y val="0.32353572295733252"/>
          <c:w val="0.17016256630959514"/>
          <c:h val="0.49860775942082791"/>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Warehouse</a:t>
            </a:r>
            <a:r>
              <a:rPr lang="en-US" baseline="0">
                <a:latin typeface="Helvetica" panose="020B0604020202020204" pitchFamily="34" charset="0"/>
                <a:cs typeface="Helvetica" panose="020B0604020202020204" pitchFamily="34" charset="0"/>
              </a:rPr>
              <a:t> costs (</a:t>
            </a:r>
            <a:r>
              <a:rPr lang="en-US">
                <a:latin typeface="Helvetica" panose="020B0604020202020204" pitchFamily="34" charset="0"/>
                <a:cs typeface="Helvetica" panose="020B0604020202020204" pitchFamily="34" charset="0"/>
              </a:rPr>
              <a:t>QAR)</a:t>
            </a:r>
          </a:p>
        </c:rich>
      </c:tx>
      <c:layout>
        <c:manualLayout>
          <c:xMode val="edge"/>
          <c:yMode val="edge"/>
          <c:x val="0.37814298757492759"/>
          <c:y val="2.2977849714730901E-2"/>
        </c:manualLayout>
      </c:layout>
      <c:overlay val="0"/>
    </c:title>
    <c:autoTitleDeleted val="0"/>
    <c:plotArea>
      <c:layout>
        <c:manualLayout>
          <c:layoutTarget val="inner"/>
          <c:xMode val="edge"/>
          <c:yMode val="edge"/>
          <c:x val="0.15963320209973755"/>
          <c:y val="0.15055635229259973"/>
          <c:w val="0.50023468941382321"/>
          <c:h val="0.83289802113825506"/>
        </c:manualLayout>
      </c:layout>
      <c:pieChart>
        <c:varyColors val="1"/>
        <c:ser>
          <c:idx val="0"/>
          <c:order val="0"/>
          <c:explosion val="25"/>
          <c:dLbls>
            <c:dLbl>
              <c:idx val="0"/>
              <c:layout>
                <c:manualLayout>
                  <c:x val="-2.3820125353411051E-2"/>
                  <c:y val="-0.13250656497068425"/>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21807281260062009"/>
                  <c:y val="-8.7124045288437153E-3"/>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2.1138501845897344E-4"/>
                  <c:y val="-3.2781249785148056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1.2733824690475876E-2"/>
                  <c:y val="1.497468275188522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5.945619908344691E-2"/>
                  <c:y val="3.6753342010637839E-2"/>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0.12990982229102987"/>
                  <c:y val="-3.0102792405802578E-3"/>
                </c:manualLayout>
              </c:layout>
              <c:showLegendKey val="0"/>
              <c:showVal val="1"/>
              <c:showCatName val="0"/>
              <c:showSerName val="0"/>
              <c:showPercent val="0"/>
              <c:showBubbleSize val="0"/>
              <c:extLst>
                <c:ext xmlns:c15="http://schemas.microsoft.com/office/drawing/2012/chart" uri="{CE6537A1-D6FC-4f65-9D91-7224C49458BB}"/>
              </c:extLst>
            </c:dLbl>
            <c:numFmt formatCode="#,##0" sourceLinked="0"/>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'WH Cost PPT'!$A$24:$A$29</c:f>
              <c:strCache>
                <c:ptCount val="6"/>
                <c:pt idx="0">
                  <c:v>Dry</c:v>
                </c:pt>
                <c:pt idx="1">
                  <c:v>AC</c:v>
                </c:pt>
                <c:pt idx="2">
                  <c:v>Chilled</c:v>
                </c:pt>
                <c:pt idx="3">
                  <c:v>Freezer</c:v>
                </c:pt>
                <c:pt idx="4">
                  <c:v>Mezzanine</c:v>
                </c:pt>
                <c:pt idx="5">
                  <c:v>Yard</c:v>
                </c:pt>
              </c:strCache>
            </c:strRef>
          </c:cat>
          <c:val>
            <c:numRef>
              <c:f>'WH Cost PPT'!$B$24:$B$29</c:f>
              <c:numCache>
                <c:formatCode>General</c:formatCode>
                <c:ptCount val="6"/>
                <c:pt idx="0">
                  <c:v>241677909.90000004</c:v>
                </c:pt>
                <c:pt idx="1">
                  <c:v>208512684.49375001</c:v>
                </c:pt>
                <c:pt idx="2">
                  <c:v>89670176.887499988</c:v>
                </c:pt>
                <c:pt idx="3">
                  <c:v>40759171.3125</c:v>
                </c:pt>
                <c:pt idx="4">
                  <c:v>62026823.376000009</c:v>
                </c:pt>
                <c:pt idx="5">
                  <c:v>38303548.75</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2837697766839138"/>
          <c:y val="0.36949142238679433"/>
          <c:w val="0.17079336094460543"/>
          <c:h val="0.49860775942082791"/>
        </c:manualLayout>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Other</a:t>
            </a:r>
            <a:r>
              <a:rPr lang="en-US" baseline="0">
                <a:latin typeface="Helvetica" panose="020B0604020202020204" pitchFamily="34" charset="0"/>
                <a:cs typeface="Helvetica" panose="020B0604020202020204" pitchFamily="34" charset="0"/>
              </a:rPr>
              <a:t> costs (QAR)</a:t>
            </a:r>
            <a:endParaRPr lang="en-US">
              <a:latin typeface="Helvetica" panose="020B0604020202020204" pitchFamily="34" charset="0"/>
              <a:cs typeface="Helvetica" panose="020B0604020202020204" pitchFamily="34" charset="0"/>
            </a:endParaRPr>
          </a:p>
        </c:rich>
      </c:tx>
      <c:overlay val="0"/>
    </c:title>
    <c:autoTitleDeleted val="0"/>
    <c:plotArea>
      <c:layout/>
      <c:pieChart>
        <c:varyColors val="1"/>
        <c:ser>
          <c:idx val="0"/>
          <c:order val="0"/>
          <c:explosion val="25"/>
          <c:dLbls>
            <c:numFmt formatCode="#,##0" sourceLinked="0"/>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'Other Cost PPT'!$A$2:$A$9</c:f>
              <c:strCache>
                <c:ptCount val="8"/>
                <c:pt idx="0">
                  <c:v>Entrance and guardhouse</c:v>
                </c:pt>
                <c:pt idx="1">
                  <c:v>Property Infrastructure</c:v>
                </c:pt>
                <c:pt idx="2">
                  <c:v>Mosque</c:v>
                </c:pt>
                <c:pt idx="3">
                  <c:v>Administrative / Commercial</c:v>
                </c:pt>
                <c:pt idx="4">
                  <c:v>Petrol Station</c:v>
                </c:pt>
                <c:pt idx="5">
                  <c:v>Vehicle Maintenance Workshop</c:v>
                </c:pt>
                <c:pt idx="6">
                  <c:v>Labour accommodation</c:v>
                </c:pt>
                <c:pt idx="7">
                  <c:v>Light and heavy vehicle parking</c:v>
                </c:pt>
              </c:strCache>
            </c:strRef>
          </c:cat>
          <c:val>
            <c:numRef>
              <c:f>'Other Cost PPT'!$F$2:$F$9</c:f>
              <c:numCache>
                <c:formatCode>_-* #,##0_-;\-* #,##0_-;_-* "-"??_-;_-@_-</c:formatCode>
                <c:ptCount val="8"/>
                <c:pt idx="0">
                  <c:v>810000</c:v>
                </c:pt>
                <c:pt idx="1">
                  <c:v>84979008</c:v>
                </c:pt>
                <c:pt idx="2">
                  <c:v>2135250</c:v>
                </c:pt>
                <c:pt idx="3">
                  <c:v>22680000</c:v>
                </c:pt>
                <c:pt idx="4">
                  <c:v>6657600</c:v>
                </c:pt>
                <c:pt idx="5">
                  <c:v>27313680</c:v>
                </c:pt>
                <c:pt idx="6">
                  <c:v>75735000</c:v>
                </c:pt>
                <c:pt idx="7">
                  <c:v>2816121</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58558311461067369"/>
          <c:y val="0.22255978419364247"/>
          <c:w val="0.39775021872265964"/>
          <c:h val="0.69828302712160983"/>
        </c:manualLayou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Other</a:t>
            </a:r>
            <a:r>
              <a:rPr lang="en-US" baseline="0">
                <a:latin typeface="Helvetica" panose="020B0604020202020204" pitchFamily="34" charset="0"/>
                <a:cs typeface="Helvetica" panose="020B0604020202020204" pitchFamily="34" charset="0"/>
              </a:rPr>
              <a:t> costs</a:t>
            </a:r>
            <a:endParaRPr lang="en-US">
              <a:latin typeface="Helvetica" panose="020B0604020202020204" pitchFamily="34" charset="0"/>
              <a:cs typeface="Helvetica" panose="020B0604020202020204" pitchFamily="34" charset="0"/>
            </a:endParaRPr>
          </a:p>
        </c:rich>
      </c:tx>
      <c:overlay val="0"/>
    </c:title>
    <c:autoTitleDeleted val="0"/>
    <c:plotArea>
      <c:layout/>
      <c:pie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'Other Cost PPT'!$A$2:$A$9</c:f>
              <c:strCache>
                <c:ptCount val="8"/>
                <c:pt idx="0">
                  <c:v>Entrance and guardhouse</c:v>
                </c:pt>
                <c:pt idx="1">
                  <c:v>Property Infrastructure</c:v>
                </c:pt>
                <c:pt idx="2">
                  <c:v>Mosque</c:v>
                </c:pt>
                <c:pt idx="3">
                  <c:v>Administrative / Commercial</c:v>
                </c:pt>
                <c:pt idx="4">
                  <c:v>Petrol Station</c:v>
                </c:pt>
                <c:pt idx="5">
                  <c:v>Vehicle Maintenance Workshop</c:v>
                </c:pt>
                <c:pt idx="6">
                  <c:v>Labour accommodation</c:v>
                </c:pt>
                <c:pt idx="7">
                  <c:v>Light and heavy vehicle parking</c:v>
                </c:pt>
              </c:strCache>
            </c:strRef>
          </c:cat>
          <c:val>
            <c:numRef>
              <c:f>'Other Cost PPT'!$F$2:$F$9</c:f>
              <c:numCache>
                <c:formatCode>_-* #,##0_-;\-* #,##0_-;_-* "-"??_-;_-@_-</c:formatCode>
                <c:ptCount val="8"/>
                <c:pt idx="0">
                  <c:v>810000</c:v>
                </c:pt>
                <c:pt idx="1">
                  <c:v>84979008</c:v>
                </c:pt>
                <c:pt idx="2">
                  <c:v>2135250</c:v>
                </c:pt>
                <c:pt idx="3">
                  <c:v>22680000</c:v>
                </c:pt>
                <c:pt idx="4">
                  <c:v>6657600</c:v>
                </c:pt>
                <c:pt idx="5">
                  <c:v>27313680</c:v>
                </c:pt>
                <c:pt idx="6">
                  <c:v>75735000</c:v>
                </c:pt>
                <c:pt idx="7">
                  <c:v>2816121</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58558311461067369"/>
          <c:y val="0.22255978419364247"/>
          <c:w val="0.39775021872265964"/>
          <c:h val="0.69828302712160983"/>
        </c:manualLayout>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Operating expenses</a:t>
            </a:r>
          </a:p>
        </c:rich>
      </c:tx>
      <c:overlay val="0"/>
    </c:title>
    <c:autoTitleDeleted val="0"/>
    <c:plotArea>
      <c:layout>
        <c:manualLayout>
          <c:layoutTarget val="inner"/>
          <c:xMode val="edge"/>
          <c:yMode val="edge"/>
          <c:x val="0.11280533561184442"/>
          <c:y val="0.16337794417753573"/>
          <c:w val="0.49613265538774176"/>
          <c:h val="0.81502208724060055"/>
        </c:manualLayout>
      </c:layout>
      <c:pieChart>
        <c:varyColors val="1"/>
        <c:ser>
          <c:idx val="0"/>
          <c:order val="0"/>
          <c:explosion val="25"/>
          <c:dLbls>
            <c:dLbl>
              <c:idx val="0"/>
              <c:layout>
                <c:manualLayout>
                  <c:x val="0.17114732035142788"/>
                  <c:y val="-5.9254459266241066E-2"/>
                </c:manualLayout>
              </c:layout>
              <c:showLegendKey val="0"/>
              <c:showVal val="0"/>
              <c:showCatName val="0"/>
              <c:showSerName val="0"/>
              <c:showPercent val="1"/>
              <c:showBubbleSize val="0"/>
              <c:extLst>
                <c:ext xmlns:c15="http://schemas.microsoft.com/office/drawing/2012/chart" uri="{CE6537A1-D6FC-4f65-9D91-7224C49458BB}"/>
              </c:extLst>
            </c:dLbl>
            <c:dLbl>
              <c:idx val="1"/>
              <c:layout>
                <c:manualLayout>
                  <c:x val="0.10395079655655584"/>
                  <c:y val="8.706896426332468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(PL_Extract!$B$16,PL_Extract!$B$38)</c:f>
              <c:strCache>
                <c:ptCount val="2"/>
                <c:pt idx="0">
                  <c:v>Manateq - Charges</c:v>
                </c:pt>
                <c:pt idx="1">
                  <c:v>Total Expenses</c:v>
                </c:pt>
              </c:strCache>
            </c:strRef>
          </c:cat>
          <c:val>
            <c:numRef>
              <c:f>('Costs Charts'!$M$5,'Costs Charts'!$M$26)</c:f>
              <c:numCache>
                <c:formatCode>_-* #,##0_-;\-* #,##0_-;_-* "-"??_-;_-@_-</c:formatCode>
                <c:ptCount val="2"/>
                <c:pt idx="0">
                  <c:v>7648.3392715014061</c:v>
                </c:pt>
                <c:pt idx="1">
                  <c:v>21874.386209638567</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64865115537778051"/>
          <c:y val="0.48506983989841468"/>
          <c:w val="0.26515859400583219"/>
          <c:h val="0.16441677909840072"/>
        </c:manualLayout>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Operating expenses (K QAR)</a:t>
            </a:r>
          </a:p>
        </c:rich>
      </c:tx>
      <c:overlay val="0"/>
    </c:title>
    <c:autoTitleDeleted val="0"/>
    <c:plotArea>
      <c:layout>
        <c:manualLayout>
          <c:layoutTarget val="inner"/>
          <c:xMode val="edge"/>
          <c:yMode val="edge"/>
          <c:x val="0.11280533561184442"/>
          <c:y val="0.16337794417753573"/>
          <c:w val="0.49613265538774176"/>
          <c:h val="0.81502208724060055"/>
        </c:manualLayout>
      </c:layout>
      <c:pieChart>
        <c:varyColors val="1"/>
        <c:ser>
          <c:idx val="0"/>
          <c:order val="0"/>
          <c:explosion val="25"/>
          <c:dLbls>
            <c:dLbl>
              <c:idx val="0"/>
              <c:layout>
                <c:manualLayout>
                  <c:x val="0.17114732035142788"/>
                  <c:y val="-5.9254459266241066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10395079655655584"/>
                  <c:y val="8.706896426332468E-2"/>
                </c:manualLayout>
              </c:layout>
              <c:showLegendKey val="0"/>
              <c:showVal val="1"/>
              <c:showCatName val="0"/>
              <c:showSerName val="0"/>
              <c:showPercent val="0"/>
              <c:showBubbleSize val="0"/>
              <c:extLst>
                <c:ext xmlns:c15="http://schemas.microsoft.com/office/drawing/2012/chart" uri="{CE6537A1-D6FC-4f65-9D91-7224C49458BB}"/>
              </c:extLst>
            </c:dLbl>
            <c:numFmt formatCode="#,##0" sourceLinked="0"/>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(PL_Extract!$B$16,PL_Extract!$B$38)</c:f>
              <c:strCache>
                <c:ptCount val="2"/>
                <c:pt idx="0">
                  <c:v>Manateq - Charges</c:v>
                </c:pt>
                <c:pt idx="1">
                  <c:v>Total Expenses</c:v>
                </c:pt>
              </c:strCache>
            </c:strRef>
          </c:cat>
          <c:val>
            <c:numRef>
              <c:f>('Costs Charts'!$M$5,'Costs Charts'!$M$26)</c:f>
              <c:numCache>
                <c:formatCode>_-* #,##0_-;\-* #,##0_-;_-* "-"??_-;_-@_-</c:formatCode>
                <c:ptCount val="2"/>
                <c:pt idx="0">
                  <c:v>7648.3392715014061</c:v>
                </c:pt>
                <c:pt idx="1">
                  <c:v>21874.386209638567</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64865115537778051"/>
          <c:y val="0.48506983989841468"/>
          <c:w val="0.26515859400583219"/>
          <c:h val="0.16441677909840072"/>
        </c:manualLayout>
      </c:layout>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anose="020B0604020202020204" pitchFamily="34" charset="0"/>
                <a:ea typeface="+mn-ea"/>
                <a:cs typeface="Helvetica" panose="020B0604020202020204" pitchFamily="34" charset="0"/>
              </a:defRPr>
            </a:pPr>
            <a:r>
              <a:rPr lang="en-US" baseline="0"/>
              <a:t>Replacement Schedule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title>
    <c:autoTitleDeleted val="0"/>
    <c:plotArea>
      <c:layout/>
      <c:barChart>
        <c:barDir val="col"/>
        <c:grouping val="clustered"/>
        <c:varyColors val="0"/>
        <c:ser>
          <c:idx val="0"/>
          <c:order val="0"/>
          <c:tx>
            <c:strRef>
              <c:f>'CAPEX Schedule'!$A$28</c:f>
              <c:strCache>
                <c:ptCount val="1"/>
                <c:pt idx="0">
                  <c:v>Cooling Units</c:v>
                </c:pt>
              </c:strCache>
            </c:strRef>
          </c:tx>
          <c:spPr>
            <a:solidFill>
              <a:schemeClr val="accent1">
                <a:shade val="65000"/>
              </a:schemeClr>
            </a:solidFill>
            <a:ln>
              <a:noFill/>
            </a:ln>
            <a:effectLst/>
          </c:spPr>
          <c:invertIfNegative val="0"/>
          <c:cat>
            <c:numRef>
              <c:f>'CAPEX Schedule'!$B$27:$U$27</c:f>
              <c:numCache>
                <c:formatCode>General</c:formatCode>
                <c:ptCount val="20"/>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numCache>
            </c:numRef>
          </c:cat>
          <c:val>
            <c:numRef>
              <c:f>'CAPEX Schedule'!$B$28:$U$28</c:f>
              <c:numCache>
                <c:formatCode>_-* #,##0_-;\-* #,##0_-;_-* "-"??_-;_-@_-</c:formatCode>
                <c:ptCount val="20"/>
                <c:pt idx="0">
                  <c:v>0</c:v>
                </c:pt>
                <c:pt idx="1">
                  <c:v>0</c:v>
                </c:pt>
                <c:pt idx="2">
                  <c:v>0</c:v>
                </c:pt>
                <c:pt idx="3">
                  <c:v>0</c:v>
                </c:pt>
                <c:pt idx="4">
                  <c:v>0</c:v>
                </c:pt>
                <c:pt idx="5">
                  <c:v>0</c:v>
                </c:pt>
                <c:pt idx="6">
                  <c:v>0</c:v>
                </c:pt>
                <c:pt idx="7">
                  <c:v>0</c:v>
                </c:pt>
                <c:pt idx="8">
                  <c:v>0</c:v>
                </c:pt>
                <c:pt idx="9">
                  <c:v>0</c:v>
                </c:pt>
                <c:pt idx="10">
                  <c:v>15000000</c:v>
                </c:pt>
                <c:pt idx="11">
                  <c:v>15000000</c:v>
                </c:pt>
                <c:pt idx="12">
                  <c:v>5000000</c:v>
                </c:pt>
                <c:pt idx="13">
                  <c:v>10000000</c:v>
                </c:pt>
                <c:pt idx="14">
                  <c:v>0</c:v>
                </c:pt>
                <c:pt idx="15">
                  <c:v>26569760</c:v>
                </c:pt>
                <c:pt idx="16">
                  <c:v>0</c:v>
                </c:pt>
                <c:pt idx="17">
                  <c:v>0</c:v>
                </c:pt>
                <c:pt idx="18">
                  <c:v>0</c:v>
                </c:pt>
                <c:pt idx="19">
                  <c:v>0</c:v>
                </c:pt>
              </c:numCache>
            </c:numRef>
          </c:val>
        </c:ser>
        <c:ser>
          <c:idx val="1"/>
          <c:order val="1"/>
          <c:tx>
            <c:strRef>
              <c:f>'CAPEX Schedule'!$A$29</c:f>
              <c:strCache>
                <c:ptCount val="1"/>
                <c:pt idx="0">
                  <c:v>Firefighting Equipment</c:v>
                </c:pt>
              </c:strCache>
            </c:strRef>
          </c:tx>
          <c:spPr>
            <a:solidFill>
              <a:schemeClr val="accent1"/>
            </a:solidFill>
            <a:ln>
              <a:noFill/>
            </a:ln>
            <a:effectLst/>
          </c:spPr>
          <c:invertIfNegative val="0"/>
          <c:cat>
            <c:numRef>
              <c:f>'CAPEX Schedule'!$B$27:$U$27</c:f>
              <c:numCache>
                <c:formatCode>General</c:formatCode>
                <c:ptCount val="20"/>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numCache>
            </c:numRef>
          </c:cat>
          <c:val>
            <c:numRef>
              <c:f>'CAPEX Schedule'!$B$29:$U$29</c:f>
              <c:numCache>
                <c:formatCode>_-* #,##0_-;\-* #,##0_-;_-* "-"??_-;_-@_-</c:formatCode>
                <c:ptCount val="20"/>
                <c:pt idx="0">
                  <c:v>0</c:v>
                </c:pt>
                <c:pt idx="1">
                  <c:v>0</c:v>
                </c:pt>
                <c:pt idx="2">
                  <c:v>0</c:v>
                </c:pt>
                <c:pt idx="3">
                  <c:v>0</c:v>
                </c:pt>
                <c:pt idx="4">
                  <c:v>0</c:v>
                </c:pt>
                <c:pt idx="5">
                  <c:v>10000000</c:v>
                </c:pt>
                <c:pt idx="6">
                  <c:v>0</c:v>
                </c:pt>
                <c:pt idx="7">
                  <c:v>0</c:v>
                </c:pt>
                <c:pt idx="8">
                  <c:v>0</c:v>
                </c:pt>
                <c:pt idx="9">
                  <c:v>0</c:v>
                </c:pt>
                <c:pt idx="10">
                  <c:v>10000000</c:v>
                </c:pt>
                <c:pt idx="11">
                  <c:v>0</c:v>
                </c:pt>
                <c:pt idx="12">
                  <c:v>0</c:v>
                </c:pt>
                <c:pt idx="13">
                  <c:v>0</c:v>
                </c:pt>
                <c:pt idx="14">
                  <c:v>0</c:v>
                </c:pt>
                <c:pt idx="15">
                  <c:v>10000000</c:v>
                </c:pt>
                <c:pt idx="16">
                  <c:v>0</c:v>
                </c:pt>
                <c:pt idx="17">
                  <c:v>0</c:v>
                </c:pt>
                <c:pt idx="18">
                  <c:v>0</c:v>
                </c:pt>
                <c:pt idx="19">
                  <c:v>0</c:v>
                </c:pt>
              </c:numCache>
            </c:numRef>
          </c:val>
        </c:ser>
        <c:ser>
          <c:idx val="2"/>
          <c:order val="2"/>
          <c:tx>
            <c:strRef>
              <c:f>'CAPEX Schedule'!$A$30</c:f>
              <c:strCache>
                <c:ptCount val="1"/>
                <c:pt idx="0">
                  <c:v>Flooring and Dock Levelers</c:v>
                </c:pt>
              </c:strCache>
            </c:strRef>
          </c:tx>
          <c:spPr>
            <a:solidFill>
              <a:schemeClr val="accent1">
                <a:tint val="65000"/>
              </a:schemeClr>
            </a:solidFill>
            <a:ln>
              <a:noFill/>
            </a:ln>
            <a:effectLst/>
          </c:spPr>
          <c:invertIfNegative val="0"/>
          <c:cat>
            <c:numRef>
              <c:f>'CAPEX Schedule'!$B$27:$U$27</c:f>
              <c:numCache>
                <c:formatCode>General</c:formatCode>
                <c:ptCount val="20"/>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numCache>
            </c:numRef>
          </c:cat>
          <c:val>
            <c:numRef>
              <c:f>'CAPEX Schedule'!$B$30:$U$30</c:f>
              <c:numCache>
                <c:formatCode>_-* #,##0_-;\-* #,##0_-;_-* "-"??_-;_-@_-</c:formatCode>
                <c:ptCount val="20"/>
                <c:pt idx="0">
                  <c:v>0</c:v>
                </c:pt>
                <c:pt idx="1">
                  <c:v>0</c:v>
                </c:pt>
                <c:pt idx="2">
                  <c:v>0</c:v>
                </c:pt>
                <c:pt idx="3">
                  <c:v>0</c:v>
                </c:pt>
                <c:pt idx="4">
                  <c:v>0</c:v>
                </c:pt>
                <c:pt idx="5">
                  <c:v>10000000</c:v>
                </c:pt>
                <c:pt idx="6">
                  <c:v>0</c:v>
                </c:pt>
                <c:pt idx="7">
                  <c:v>0</c:v>
                </c:pt>
                <c:pt idx="8">
                  <c:v>0</c:v>
                </c:pt>
                <c:pt idx="9">
                  <c:v>0</c:v>
                </c:pt>
                <c:pt idx="10">
                  <c:v>10000000</c:v>
                </c:pt>
                <c:pt idx="11">
                  <c:v>0</c:v>
                </c:pt>
                <c:pt idx="12">
                  <c:v>0</c:v>
                </c:pt>
                <c:pt idx="13">
                  <c:v>0</c:v>
                </c:pt>
                <c:pt idx="14">
                  <c:v>0</c:v>
                </c:pt>
                <c:pt idx="15">
                  <c:v>10000000</c:v>
                </c:pt>
                <c:pt idx="16">
                  <c:v>0</c:v>
                </c:pt>
                <c:pt idx="17">
                  <c:v>0</c:v>
                </c:pt>
                <c:pt idx="18">
                  <c:v>0</c:v>
                </c:pt>
                <c:pt idx="19">
                  <c:v>0</c:v>
                </c:pt>
              </c:numCache>
            </c:numRef>
          </c:val>
        </c:ser>
        <c:dLbls>
          <c:showLegendKey val="0"/>
          <c:showVal val="0"/>
          <c:showCatName val="0"/>
          <c:showSerName val="0"/>
          <c:showPercent val="0"/>
          <c:showBubbleSize val="0"/>
        </c:dLbls>
        <c:gapWidth val="0"/>
        <c:overlap val="-15"/>
        <c:axId val="1108662192"/>
        <c:axId val="1109622256"/>
      </c:barChart>
      <c:catAx>
        <c:axId val="110866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1109622256"/>
        <c:crosses val="autoZero"/>
        <c:auto val="1"/>
        <c:lblAlgn val="ctr"/>
        <c:lblOffset val="100"/>
        <c:noMultiLvlLbl val="0"/>
      </c:catAx>
      <c:valAx>
        <c:axId val="110962225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1108662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anose="020B0604020202020204" pitchFamily="34" charset="0"/>
          <a:cs typeface="Helvetica" panose="020B0604020202020204" pitchFamily="34"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areaChart>
        <c:grouping val="standard"/>
        <c:varyColors val="0"/>
        <c:ser>
          <c:idx val="0"/>
          <c:order val="0"/>
          <c:tx>
            <c:v>Capital Works</c:v>
          </c:tx>
          <c:val>
            <c:numRef>
              <c:f>'Cash Flow'!$AA$13:$IH$13</c:f>
              <c:numCache>
                <c:formatCode>#,##0;[Red]\(#,##0\)</c:formatCode>
                <c:ptCount val="2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10000000</c:v>
                </c:pt>
                <c:pt idx="37">
                  <c:v>0</c:v>
                </c:pt>
                <c:pt idx="38">
                  <c:v>0</c:v>
                </c:pt>
                <c:pt idx="39">
                  <c:v>6000000</c:v>
                </c:pt>
                <c:pt idx="40">
                  <c:v>0</c:v>
                </c:pt>
                <c:pt idx="41">
                  <c:v>0</c:v>
                </c:pt>
                <c:pt idx="42">
                  <c:v>4000000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15000000</c:v>
                </c:pt>
                <c:pt idx="97">
                  <c:v>0</c:v>
                </c:pt>
                <c:pt idx="98">
                  <c:v>0</c:v>
                </c:pt>
                <c:pt idx="99">
                  <c:v>11000000</c:v>
                </c:pt>
                <c:pt idx="100">
                  <c:v>0</c:v>
                </c:pt>
                <c:pt idx="101">
                  <c:v>0</c:v>
                </c:pt>
                <c:pt idx="102">
                  <c:v>9000000</c:v>
                </c:pt>
                <c:pt idx="103">
                  <c:v>0</c:v>
                </c:pt>
                <c:pt idx="104">
                  <c:v>0</c:v>
                </c:pt>
                <c:pt idx="105">
                  <c:v>0</c:v>
                </c:pt>
                <c:pt idx="106">
                  <c:v>0</c:v>
                </c:pt>
                <c:pt idx="107">
                  <c:v>0</c:v>
                </c:pt>
                <c:pt idx="108">
                  <c:v>0</c:v>
                </c:pt>
                <c:pt idx="109">
                  <c:v>0</c:v>
                </c:pt>
                <c:pt idx="110">
                  <c:v>0</c:v>
                </c:pt>
                <c:pt idx="111">
                  <c:v>0</c:v>
                </c:pt>
                <c:pt idx="112">
                  <c:v>0</c:v>
                </c:pt>
                <c:pt idx="113">
                  <c:v>0</c:v>
                </c:pt>
                <c:pt idx="114">
                  <c:v>5000000</c:v>
                </c:pt>
                <c:pt idx="115">
                  <c:v>0</c:v>
                </c:pt>
                <c:pt idx="116">
                  <c:v>0</c:v>
                </c:pt>
                <c:pt idx="117">
                  <c:v>0</c:v>
                </c:pt>
                <c:pt idx="118">
                  <c:v>0</c:v>
                </c:pt>
                <c:pt idx="119">
                  <c:v>10000000</c:v>
                </c:pt>
                <c:pt idx="120">
                  <c:v>0</c:v>
                </c:pt>
                <c:pt idx="121">
                  <c:v>0</c:v>
                </c:pt>
                <c:pt idx="122">
                  <c:v>0</c:v>
                </c:pt>
                <c:pt idx="123">
                  <c:v>0</c:v>
                </c:pt>
                <c:pt idx="124">
                  <c:v>0</c:v>
                </c:pt>
                <c:pt idx="125">
                  <c:v>0</c:v>
                </c:pt>
                <c:pt idx="126">
                  <c:v>0</c:v>
                </c:pt>
                <c:pt idx="127">
                  <c:v>0</c:v>
                </c:pt>
                <c:pt idx="128">
                  <c:v>0</c:v>
                </c:pt>
                <c:pt idx="129">
                  <c:v>5000000</c:v>
                </c:pt>
                <c:pt idx="130">
                  <c:v>0</c:v>
                </c:pt>
                <c:pt idx="131">
                  <c:v>0</c:v>
                </c:pt>
                <c:pt idx="132">
                  <c:v>0</c:v>
                </c:pt>
                <c:pt idx="133">
                  <c:v>0</c:v>
                </c:pt>
                <c:pt idx="134">
                  <c:v>0</c:v>
                </c:pt>
                <c:pt idx="135">
                  <c:v>0</c:v>
                </c:pt>
                <c:pt idx="136">
                  <c:v>0</c:v>
                </c:pt>
                <c:pt idx="137">
                  <c:v>10000000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10000000</c:v>
                </c:pt>
                <c:pt idx="157">
                  <c:v>0</c:v>
                </c:pt>
                <c:pt idx="158">
                  <c:v>0</c:v>
                </c:pt>
                <c:pt idx="159">
                  <c:v>11000000</c:v>
                </c:pt>
                <c:pt idx="160">
                  <c:v>0</c:v>
                </c:pt>
                <c:pt idx="161">
                  <c:v>0</c:v>
                </c:pt>
                <c:pt idx="162">
                  <c:v>25569760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numCache>
            </c:numRef>
          </c:val>
        </c:ser>
        <c:dLbls>
          <c:showLegendKey val="0"/>
          <c:showVal val="0"/>
          <c:showCatName val="0"/>
          <c:showSerName val="0"/>
          <c:showPercent val="0"/>
          <c:showBubbleSize val="0"/>
        </c:dLbls>
        <c:axId val="1109631504"/>
        <c:axId val="1109618992"/>
      </c:areaChart>
      <c:catAx>
        <c:axId val="1109631504"/>
        <c:scaling>
          <c:orientation val="minMax"/>
        </c:scaling>
        <c:delete val="1"/>
        <c:axPos val="b"/>
        <c:majorTickMark val="out"/>
        <c:minorTickMark val="none"/>
        <c:tickLblPos val="nextTo"/>
        <c:crossAx val="1109618992"/>
        <c:crosses val="autoZero"/>
        <c:auto val="1"/>
        <c:lblAlgn val="ctr"/>
        <c:lblOffset val="100"/>
        <c:noMultiLvlLbl val="0"/>
      </c:catAx>
      <c:valAx>
        <c:axId val="1109618992"/>
        <c:scaling>
          <c:orientation val="minMax"/>
        </c:scaling>
        <c:delete val="0"/>
        <c:axPos val="l"/>
        <c:majorGridlines/>
        <c:numFmt formatCode="#,##0;[Red]\(#,##0\)" sourceLinked="1"/>
        <c:majorTickMark val="out"/>
        <c:minorTickMark val="none"/>
        <c:tickLblPos val="nextTo"/>
        <c:crossAx val="1109631504"/>
        <c:crosses val="autoZero"/>
        <c:crossBetween val="midCat"/>
        <c:dispUnits>
          <c:builtInUnit val="thousands"/>
          <c:dispUnitsLbl/>
        </c:dispUnits>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'Rental Rate and Capacity'!$A$1</c:f>
              <c:strCache>
                <c:ptCount val="1"/>
                <c:pt idx="0">
                  <c:v>Projected Rental</c:v>
                </c:pt>
              </c:strCache>
            </c:strRef>
          </c:tx>
          <c:invertIfNegative val="0"/>
          <c:val>
            <c:numRef>
              <c:f>'Rental Rate and Capacity'!$C$1:$V$1</c:f>
              <c:numCache>
                <c:formatCode>General</c:formatCode>
                <c:ptCount val="20"/>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numCache>
            </c:numRef>
          </c:val>
        </c:ser>
        <c:ser>
          <c:idx val="1"/>
          <c:order val="1"/>
          <c:tx>
            <c:strRef>
              <c:f>'Rental Rate and Capacity'!$A$41</c:f>
              <c:strCache>
                <c:ptCount val="1"/>
                <c:pt idx="0">
                  <c:v>DRY</c:v>
                </c:pt>
              </c:strCache>
            </c:strRef>
          </c:tx>
          <c:invertIfNegative val="0"/>
          <c:val>
            <c:numRef>
              <c:f>'Rental Rate and Capacity'!$C$41:$V$41</c:f>
              <c:numCache>
                <c:formatCode>_(* #,##0_);_(* \(#,##0\);_(* "-"??_);_(@_)</c:formatCode>
                <c:ptCount val="20"/>
                <c:pt idx="0">
                  <c:v>0</c:v>
                </c:pt>
                <c:pt idx="1">
                  <c:v>0</c:v>
                </c:pt>
                <c:pt idx="2">
                  <c:v>19334.232792000003</c:v>
                </c:pt>
                <c:pt idx="3">
                  <c:v>32223.721320000004</c:v>
                </c:pt>
                <c:pt idx="4">
                  <c:v>47368.870340400004</c:v>
                </c:pt>
                <c:pt idx="5">
                  <c:v>57519.342556200012</c:v>
                </c:pt>
                <c:pt idx="6">
                  <c:v>60258.358868400013</c:v>
                </c:pt>
                <c:pt idx="7">
                  <c:v>60258.358868400013</c:v>
                </c:pt>
                <c:pt idx="8">
                  <c:v>62997.375180600015</c:v>
                </c:pt>
                <c:pt idx="9">
                  <c:v>62997.375180600015</c:v>
                </c:pt>
                <c:pt idx="10">
                  <c:v>65736.391492800001</c:v>
                </c:pt>
                <c:pt idx="11">
                  <c:v>65736.391492800001</c:v>
                </c:pt>
                <c:pt idx="12">
                  <c:v>68475.407805000024</c:v>
                </c:pt>
                <c:pt idx="13">
                  <c:v>68475.407805000024</c:v>
                </c:pt>
                <c:pt idx="14">
                  <c:v>71214.424117200033</c:v>
                </c:pt>
                <c:pt idx="15">
                  <c:v>71214.424117200033</c:v>
                </c:pt>
                <c:pt idx="16">
                  <c:v>73953.440429400027</c:v>
                </c:pt>
                <c:pt idx="17">
                  <c:v>73953.440429400027</c:v>
                </c:pt>
                <c:pt idx="18">
                  <c:v>76692.456741600035</c:v>
                </c:pt>
                <c:pt idx="19">
                  <c:v>76692.456741600035</c:v>
                </c:pt>
              </c:numCache>
            </c:numRef>
          </c:val>
        </c:ser>
        <c:ser>
          <c:idx val="2"/>
          <c:order val="2"/>
          <c:tx>
            <c:strRef>
              <c:f>'Rental Rate and Capacity'!$A$42</c:f>
              <c:strCache>
                <c:ptCount val="1"/>
                <c:pt idx="0">
                  <c:v>AC</c:v>
                </c:pt>
              </c:strCache>
            </c:strRef>
          </c:tx>
          <c:invertIfNegative val="0"/>
          <c:val>
            <c:numRef>
              <c:f>'Rental Rate and Capacity'!$C$42:$V$42</c:f>
              <c:numCache>
                <c:formatCode>_(* #,##0_);_(* \(#,##0\);_(* "-"??_);_(@_)</c:formatCode>
                <c:ptCount val="20"/>
                <c:pt idx="0">
                  <c:v>0</c:v>
                </c:pt>
                <c:pt idx="1">
                  <c:v>0</c:v>
                </c:pt>
                <c:pt idx="2">
                  <c:v>13772.330208000001</c:v>
                </c:pt>
                <c:pt idx="3">
                  <c:v>22953.883680000003</c:v>
                </c:pt>
                <c:pt idx="4">
                  <c:v>33742.209009600003</c:v>
                </c:pt>
                <c:pt idx="5">
                  <c:v>40972.6823688</c:v>
                </c:pt>
                <c:pt idx="6">
                  <c:v>42923.762481599995</c:v>
                </c:pt>
                <c:pt idx="7">
                  <c:v>42923.762481599995</c:v>
                </c:pt>
                <c:pt idx="8">
                  <c:v>44874.842594400012</c:v>
                </c:pt>
                <c:pt idx="9">
                  <c:v>44874.842594400012</c:v>
                </c:pt>
                <c:pt idx="10">
                  <c:v>46825.922707200014</c:v>
                </c:pt>
                <c:pt idx="11">
                  <c:v>46825.922707200014</c:v>
                </c:pt>
                <c:pt idx="12">
                  <c:v>48777.002820000016</c:v>
                </c:pt>
                <c:pt idx="13">
                  <c:v>48777.002820000016</c:v>
                </c:pt>
                <c:pt idx="14">
                  <c:v>50728.082932800018</c:v>
                </c:pt>
                <c:pt idx="15">
                  <c:v>50728.082932800018</c:v>
                </c:pt>
                <c:pt idx="16">
                  <c:v>52679.163045600013</c:v>
                </c:pt>
                <c:pt idx="17">
                  <c:v>52679.163045600013</c:v>
                </c:pt>
                <c:pt idx="18">
                  <c:v>54630.24315840003</c:v>
                </c:pt>
                <c:pt idx="19">
                  <c:v>54630.24315840003</c:v>
                </c:pt>
              </c:numCache>
            </c:numRef>
          </c:val>
        </c:ser>
        <c:ser>
          <c:idx val="3"/>
          <c:order val="3"/>
          <c:tx>
            <c:strRef>
              <c:f>'Rental Rate and Capacity'!$A$43</c:f>
              <c:strCache>
                <c:ptCount val="1"/>
                <c:pt idx="0">
                  <c:v>CHILLED</c:v>
                </c:pt>
              </c:strCache>
            </c:strRef>
          </c:tx>
          <c:invertIfNegative val="0"/>
          <c:val>
            <c:numRef>
              <c:f>'Rental Rate and Capacity'!$C$43:$V$43</c:f>
              <c:numCache>
                <c:formatCode>_(* #,##0_);_(* \(#,##0\);_(* "-"??_);_(@_)</c:formatCode>
                <c:ptCount val="20"/>
                <c:pt idx="0">
                  <c:v>0</c:v>
                </c:pt>
                <c:pt idx="1">
                  <c:v>0</c:v>
                </c:pt>
                <c:pt idx="2">
                  <c:v>9988.723007999999</c:v>
                </c:pt>
                <c:pt idx="3">
                  <c:v>16647.87168</c:v>
                </c:pt>
                <c:pt idx="4">
                  <c:v>24472.371369600001</c:v>
                </c:pt>
                <c:pt idx="5">
                  <c:v>29716.4509488</c:v>
                </c:pt>
                <c:pt idx="6">
                  <c:v>31131.520041600004</c:v>
                </c:pt>
                <c:pt idx="7">
                  <c:v>31131.520041600004</c:v>
                </c:pt>
                <c:pt idx="8">
                  <c:v>32546.589134400012</c:v>
                </c:pt>
                <c:pt idx="9">
                  <c:v>32546.589134400012</c:v>
                </c:pt>
                <c:pt idx="10">
                  <c:v>33961.658227200009</c:v>
                </c:pt>
                <c:pt idx="11">
                  <c:v>33961.658227200009</c:v>
                </c:pt>
                <c:pt idx="12">
                  <c:v>35376.727320000013</c:v>
                </c:pt>
                <c:pt idx="13">
                  <c:v>35376.727320000013</c:v>
                </c:pt>
                <c:pt idx="14">
                  <c:v>36791.796412800009</c:v>
                </c:pt>
                <c:pt idx="15">
                  <c:v>36791.796412800009</c:v>
                </c:pt>
                <c:pt idx="16">
                  <c:v>38206.865505600006</c:v>
                </c:pt>
                <c:pt idx="17">
                  <c:v>38206.865505600006</c:v>
                </c:pt>
                <c:pt idx="18">
                  <c:v>39621.934598400017</c:v>
                </c:pt>
                <c:pt idx="19">
                  <c:v>39621.934598400017</c:v>
                </c:pt>
              </c:numCache>
            </c:numRef>
          </c:val>
        </c:ser>
        <c:ser>
          <c:idx val="4"/>
          <c:order val="4"/>
          <c:tx>
            <c:strRef>
              <c:f>'Rental Rate and Capacity'!$A$44</c:f>
              <c:strCache>
                <c:ptCount val="1"/>
                <c:pt idx="0">
                  <c:v>FROZEN</c:v>
                </c:pt>
              </c:strCache>
            </c:strRef>
          </c:tx>
          <c:invertIfNegative val="0"/>
          <c:val>
            <c:numRef>
              <c:f>'Rental Rate and Capacity'!$C$44:$V$44</c:f>
              <c:numCache>
                <c:formatCode>_(* #,##0_);_(* \(#,##0\);_(* "-"??_);_(@_)</c:formatCode>
                <c:ptCount val="20"/>
                <c:pt idx="0">
                  <c:v>0</c:v>
                </c:pt>
                <c:pt idx="1">
                  <c:v>0</c:v>
                </c:pt>
                <c:pt idx="2">
                  <c:v>4540.3286400000006</c:v>
                </c:pt>
                <c:pt idx="3">
                  <c:v>7567.2144000000008</c:v>
                </c:pt>
                <c:pt idx="4">
                  <c:v>11123.805168000001</c:v>
                </c:pt>
                <c:pt idx="5">
                  <c:v>13507.477704000001</c:v>
                </c:pt>
                <c:pt idx="6">
                  <c:v>14150.690928</c:v>
                </c:pt>
                <c:pt idx="7">
                  <c:v>14150.690928</c:v>
                </c:pt>
                <c:pt idx="8">
                  <c:v>14793.904152000005</c:v>
                </c:pt>
                <c:pt idx="9">
                  <c:v>14793.904152000005</c:v>
                </c:pt>
                <c:pt idx="10">
                  <c:v>15437.117376000002</c:v>
                </c:pt>
                <c:pt idx="11">
                  <c:v>15437.117376000002</c:v>
                </c:pt>
                <c:pt idx="12">
                  <c:v>16080.330600000007</c:v>
                </c:pt>
                <c:pt idx="13">
                  <c:v>16080.330600000007</c:v>
                </c:pt>
                <c:pt idx="14">
                  <c:v>16723.543824000004</c:v>
                </c:pt>
                <c:pt idx="15">
                  <c:v>16723.543824000004</c:v>
                </c:pt>
                <c:pt idx="16">
                  <c:v>17366.757048000003</c:v>
                </c:pt>
                <c:pt idx="17">
                  <c:v>17366.757048000003</c:v>
                </c:pt>
                <c:pt idx="18">
                  <c:v>18009.970272000006</c:v>
                </c:pt>
                <c:pt idx="19">
                  <c:v>18009.970272000006</c:v>
                </c:pt>
              </c:numCache>
            </c:numRef>
          </c:val>
        </c:ser>
        <c:ser>
          <c:idx val="5"/>
          <c:order val="5"/>
          <c:tx>
            <c:strRef>
              <c:f>'Rental Rate and Capacity'!$A$45</c:f>
              <c:strCache>
                <c:ptCount val="1"/>
                <c:pt idx="0">
                  <c:v>DRY - M</c:v>
                </c:pt>
              </c:strCache>
            </c:strRef>
          </c:tx>
          <c:invertIfNegative val="0"/>
          <c:val>
            <c:numRef>
              <c:f>'Rental Rate and Capacity'!$C$45:$V$45</c:f>
            </c:numRef>
          </c:val>
        </c:ser>
        <c:ser>
          <c:idx val="6"/>
          <c:order val="6"/>
          <c:tx>
            <c:strRef>
              <c:f>'Rental Rate and Capacity'!$A$46</c:f>
              <c:strCache>
                <c:ptCount val="1"/>
                <c:pt idx="0">
                  <c:v>AC - M</c:v>
                </c:pt>
              </c:strCache>
            </c:strRef>
          </c:tx>
          <c:invertIfNegative val="0"/>
          <c:val>
            <c:numRef>
              <c:f>'Rental Rate and Capacity'!$C$46:$V$46</c:f>
            </c:numRef>
          </c:val>
        </c:ser>
        <c:ser>
          <c:idx val="7"/>
          <c:order val="7"/>
          <c:tx>
            <c:strRef>
              <c:f>'Rental Rate and Capacity'!$A$47</c:f>
              <c:strCache>
                <c:ptCount val="1"/>
                <c:pt idx="0">
                  <c:v>CHILLED - M</c:v>
                </c:pt>
              </c:strCache>
            </c:strRef>
          </c:tx>
          <c:invertIfNegative val="0"/>
          <c:val>
            <c:numRef>
              <c:f>'Rental Rate and Capacity'!$C$47:$V$47</c:f>
            </c:numRef>
          </c:val>
        </c:ser>
        <c:ser>
          <c:idx val="8"/>
          <c:order val="8"/>
          <c:tx>
            <c:strRef>
              <c:f>'Rental Rate and Capacity'!$A$48</c:f>
              <c:strCache>
                <c:ptCount val="1"/>
                <c:pt idx="0">
                  <c:v>FROZEN - M</c:v>
                </c:pt>
              </c:strCache>
            </c:strRef>
          </c:tx>
          <c:invertIfNegative val="0"/>
          <c:val>
            <c:numRef>
              <c:f>'Rental Rate and Capacity'!$C$48:$V$48</c:f>
            </c:numRef>
          </c:val>
        </c:ser>
        <c:ser>
          <c:idx val="9"/>
          <c:order val="9"/>
          <c:tx>
            <c:strRef>
              <c:f>'Rental Rate and Capacity'!$A$49</c:f>
              <c:strCache>
                <c:ptCount val="1"/>
                <c:pt idx="0">
                  <c:v>Dedicated Warehouses</c:v>
                </c:pt>
              </c:strCache>
            </c:strRef>
          </c:tx>
          <c:invertIfNegative val="0"/>
          <c:val>
            <c:numRef>
              <c:f>'Rental Rate and Capacity'!$C$49:$V$49</c:f>
              <c:numCache>
                <c:formatCode>_(* #,##0_);_(* \(#,##0\);_(* "-"??_);_(@_)</c:formatCode>
                <c:ptCount val="20"/>
                <c:pt idx="0">
                  <c:v>0</c:v>
                </c:pt>
                <c:pt idx="1">
                  <c:v>0</c:v>
                </c:pt>
                <c:pt idx="2">
                  <c:v>3087</c:v>
                </c:pt>
                <c:pt idx="3">
                  <c:v>5145</c:v>
                </c:pt>
                <c:pt idx="4">
                  <c:v>7563.15</c:v>
                </c:pt>
                <c:pt idx="5">
                  <c:v>9183.8249999999989</c:v>
                </c:pt>
                <c:pt idx="6">
                  <c:v>9621.15</c:v>
                </c:pt>
                <c:pt idx="7">
                  <c:v>9621.15</c:v>
                </c:pt>
                <c:pt idx="8">
                  <c:v>10058.475000000002</c:v>
                </c:pt>
                <c:pt idx="9">
                  <c:v>10058.475000000002</c:v>
                </c:pt>
                <c:pt idx="10">
                  <c:v>10495.800000000001</c:v>
                </c:pt>
                <c:pt idx="11">
                  <c:v>10495.800000000001</c:v>
                </c:pt>
                <c:pt idx="12">
                  <c:v>10933.125000000004</c:v>
                </c:pt>
                <c:pt idx="13">
                  <c:v>10933.125000000004</c:v>
                </c:pt>
                <c:pt idx="14">
                  <c:v>11370.450000000003</c:v>
                </c:pt>
                <c:pt idx="15">
                  <c:v>11370.450000000003</c:v>
                </c:pt>
                <c:pt idx="16">
                  <c:v>11807.775000000003</c:v>
                </c:pt>
                <c:pt idx="17">
                  <c:v>11807.775000000003</c:v>
                </c:pt>
                <c:pt idx="18">
                  <c:v>12245.100000000002</c:v>
                </c:pt>
                <c:pt idx="19">
                  <c:v>12245.100000000002</c:v>
                </c:pt>
              </c:numCache>
            </c:numRef>
          </c:val>
        </c:ser>
        <c:ser>
          <c:idx val="10"/>
          <c:order val="10"/>
          <c:tx>
            <c:strRef>
              <c:f>'Rental Rate and Capacity'!$A$50</c:f>
              <c:strCache>
                <c:ptCount val="1"/>
                <c:pt idx="0">
                  <c:v>Yard</c:v>
                </c:pt>
              </c:strCache>
            </c:strRef>
          </c:tx>
          <c:invertIfNegative val="0"/>
          <c:val>
            <c:numRef>
              <c:f>'Rental Rate and Capacity'!$C$50:$V$50</c:f>
              <c:numCache>
                <c:formatCode>_(* #,##0_);_(* \(#,##0\);_(* "-"??_);_(@_)</c:formatCode>
                <c:ptCount val="20"/>
                <c:pt idx="0">
                  <c:v>0</c:v>
                </c:pt>
                <c:pt idx="1">
                  <c:v>0</c:v>
                </c:pt>
                <c:pt idx="2">
                  <c:v>5888.2139999999999</c:v>
                </c:pt>
                <c:pt idx="3">
                  <c:v>9813.69</c:v>
                </c:pt>
                <c:pt idx="4">
                  <c:v>14426.124299999999</c:v>
                </c:pt>
                <c:pt idx="5">
                  <c:v>17517.43665</c:v>
                </c:pt>
                <c:pt idx="6">
                  <c:v>18351.600299999998</c:v>
                </c:pt>
                <c:pt idx="7">
                  <c:v>18351.600299999998</c:v>
                </c:pt>
                <c:pt idx="8">
                  <c:v>19185.763950000008</c:v>
                </c:pt>
                <c:pt idx="9">
                  <c:v>19185.763950000008</c:v>
                </c:pt>
                <c:pt idx="10">
                  <c:v>20019.927600000006</c:v>
                </c:pt>
                <c:pt idx="11">
                  <c:v>20019.927600000006</c:v>
                </c:pt>
                <c:pt idx="12">
                  <c:v>20854.091250000005</c:v>
                </c:pt>
                <c:pt idx="13">
                  <c:v>20854.091250000005</c:v>
                </c:pt>
                <c:pt idx="14">
                  <c:v>21688.254900000007</c:v>
                </c:pt>
                <c:pt idx="15">
                  <c:v>21688.254900000007</c:v>
                </c:pt>
                <c:pt idx="16">
                  <c:v>22522.418550000006</c:v>
                </c:pt>
                <c:pt idx="17">
                  <c:v>22522.418550000006</c:v>
                </c:pt>
                <c:pt idx="18">
                  <c:v>23356.582200000008</c:v>
                </c:pt>
                <c:pt idx="19">
                  <c:v>23356.582200000008</c:v>
                </c:pt>
              </c:numCache>
            </c:numRef>
          </c:val>
        </c:ser>
        <c:ser>
          <c:idx val="11"/>
          <c:order val="11"/>
          <c:tx>
            <c:strRef>
              <c:f>'Rental Rate and Capacity'!$A$51</c:f>
              <c:strCache>
                <c:ptCount val="1"/>
                <c:pt idx="0">
                  <c:v>Accommodation</c:v>
                </c:pt>
              </c:strCache>
            </c:strRef>
          </c:tx>
          <c:invertIfNegative val="0"/>
          <c:val>
            <c:numRef>
              <c:f>'Rental Rate and Capacity'!$C$51:$V$51</c:f>
              <c:numCache>
                <c:formatCode>_(* #,##0_);_(* \(#,##0\);_(* "-"??_);_(@_)</c:formatCode>
                <c:ptCount val="20"/>
                <c:pt idx="0">
                  <c:v>0</c:v>
                </c:pt>
                <c:pt idx="1">
                  <c:v>0</c:v>
                </c:pt>
                <c:pt idx="2">
                  <c:v>6462.72</c:v>
                </c:pt>
                <c:pt idx="3">
                  <c:v>10771.2</c:v>
                </c:pt>
                <c:pt idx="4">
                  <c:v>15833.663999999999</c:v>
                </c:pt>
                <c:pt idx="5">
                  <c:v>19226.592000000001</c:v>
                </c:pt>
                <c:pt idx="6">
                  <c:v>20142.144</c:v>
                </c:pt>
                <c:pt idx="7">
                  <c:v>20142.144</c:v>
                </c:pt>
                <c:pt idx="8">
                  <c:v>21057.696</c:v>
                </c:pt>
                <c:pt idx="9">
                  <c:v>21057.696</c:v>
                </c:pt>
                <c:pt idx="10">
                  <c:v>21973.248000000007</c:v>
                </c:pt>
                <c:pt idx="11">
                  <c:v>21973.248000000007</c:v>
                </c:pt>
                <c:pt idx="12">
                  <c:v>22888.800000000007</c:v>
                </c:pt>
                <c:pt idx="13">
                  <c:v>22888.800000000007</c:v>
                </c:pt>
                <c:pt idx="14">
                  <c:v>23804.352000000006</c:v>
                </c:pt>
                <c:pt idx="15">
                  <c:v>23804.352000000006</c:v>
                </c:pt>
                <c:pt idx="16">
                  <c:v>24719.904000000006</c:v>
                </c:pt>
                <c:pt idx="17">
                  <c:v>24719.904000000006</c:v>
                </c:pt>
                <c:pt idx="18">
                  <c:v>25635.456000000006</c:v>
                </c:pt>
                <c:pt idx="19">
                  <c:v>25635.456000000006</c:v>
                </c:pt>
              </c:numCache>
            </c:numRef>
          </c:val>
        </c:ser>
        <c:ser>
          <c:idx val="12"/>
          <c:order val="12"/>
          <c:tx>
            <c:strRef>
              <c:f>'Rental Rate and Capacity'!$A$52</c:f>
              <c:strCache>
                <c:ptCount val="1"/>
                <c:pt idx="0">
                  <c:v>Petrol Station</c:v>
                </c:pt>
              </c:strCache>
            </c:strRef>
          </c:tx>
          <c:invertIfNegative val="0"/>
          <c:val>
            <c:numRef>
              <c:f>'Rental Rate and Capacity'!$C$52:$V$52</c:f>
              <c:numCache>
                <c:formatCode>_(* #,##0_);_(* \(#,##0\);_(* "-"??_);_(@_)</c:formatCode>
                <c:ptCount val="20"/>
                <c:pt idx="0">
                  <c:v>0</c:v>
                </c:pt>
                <c:pt idx="1">
                  <c:v>0</c:v>
                </c:pt>
                <c:pt idx="2">
                  <c:v>1231.2</c:v>
                </c:pt>
                <c:pt idx="3">
                  <c:v>1231.2</c:v>
                </c:pt>
                <c:pt idx="4">
                  <c:v>1292.76</c:v>
                </c:pt>
                <c:pt idx="5">
                  <c:v>1292.76</c:v>
                </c:pt>
                <c:pt idx="6">
                  <c:v>1354.3200000000002</c:v>
                </c:pt>
                <c:pt idx="7">
                  <c:v>1354.3200000000002</c:v>
                </c:pt>
                <c:pt idx="8">
                  <c:v>1415.8800000000003</c:v>
                </c:pt>
                <c:pt idx="9">
                  <c:v>1415.8800000000003</c:v>
                </c:pt>
                <c:pt idx="10">
                  <c:v>1477.4400000000003</c:v>
                </c:pt>
                <c:pt idx="11">
                  <c:v>1477.4400000000003</c:v>
                </c:pt>
                <c:pt idx="12">
                  <c:v>1539.0000000000002</c:v>
                </c:pt>
                <c:pt idx="13">
                  <c:v>1539.0000000000002</c:v>
                </c:pt>
                <c:pt idx="14">
                  <c:v>1600.5600000000004</c:v>
                </c:pt>
                <c:pt idx="15">
                  <c:v>1600.5600000000004</c:v>
                </c:pt>
                <c:pt idx="16">
                  <c:v>1662.1200000000006</c:v>
                </c:pt>
                <c:pt idx="17">
                  <c:v>1662.1200000000006</c:v>
                </c:pt>
                <c:pt idx="18">
                  <c:v>1723.6800000000005</c:v>
                </c:pt>
                <c:pt idx="19">
                  <c:v>1723.6800000000005</c:v>
                </c:pt>
              </c:numCache>
            </c:numRef>
          </c:val>
        </c:ser>
        <c:ser>
          <c:idx val="13"/>
          <c:order val="13"/>
          <c:tx>
            <c:strRef>
              <c:f>'Rental Rate and Capacity'!$A$53</c:f>
              <c:strCache>
                <c:ptCount val="1"/>
                <c:pt idx="0">
                  <c:v>Vehicle Maintenance</c:v>
                </c:pt>
              </c:strCache>
            </c:strRef>
          </c:tx>
          <c:invertIfNegative val="0"/>
          <c:val>
            <c:numRef>
              <c:f>'Rental Rate and Capacity'!$C$53:$V$53</c:f>
              <c:numCache>
                <c:formatCode>_(* #,##0_);_(* \(#,##0\);_(* "-"??_);_(@_)</c:formatCode>
                <c:ptCount val="20"/>
                <c:pt idx="0">
                  <c:v>0</c:v>
                </c:pt>
                <c:pt idx="1">
                  <c:v>0</c:v>
                </c:pt>
                <c:pt idx="2">
                  <c:v>1328.7736216216217</c:v>
                </c:pt>
                <c:pt idx="3">
                  <c:v>2214.622702702703</c:v>
                </c:pt>
                <c:pt idx="4">
                  <c:v>3255.4953729729732</c:v>
                </c:pt>
                <c:pt idx="5">
                  <c:v>3953.1015243243246</c:v>
                </c:pt>
                <c:pt idx="6">
                  <c:v>4141.3444540540549</c:v>
                </c:pt>
                <c:pt idx="7">
                  <c:v>4141.3444540540549</c:v>
                </c:pt>
                <c:pt idx="8">
                  <c:v>4329.5873837837844</c:v>
                </c:pt>
                <c:pt idx="9">
                  <c:v>4329.5873837837844</c:v>
                </c:pt>
                <c:pt idx="10">
                  <c:v>4517.8303135135147</c:v>
                </c:pt>
                <c:pt idx="11">
                  <c:v>4517.8303135135147</c:v>
                </c:pt>
                <c:pt idx="12">
                  <c:v>4706.0732432432442</c:v>
                </c:pt>
                <c:pt idx="13">
                  <c:v>4706.0732432432442</c:v>
                </c:pt>
                <c:pt idx="14">
                  <c:v>4894.3161729729736</c:v>
                </c:pt>
                <c:pt idx="15">
                  <c:v>4894.3161729729736</c:v>
                </c:pt>
                <c:pt idx="16">
                  <c:v>5082.559102702704</c:v>
                </c:pt>
                <c:pt idx="17">
                  <c:v>5082.559102702704</c:v>
                </c:pt>
                <c:pt idx="18">
                  <c:v>5270.8020324324334</c:v>
                </c:pt>
                <c:pt idx="19">
                  <c:v>5270.8020324324334</c:v>
                </c:pt>
              </c:numCache>
            </c:numRef>
          </c:val>
        </c:ser>
        <c:ser>
          <c:idx val="14"/>
          <c:order val="14"/>
          <c:tx>
            <c:strRef>
              <c:f>'Rental Rate and Capacity'!$A$54</c:f>
              <c:strCache>
                <c:ptCount val="1"/>
                <c:pt idx="0">
                  <c:v>Commercial</c:v>
                </c:pt>
              </c:strCache>
            </c:strRef>
          </c:tx>
          <c:invertIfNegative val="0"/>
          <c:val>
            <c:numRef>
              <c:f>'Rental Rate and Capacity'!$C$54:$V$54</c:f>
              <c:numCache>
                <c:formatCode>_(* #,##0_);_(* \(#,##0\);_(* "-"??_);_(@_)</c:formatCode>
                <c:ptCount val="20"/>
                <c:pt idx="0">
                  <c:v>0</c:v>
                </c:pt>
                <c:pt idx="1">
                  <c:v>0</c:v>
                </c:pt>
                <c:pt idx="2">
                  <c:v>2721.6</c:v>
                </c:pt>
                <c:pt idx="3">
                  <c:v>4536</c:v>
                </c:pt>
                <c:pt idx="4">
                  <c:v>6667.92</c:v>
                </c:pt>
                <c:pt idx="5">
                  <c:v>8096.76</c:v>
                </c:pt>
                <c:pt idx="6">
                  <c:v>8482.32</c:v>
                </c:pt>
                <c:pt idx="7">
                  <c:v>8482.32</c:v>
                </c:pt>
                <c:pt idx="8">
                  <c:v>8867.880000000001</c:v>
                </c:pt>
                <c:pt idx="9">
                  <c:v>8867.880000000001</c:v>
                </c:pt>
                <c:pt idx="10">
                  <c:v>9253.44</c:v>
                </c:pt>
                <c:pt idx="11">
                  <c:v>9253.44</c:v>
                </c:pt>
                <c:pt idx="12">
                  <c:v>9639.0000000000018</c:v>
                </c:pt>
                <c:pt idx="13">
                  <c:v>9639.0000000000018</c:v>
                </c:pt>
                <c:pt idx="14">
                  <c:v>10024.560000000001</c:v>
                </c:pt>
                <c:pt idx="15">
                  <c:v>10024.560000000001</c:v>
                </c:pt>
                <c:pt idx="16">
                  <c:v>10410.120000000003</c:v>
                </c:pt>
                <c:pt idx="17">
                  <c:v>10410.120000000003</c:v>
                </c:pt>
                <c:pt idx="18">
                  <c:v>10795.680000000002</c:v>
                </c:pt>
                <c:pt idx="19">
                  <c:v>10795.680000000002</c:v>
                </c:pt>
              </c:numCache>
            </c:numRef>
          </c:val>
        </c:ser>
        <c:dLbls>
          <c:showLegendKey val="0"/>
          <c:showVal val="0"/>
          <c:showCatName val="0"/>
          <c:showSerName val="0"/>
          <c:showPercent val="0"/>
          <c:showBubbleSize val="0"/>
        </c:dLbls>
        <c:gapWidth val="150"/>
        <c:overlap val="100"/>
        <c:axId val="1109621712"/>
        <c:axId val="1109629872"/>
      </c:barChart>
      <c:catAx>
        <c:axId val="1109621712"/>
        <c:scaling>
          <c:orientation val="minMax"/>
        </c:scaling>
        <c:delete val="0"/>
        <c:axPos val="b"/>
        <c:majorTickMark val="out"/>
        <c:minorTickMark val="none"/>
        <c:tickLblPos val="nextTo"/>
        <c:crossAx val="1109629872"/>
        <c:crosses val="autoZero"/>
        <c:auto val="1"/>
        <c:lblAlgn val="ctr"/>
        <c:lblOffset val="100"/>
        <c:noMultiLvlLbl val="0"/>
      </c:catAx>
      <c:valAx>
        <c:axId val="1109629872"/>
        <c:scaling>
          <c:orientation val="minMax"/>
        </c:scaling>
        <c:delete val="0"/>
        <c:axPos val="l"/>
        <c:majorGridlines/>
        <c:numFmt formatCode="#,##0" sourceLinked="0"/>
        <c:majorTickMark val="out"/>
        <c:minorTickMark val="none"/>
        <c:tickLblPos val="nextTo"/>
        <c:crossAx val="110962171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latin typeface="Helvetica" panose="020B0604020202020204" pitchFamily="34" charset="0"/>
                <a:cs typeface="Helvetica" panose="020B0604020202020204" pitchFamily="34" charset="0"/>
              </a:defRPr>
            </a:pPr>
            <a:r>
              <a:rPr lang="en-US">
                <a:latin typeface="Helvetica" panose="020B0604020202020204" pitchFamily="34" charset="0"/>
                <a:cs typeface="Helvetica" panose="020B0604020202020204" pitchFamily="34" charset="0"/>
              </a:rPr>
              <a:t>Breakdown of Rental Returns</a:t>
            </a:r>
          </a:p>
        </c:rich>
      </c:tx>
      <c:overlay val="0"/>
    </c:title>
    <c:autoTitleDeleted val="0"/>
    <c:plotArea>
      <c:layout/>
      <c:pieChart>
        <c:varyColors val="1"/>
        <c:ser>
          <c:idx val="0"/>
          <c:order val="0"/>
          <c:explosion val="25"/>
          <c:dLbls>
            <c:dLbl>
              <c:idx val="0"/>
              <c:layout>
                <c:manualLayout>
                  <c:x val="5.325397185481061E-3"/>
                  <c:y val="-2.1552759556604996E-2"/>
                </c:manualLayout>
              </c:layout>
              <c:showLegendKey val="0"/>
              <c:showVal val="0"/>
              <c:showCatName val="0"/>
              <c:showSerName val="0"/>
              <c:showPercent val="1"/>
              <c:showBubbleSize val="0"/>
              <c:extLst>
                <c:ext xmlns:c15="http://schemas.microsoft.com/office/drawing/2012/chart" uri="{CE6537A1-D6FC-4f65-9D91-7224C49458BB}"/>
              </c:extLst>
            </c:dLbl>
            <c:dLbl>
              <c:idx val="1"/>
              <c:layout>
                <c:manualLayout>
                  <c:x val="2.5088922122625642E-2"/>
                  <c:y val="-5.0186442384269666E-3"/>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0.12451091762494254"/>
                  <c:y val="-7.2197209294907897E-3"/>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1.6160498974024894E-2"/>
                  <c:y val="2.1510895989968692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2.2300255873140339E-2"/>
                  <c:y val="1.8620316388888614E-2"/>
                </c:manualLayout>
              </c:layout>
              <c:showLegendKey val="0"/>
              <c:showVal val="0"/>
              <c:showCatName val="0"/>
              <c:showSerName val="0"/>
              <c:showPercent val="1"/>
              <c:showBubbleSize val="0"/>
              <c:extLst>
                <c:ext xmlns:c15="http://schemas.microsoft.com/office/drawing/2012/chart" uri="{CE6537A1-D6FC-4f65-9D91-7224C49458BB}"/>
              </c:extLst>
            </c:dLbl>
            <c:dLbl>
              <c:idx val="5"/>
              <c:layout>
                <c:manualLayout>
                  <c:x val="-5.4772603340133216E-3"/>
                  <c:y val="-1.3561054523308538E-2"/>
                </c:manualLayout>
              </c:layout>
              <c:showLegendKey val="0"/>
              <c:showVal val="0"/>
              <c:showCatName val="0"/>
              <c:showSerName val="0"/>
              <c:showPercent val="1"/>
              <c:showBubbleSize val="0"/>
              <c:extLst>
                <c:ext xmlns:c15="http://schemas.microsoft.com/office/drawing/2012/chart" uri="{CE6537A1-D6FC-4f65-9D91-7224C49458BB}"/>
              </c:extLst>
            </c:dLbl>
            <c:dLbl>
              <c:idx val="6"/>
              <c:layout>
                <c:manualLayout>
                  <c:x val="-6.6152066888269301E-2"/>
                  <c:y val="5.3060824772067833E-2"/>
                </c:manualLayout>
              </c:layout>
              <c:showLegendKey val="0"/>
              <c:showVal val="0"/>
              <c:showCatName val="0"/>
              <c:showSerName val="0"/>
              <c:showPercent val="1"/>
              <c:showBubbleSize val="0"/>
              <c:extLst>
                <c:ext xmlns:c15="http://schemas.microsoft.com/office/drawing/2012/chart" uri="{CE6537A1-D6FC-4f65-9D91-7224C49458BB}"/>
              </c:extLst>
            </c:dLbl>
            <c:dLbl>
              <c:idx val="9"/>
              <c:layout>
                <c:manualLayout>
                  <c:x val="8.4933189631188274E-2"/>
                  <c:y val="-1.2412547507672496E-2"/>
                </c:manualLayout>
              </c:layout>
              <c:showLegendKey val="0"/>
              <c:showVal val="0"/>
              <c:showCatName val="0"/>
              <c:showSerName val="0"/>
              <c:showPercent val="1"/>
              <c:showBubbleSize val="0"/>
              <c:extLst>
                <c:ext xmlns:c15="http://schemas.microsoft.com/office/drawing/2012/chart" uri="{CE6537A1-D6FC-4f65-9D91-7224C49458BB}"/>
              </c:extLst>
            </c:dLbl>
            <c:numFmt formatCode="0.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'Rental Rate and Capacity'!$A$41:$A$54</c:f>
              <c:strCache>
                <c:ptCount val="10"/>
                <c:pt idx="0">
                  <c:v>DRY</c:v>
                </c:pt>
                <c:pt idx="1">
                  <c:v>AC</c:v>
                </c:pt>
                <c:pt idx="2">
                  <c:v>CHILLED</c:v>
                </c:pt>
                <c:pt idx="3">
                  <c:v>FROZEN</c:v>
                </c:pt>
                <c:pt idx="4">
                  <c:v>Dedicated Warehouses</c:v>
                </c:pt>
                <c:pt idx="5">
                  <c:v>Yard</c:v>
                </c:pt>
                <c:pt idx="6">
                  <c:v>Accommodation</c:v>
                </c:pt>
                <c:pt idx="7">
                  <c:v>Petrol Station</c:v>
                </c:pt>
                <c:pt idx="8">
                  <c:v>Vehicle Maintenance</c:v>
                </c:pt>
                <c:pt idx="9">
                  <c:v>Commercial</c:v>
                </c:pt>
              </c:strCache>
            </c:strRef>
          </c:cat>
          <c:val>
            <c:numRef>
              <c:f>'Rental Rate and Capacity'!$V$41:$V$54</c:f>
              <c:numCache>
                <c:formatCode>_(* #,##0_);_(* \(#,##0\);_(* "-"??_);_(@_)</c:formatCode>
                <c:ptCount val="10"/>
                <c:pt idx="0">
                  <c:v>76692.456741600035</c:v>
                </c:pt>
                <c:pt idx="1">
                  <c:v>54630.24315840003</c:v>
                </c:pt>
                <c:pt idx="2">
                  <c:v>39621.934598400017</c:v>
                </c:pt>
                <c:pt idx="3">
                  <c:v>18009.970272000006</c:v>
                </c:pt>
                <c:pt idx="4">
                  <c:v>12245.100000000002</c:v>
                </c:pt>
                <c:pt idx="5">
                  <c:v>23356.582200000008</c:v>
                </c:pt>
                <c:pt idx="6">
                  <c:v>25635.456000000006</c:v>
                </c:pt>
                <c:pt idx="7">
                  <c:v>1723.6800000000005</c:v>
                </c:pt>
                <c:pt idx="8">
                  <c:v>5270.8020324324334</c:v>
                </c:pt>
                <c:pt idx="9">
                  <c:v>10795.680000000002</c:v>
                </c:pt>
              </c:numCache>
            </c:numRef>
          </c:val>
        </c:ser>
        <c:dLbls>
          <c:showLegendKey val="0"/>
          <c:showVal val="0"/>
          <c:showCatName val="0"/>
          <c:showSerName val="0"/>
          <c:showPercent val="1"/>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'Rental Rate and Capacity'!$A$23</c:f>
              <c:strCache>
                <c:ptCount val="1"/>
                <c:pt idx="0">
                  <c:v>Large - Dry</c:v>
                </c:pt>
              </c:strCache>
            </c:strRef>
          </c:tx>
          <c:invertIfNegative val="0"/>
          <c:val>
            <c:numRef>
              <c:f>'Rental Rate and Capacity'!$C$23:$L$23</c:f>
              <c:numCache>
                <c:formatCode>_(* #,##0_);_(* \(#,##0\);_(* "-"??_);_(@_)</c:formatCode>
                <c:ptCount val="10"/>
                <c:pt idx="0">
                  <c:v>45.625</c:v>
                </c:pt>
                <c:pt idx="1">
                  <c:v>45.625</c:v>
                </c:pt>
                <c:pt idx="2">
                  <c:v>45.625</c:v>
                </c:pt>
                <c:pt idx="3">
                  <c:v>45.625</c:v>
                </c:pt>
                <c:pt idx="4">
                  <c:v>47.90625</c:v>
                </c:pt>
                <c:pt idx="5">
                  <c:v>47.90625</c:v>
                </c:pt>
                <c:pt idx="6">
                  <c:v>50.187500000000007</c:v>
                </c:pt>
                <c:pt idx="7">
                  <c:v>50.187500000000007</c:v>
                </c:pt>
                <c:pt idx="8">
                  <c:v>52.468750000000007</c:v>
                </c:pt>
                <c:pt idx="9">
                  <c:v>52.468750000000007</c:v>
                </c:pt>
              </c:numCache>
            </c:numRef>
          </c:val>
        </c:ser>
        <c:ser>
          <c:idx val="2"/>
          <c:order val="1"/>
          <c:tx>
            <c:strRef>
              <c:f>'Rental Rate and Capacity'!$A$24</c:f>
              <c:strCache>
                <c:ptCount val="1"/>
                <c:pt idx="0">
                  <c:v>Large - AC</c:v>
                </c:pt>
              </c:strCache>
            </c:strRef>
          </c:tx>
          <c:invertIfNegative val="0"/>
          <c:val>
            <c:numRef>
              <c:f>'Rental Rate and Capacity'!$C$24:$L$24</c:f>
              <c:numCache>
                <c:formatCode>_(* #,##0_);_(* \(#,##0\);_(* "-"??_);_(@_)</c:formatCode>
                <c:ptCount val="10"/>
                <c:pt idx="0">
                  <c:v>65</c:v>
                </c:pt>
                <c:pt idx="1">
                  <c:v>65</c:v>
                </c:pt>
                <c:pt idx="2">
                  <c:v>65</c:v>
                </c:pt>
                <c:pt idx="3">
                  <c:v>65</c:v>
                </c:pt>
                <c:pt idx="4">
                  <c:v>68.25</c:v>
                </c:pt>
                <c:pt idx="5">
                  <c:v>68.25</c:v>
                </c:pt>
                <c:pt idx="6">
                  <c:v>71.5</c:v>
                </c:pt>
                <c:pt idx="7">
                  <c:v>71.5</c:v>
                </c:pt>
                <c:pt idx="8">
                  <c:v>74.750000000000014</c:v>
                </c:pt>
                <c:pt idx="9">
                  <c:v>74.750000000000014</c:v>
                </c:pt>
              </c:numCache>
            </c:numRef>
          </c:val>
        </c:ser>
        <c:ser>
          <c:idx val="3"/>
          <c:order val="2"/>
          <c:tx>
            <c:strRef>
              <c:f>'Rental Rate and Capacity'!$A$25</c:f>
              <c:strCache>
                <c:ptCount val="1"/>
                <c:pt idx="0">
                  <c:v>Large - Chilled</c:v>
                </c:pt>
              </c:strCache>
            </c:strRef>
          </c:tx>
          <c:invertIfNegative val="0"/>
          <c:val>
            <c:numRef>
              <c:f>'Rental Rate and Capacity'!$C$25:$L$25</c:f>
              <c:numCache>
                <c:formatCode>_(* #,##0_);_(* \(#,##0\);_(* "-"??_);_(@_)</c:formatCode>
                <c:ptCount val="10"/>
                <c:pt idx="0">
                  <c:v>120</c:v>
                </c:pt>
                <c:pt idx="1">
                  <c:v>120</c:v>
                </c:pt>
                <c:pt idx="2">
                  <c:v>120</c:v>
                </c:pt>
                <c:pt idx="3">
                  <c:v>120</c:v>
                </c:pt>
                <c:pt idx="4">
                  <c:v>126</c:v>
                </c:pt>
                <c:pt idx="5">
                  <c:v>126</c:v>
                </c:pt>
                <c:pt idx="6">
                  <c:v>132</c:v>
                </c:pt>
                <c:pt idx="7">
                  <c:v>132</c:v>
                </c:pt>
                <c:pt idx="8">
                  <c:v>138.00000000000003</c:v>
                </c:pt>
                <c:pt idx="9">
                  <c:v>138.00000000000003</c:v>
                </c:pt>
              </c:numCache>
            </c:numRef>
          </c:val>
        </c:ser>
        <c:ser>
          <c:idx val="4"/>
          <c:order val="3"/>
          <c:tx>
            <c:strRef>
              <c:f>'Rental Rate and Capacity'!$A$26</c:f>
              <c:strCache>
                <c:ptCount val="1"/>
                <c:pt idx="0">
                  <c:v>Large - Frozen</c:v>
                </c:pt>
              </c:strCache>
            </c:strRef>
          </c:tx>
          <c:invertIfNegative val="0"/>
          <c:val>
            <c:numRef>
              <c:f>'Rental Rate and Capacity'!$C$26:$L$26</c:f>
              <c:numCache>
                <c:formatCode>_(* #,##0_);_(* \(#,##0\);_(* "-"??_);_(@_)</c:formatCode>
                <c:ptCount val="10"/>
                <c:pt idx="0">
                  <c:v>120</c:v>
                </c:pt>
                <c:pt idx="1">
                  <c:v>120</c:v>
                </c:pt>
                <c:pt idx="2">
                  <c:v>120</c:v>
                </c:pt>
                <c:pt idx="3">
                  <c:v>120</c:v>
                </c:pt>
                <c:pt idx="4">
                  <c:v>126</c:v>
                </c:pt>
                <c:pt idx="5">
                  <c:v>126</c:v>
                </c:pt>
                <c:pt idx="6">
                  <c:v>132</c:v>
                </c:pt>
                <c:pt idx="7">
                  <c:v>132</c:v>
                </c:pt>
                <c:pt idx="8">
                  <c:v>138.00000000000003</c:v>
                </c:pt>
                <c:pt idx="9">
                  <c:v>138.00000000000003</c:v>
                </c:pt>
              </c:numCache>
            </c:numRef>
          </c:val>
        </c:ser>
        <c:ser>
          <c:idx val="5"/>
          <c:order val="4"/>
          <c:tx>
            <c:strRef>
              <c:f>'Rental Rate and Capacity'!$A$27</c:f>
              <c:strCache>
                <c:ptCount val="1"/>
                <c:pt idx="0">
                  <c:v>Medium - Dry</c:v>
                </c:pt>
              </c:strCache>
            </c:strRef>
          </c:tx>
          <c:invertIfNegative val="0"/>
          <c:val>
            <c:numRef>
              <c:f>'Rental Rate and Capacity'!$C$27:$L$27</c:f>
              <c:numCache>
                <c:formatCode>_(* #,##0_);_(* \(#,##0\);_(* "-"??_);_(@_)</c:formatCode>
                <c:ptCount val="10"/>
                <c:pt idx="0">
                  <c:v>45.625</c:v>
                </c:pt>
                <c:pt idx="1">
                  <c:v>45.625</c:v>
                </c:pt>
                <c:pt idx="2">
                  <c:v>45.625</c:v>
                </c:pt>
                <c:pt idx="3">
                  <c:v>45.625</c:v>
                </c:pt>
                <c:pt idx="4">
                  <c:v>47.90625</c:v>
                </c:pt>
                <c:pt idx="5">
                  <c:v>47.90625</c:v>
                </c:pt>
                <c:pt idx="6">
                  <c:v>50.187500000000007</c:v>
                </c:pt>
                <c:pt idx="7">
                  <c:v>50.187500000000007</c:v>
                </c:pt>
                <c:pt idx="8">
                  <c:v>52.468750000000007</c:v>
                </c:pt>
                <c:pt idx="9">
                  <c:v>52.468750000000007</c:v>
                </c:pt>
              </c:numCache>
            </c:numRef>
          </c:val>
        </c:ser>
        <c:ser>
          <c:idx val="6"/>
          <c:order val="5"/>
          <c:tx>
            <c:strRef>
              <c:f>'Rental Rate and Capacity'!$A$28</c:f>
              <c:strCache>
                <c:ptCount val="1"/>
                <c:pt idx="0">
                  <c:v>Medium - AC</c:v>
                </c:pt>
              </c:strCache>
            </c:strRef>
          </c:tx>
          <c:invertIfNegative val="0"/>
          <c:val>
            <c:numRef>
              <c:f>'Rental Rate and Capacity'!$C$28:$L$28</c:f>
              <c:numCache>
                <c:formatCode>_(* #,##0_);_(* \(#,##0\);_(* "-"??_);_(@_)</c:formatCode>
                <c:ptCount val="10"/>
                <c:pt idx="0">
                  <c:v>63.875</c:v>
                </c:pt>
                <c:pt idx="1">
                  <c:v>63.875</c:v>
                </c:pt>
                <c:pt idx="2">
                  <c:v>63.875</c:v>
                </c:pt>
                <c:pt idx="3">
                  <c:v>63.875</c:v>
                </c:pt>
                <c:pt idx="4">
                  <c:v>67.068750000000009</c:v>
                </c:pt>
                <c:pt idx="5">
                  <c:v>67.068750000000009</c:v>
                </c:pt>
                <c:pt idx="6">
                  <c:v>70.262500000000003</c:v>
                </c:pt>
                <c:pt idx="7">
                  <c:v>70.262500000000003</c:v>
                </c:pt>
                <c:pt idx="8">
                  <c:v>73.456250000000011</c:v>
                </c:pt>
                <c:pt idx="9">
                  <c:v>73.456250000000011</c:v>
                </c:pt>
              </c:numCache>
            </c:numRef>
          </c:val>
        </c:ser>
        <c:ser>
          <c:idx val="7"/>
          <c:order val="6"/>
          <c:tx>
            <c:strRef>
              <c:f>'Rental Rate and Capacity'!$A$29</c:f>
              <c:strCache>
                <c:ptCount val="1"/>
                <c:pt idx="0">
                  <c:v>Medium - Chilled</c:v>
                </c:pt>
              </c:strCache>
            </c:strRef>
          </c:tx>
          <c:invertIfNegative val="0"/>
          <c:val>
            <c:numRef>
              <c:f>'Rental Rate and Capacity'!$C$29:$L$29</c:f>
              <c:numCache>
                <c:formatCode>_(* #,##0_);_(* \(#,##0\);_(* "-"??_);_(@_)</c:formatCode>
                <c:ptCount val="10"/>
                <c:pt idx="0">
                  <c:v>120</c:v>
                </c:pt>
                <c:pt idx="1">
                  <c:v>120</c:v>
                </c:pt>
                <c:pt idx="2">
                  <c:v>120</c:v>
                </c:pt>
                <c:pt idx="3">
                  <c:v>120</c:v>
                </c:pt>
                <c:pt idx="4">
                  <c:v>126</c:v>
                </c:pt>
                <c:pt idx="5">
                  <c:v>126</c:v>
                </c:pt>
                <c:pt idx="6">
                  <c:v>132</c:v>
                </c:pt>
                <c:pt idx="7">
                  <c:v>132</c:v>
                </c:pt>
                <c:pt idx="8">
                  <c:v>138.00000000000003</c:v>
                </c:pt>
                <c:pt idx="9">
                  <c:v>138.00000000000003</c:v>
                </c:pt>
              </c:numCache>
            </c:numRef>
          </c:val>
        </c:ser>
        <c:ser>
          <c:idx val="8"/>
          <c:order val="7"/>
          <c:tx>
            <c:strRef>
              <c:f>'Rental Rate and Capacity'!$A$30</c:f>
              <c:strCache>
                <c:ptCount val="1"/>
                <c:pt idx="0">
                  <c:v>Medium - Frozen</c:v>
                </c:pt>
              </c:strCache>
            </c:strRef>
          </c:tx>
          <c:invertIfNegative val="0"/>
          <c:val>
            <c:numRef>
              <c:f>'Rental Rate and Capacity'!$C$30:$L$30</c:f>
              <c:numCache>
                <c:formatCode>_(* #,##0_);_(* \(#,##0\);_(* "-"??_);_(@_)</c:formatCode>
                <c:ptCount val="10"/>
                <c:pt idx="0">
                  <c:v>120</c:v>
                </c:pt>
                <c:pt idx="1">
                  <c:v>120</c:v>
                </c:pt>
                <c:pt idx="2">
                  <c:v>120</c:v>
                </c:pt>
                <c:pt idx="3">
                  <c:v>120</c:v>
                </c:pt>
                <c:pt idx="4">
                  <c:v>126</c:v>
                </c:pt>
                <c:pt idx="5">
                  <c:v>126</c:v>
                </c:pt>
                <c:pt idx="6">
                  <c:v>132</c:v>
                </c:pt>
                <c:pt idx="7">
                  <c:v>132</c:v>
                </c:pt>
                <c:pt idx="8">
                  <c:v>138.00000000000003</c:v>
                </c:pt>
                <c:pt idx="9">
                  <c:v>138.00000000000003</c:v>
                </c:pt>
              </c:numCache>
            </c:numRef>
          </c:val>
        </c:ser>
        <c:ser>
          <c:idx val="9"/>
          <c:order val="8"/>
          <c:tx>
            <c:strRef>
              <c:f>'Rental Rate and Capacity'!$A$31</c:f>
              <c:strCache>
                <c:ptCount val="1"/>
                <c:pt idx="0">
                  <c:v>Specialized Warehouses</c:v>
                </c:pt>
              </c:strCache>
            </c:strRef>
          </c:tx>
          <c:invertIfNegative val="0"/>
          <c:val>
            <c:numRef>
              <c:f>'Rental Rate and Capacity'!$C$31:$L$31</c:f>
              <c:numCache>
                <c:formatCode>_(* #,##0_);_(* \(#,##0\);_(* "-"??_);_(@_)</c:formatCode>
                <c:ptCount val="10"/>
                <c:pt idx="0">
                  <c:v>70</c:v>
                </c:pt>
                <c:pt idx="1">
                  <c:v>70</c:v>
                </c:pt>
                <c:pt idx="2">
                  <c:v>70</c:v>
                </c:pt>
                <c:pt idx="3">
                  <c:v>70</c:v>
                </c:pt>
                <c:pt idx="4">
                  <c:v>73.5</c:v>
                </c:pt>
                <c:pt idx="5">
                  <c:v>73.5</c:v>
                </c:pt>
                <c:pt idx="6">
                  <c:v>77</c:v>
                </c:pt>
                <c:pt idx="7">
                  <c:v>77</c:v>
                </c:pt>
                <c:pt idx="8">
                  <c:v>80.500000000000014</c:v>
                </c:pt>
                <c:pt idx="9">
                  <c:v>80.500000000000014</c:v>
                </c:pt>
              </c:numCache>
            </c:numRef>
          </c:val>
        </c:ser>
        <c:ser>
          <c:idx val="10"/>
          <c:order val="9"/>
          <c:tx>
            <c:strRef>
              <c:f>'Rental Rate and Capacity'!$A$32</c:f>
              <c:strCache>
                <c:ptCount val="1"/>
                <c:pt idx="0">
                  <c:v>Yard</c:v>
                </c:pt>
              </c:strCache>
            </c:strRef>
          </c:tx>
          <c:invertIfNegative val="0"/>
          <c:val>
            <c:numRef>
              <c:f>'Rental Rate and Capacity'!$C$32:$L$32</c:f>
              <c:numCache>
                <c:formatCode>_(* #,##0_);_(* \(#,##0\);_(* "-"??_);_(@_)</c:formatCode>
                <c:ptCount val="10"/>
                <c:pt idx="0">
                  <c:v>30</c:v>
                </c:pt>
                <c:pt idx="1">
                  <c:v>30</c:v>
                </c:pt>
                <c:pt idx="2">
                  <c:v>30</c:v>
                </c:pt>
                <c:pt idx="3">
                  <c:v>30</c:v>
                </c:pt>
                <c:pt idx="4">
                  <c:v>31.5</c:v>
                </c:pt>
                <c:pt idx="5">
                  <c:v>31.5</c:v>
                </c:pt>
                <c:pt idx="6">
                  <c:v>33</c:v>
                </c:pt>
                <c:pt idx="7">
                  <c:v>33</c:v>
                </c:pt>
                <c:pt idx="8">
                  <c:v>34.500000000000007</c:v>
                </c:pt>
                <c:pt idx="9">
                  <c:v>34.500000000000007</c:v>
                </c:pt>
              </c:numCache>
            </c:numRef>
          </c:val>
        </c:ser>
        <c:ser>
          <c:idx val="11"/>
          <c:order val="10"/>
          <c:tx>
            <c:strRef>
              <c:f>'Rental Rate and Capacity'!$A$33</c:f>
              <c:strCache>
                <c:ptCount val="1"/>
                <c:pt idx="0">
                  <c:v>Accommodation</c:v>
                </c:pt>
              </c:strCache>
            </c:strRef>
          </c:tx>
          <c:invertIfNegative val="0"/>
          <c:val>
            <c:numRef>
              <c:f>'Rental Rate and Capacity'!$C$33:$L$33</c:f>
              <c:numCache>
                <c:formatCode>_(* #,##0_);_(* \(#,##0\);_(* "-"??_);_(@_)</c:formatCode>
                <c:ptCount val="10"/>
                <c:pt idx="0">
                  <c:v>80</c:v>
                </c:pt>
                <c:pt idx="1">
                  <c:v>80</c:v>
                </c:pt>
                <c:pt idx="2">
                  <c:v>80</c:v>
                </c:pt>
                <c:pt idx="3">
                  <c:v>80</c:v>
                </c:pt>
                <c:pt idx="4">
                  <c:v>84</c:v>
                </c:pt>
                <c:pt idx="5">
                  <c:v>84</c:v>
                </c:pt>
                <c:pt idx="6">
                  <c:v>88</c:v>
                </c:pt>
                <c:pt idx="7">
                  <c:v>88</c:v>
                </c:pt>
                <c:pt idx="8">
                  <c:v>92.000000000000014</c:v>
                </c:pt>
                <c:pt idx="9">
                  <c:v>92.000000000000014</c:v>
                </c:pt>
              </c:numCache>
            </c:numRef>
          </c:val>
        </c:ser>
        <c:ser>
          <c:idx val="12"/>
          <c:order val="11"/>
          <c:tx>
            <c:strRef>
              <c:f>'Rental Rate and Capacity'!$A$34</c:f>
              <c:strCache>
                <c:ptCount val="1"/>
                <c:pt idx="0">
                  <c:v>Petrol station</c:v>
                </c:pt>
              </c:strCache>
            </c:strRef>
          </c:tx>
          <c:invertIfNegative val="0"/>
          <c:val>
            <c:numRef>
              <c:f>'Rental Rate and Capacity'!$C$34:$L$34</c:f>
              <c:numCache>
                <c:formatCode>_(* #,##0_);_(* \(#,##0\);_(* "-"??_);_(@_)</c:formatCode>
                <c:ptCount val="10"/>
                <c:pt idx="0">
                  <c:v>45</c:v>
                </c:pt>
                <c:pt idx="1">
                  <c:v>45</c:v>
                </c:pt>
                <c:pt idx="2">
                  <c:v>45</c:v>
                </c:pt>
                <c:pt idx="3">
                  <c:v>45</c:v>
                </c:pt>
                <c:pt idx="4">
                  <c:v>47.25</c:v>
                </c:pt>
                <c:pt idx="5">
                  <c:v>47.25</c:v>
                </c:pt>
                <c:pt idx="6">
                  <c:v>49.500000000000007</c:v>
                </c:pt>
                <c:pt idx="7">
                  <c:v>49.500000000000007</c:v>
                </c:pt>
                <c:pt idx="8">
                  <c:v>51.750000000000007</c:v>
                </c:pt>
                <c:pt idx="9">
                  <c:v>51.750000000000007</c:v>
                </c:pt>
              </c:numCache>
            </c:numRef>
          </c:val>
        </c:ser>
        <c:ser>
          <c:idx val="13"/>
          <c:order val="12"/>
          <c:tx>
            <c:strRef>
              <c:f>'Rental Rate and Capacity'!$A$35</c:f>
              <c:strCache>
                <c:ptCount val="1"/>
                <c:pt idx="0">
                  <c:v>Vehicle maintenance</c:v>
                </c:pt>
              </c:strCache>
            </c:strRef>
          </c:tx>
          <c:invertIfNegative val="0"/>
          <c:val>
            <c:numRef>
              <c:f>'Rental Rate and Capacity'!$C$35:$L$35</c:f>
              <c:numCache>
                <c:formatCode>_(* #,##0_);_(* \(#,##0\);_(* "-"??_);_(@_)</c:formatCode>
                <c:ptCount val="10"/>
                <c:pt idx="0">
                  <c:v>39.45945945945946</c:v>
                </c:pt>
                <c:pt idx="1">
                  <c:v>39.45945945945946</c:v>
                </c:pt>
                <c:pt idx="2">
                  <c:v>39.45945945945946</c:v>
                </c:pt>
                <c:pt idx="3">
                  <c:v>39.45945945945946</c:v>
                </c:pt>
                <c:pt idx="4">
                  <c:v>41.432432432432435</c:v>
                </c:pt>
                <c:pt idx="5">
                  <c:v>41.432432432432435</c:v>
                </c:pt>
                <c:pt idx="6">
                  <c:v>43.405405405405411</c:v>
                </c:pt>
                <c:pt idx="7">
                  <c:v>43.405405405405411</c:v>
                </c:pt>
                <c:pt idx="8">
                  <c:v>45.378378378378386</c:v>
                </c:pt>
                <c:pt idx="9">
                  <c:v>45.378378378378386</c:v>
                </c:pt>
              </c:numCache>
            </c:numRef>
          </c:val>
        </c:ser>
        <c:ser>
          <c:idx val="14"/>
          <c:order val="13"/>
          <c:tx>
            <c:strRef>
              <c:f>'Rental Rate and Capacity'!$A$36</c:f>
              <c:strCache>
                <c:ptCount val="1"/>
                <c:pt idx="0">
                  <c:v>Commercial</c:v>
                </c:pt>
              </c:strCache>
            </c:strRef>
          </c:tx>
          <c:invertIfNegative val="0"/>
          <c:val>
            <c:numRef>
              <c:f>'Rental Rate and Capacity'!$C$36:$L$36</c:f>
              <c:numCache>
                <c:formatCode>_(* #,##0_);_(* \(#,##0\);_(* "-"??_);_(@_)</c:formatCode>
                <c:ptCount val="10"/>
                <c:pt idx="0">
                  <c:v>150</c:v>
                </c:pt>
                <c:pt idx="1">
                  <c:v>150</c:v>
                </c:pt>
                <c:pt idx="2">
                  <c:v>150</c:v>
                </c:pt>
                <c:pt idx="3">
                  <c:v>150</c:v>
                </c:pt>
                <c:pt idx="4">
                  <c:v>157.5</c:v>
                </c:pt>
                <c:pt idx="5">
                  <c:v>157.5</c:v>
                </c:pt>
                <c:pt idx="6">
                  <c:v>165</c:v>
                </c:pt>
                <c:pt idx="7">
                  <c:v>165</c:v>
                </c:pt>
                <c:pt idx="8">
                  <c:v>172.50000000000003</c:v>
                </c:pt>
                <c:pt idx="9">
                  <c:v>172.50000000000003</c:v>
                </c:pt>
              </c:numCache>
            </c:numRef>
          </c:val>
        </c:ser>
        <c:dLbls>
          <c:showLegendKey val="0"/>
          <c:showVal val="0"/>
          <c:showCatName val="0"/>
          <c:showSerName val="0"/>
          <c:showPercent val="0"/>
          <c:showBubbleSize val="0"/>
        </c:dLbls>
        <c:gapWidth val="150"/>
        <c:axId val="1109630416"/>
        <c:axId val="1109627696"/>
      </c:barChart>
      <c:catAx>
        <c:axId val="1109630416"/>
        <c:scaling>
          <c:orientation val="minMax"/>
        </c:scaling>
        <c:delete val="0"/>
        <c:axPos val="b"/>
        <c:majorTickMark val="out"/>
        <c:minorTickMark val="none"/>
        <c:tickLblPos val="nextTo"/>
        <c:crossAx val="1109627696"/>
        <c:crosses val="autoZero"/>
        <c:auto val="1"/>
        <c:lblAlgn val="ctr"/>
        <c:lblOffset val="100"/>
        <c:noMultiLvlLbl val="0"/>
      </c:catAx>
      <c:valAx>
        <c:axId val="1109627696"/>
        <c:scaling>
          <c:orientation val="minMax"/>
        </c:scaling>
        <c:delete val="0"/>
        <c:axPos val="l"/>
        <c:majorGridlines/>
        <c:numFmt formatCode="#,##0" sourceLinked="0"/>
        <c:majorTickMark val="out"/>
        <c:minorTickMark val="none"/>
        <c:tickLblPos val="nextTo"/>
        <c:crossAx val="110963041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'Rental Rate and Capacity'!$B$77</c:f>
              <c:strCache>
                <c:ptCount val="1"/>
                <c:pt idx="0">
                  <c:v>Rentable</c:v>
                </c:pt>
              </c:strCache>
            </c:strRef>
          </c:tx>
          <c:marker>
            <c:symbol val="none"/>
          </c:marker>
          <c:val>
            <c:numRef>
              <c:f>'Rental Rate and Capacity'!$C$77:$V$77</c:f>
              <c:numCache>
                <c:formatCode>_(* #,##0_);_(* \(#,##0\);_(* "-"??_);_(@_)</c:formatCode>
                <c:ptCount val="20"/>
                <c:pt idx="0">
                  <c:v>0</c:v>
                </c:pt>
                <c:pt idx="1">
                  <c:v>0</c:v>
                </c:pt>
                <c:pt idx="2">
                  <c:v>96421.47</c:v>
                </c:pt>
                <c:pt idx="3">
                  <c:v>159182.45000000001</c:v>
                </c:pt>
                <c:pt idx="4">
                  <c:v>221943.43</c:v>
                </c:pt>
                <c:pt idx="5">
                  <c:v>269014.16500000004</c:v>
                </c:pt>
                <c:pt idx="6">
                  <c:v>269014.16500000004</c:v>
                </c:pt>
                <c:pt idx="7">
                  <c:v>269014.16500000004</c:v>
                </c:pt>
                <c:pt idx="8">
                  <c:v>269014.16500000004</c:v>
                </c:pt>
                <c:pt idx="9">
                  <c:v>269014.16500000004</c:v>
                </c:pt>
                <c:pt idx="10">
                  <c:v>269014.16500000004</c:v>
                </c:pt>
                <c:pt idx="11">
                  <c:v>269014.16500000004</c:v>
                </c:pt>
                <c:pt idx="12">
                  <c:v>269014.16500000004</c:v>
                </c:pt>
                <c:pt idx="13">
                  <c:v>269014.16500000004</c:v>
                </c:pt>
                <c:pt idx="14">
                  <c:v>269014.16500000004</c:v>
                </c:pt>
                <c:pt idx="15">
                  <c:v>269014.16500000004</c:v>
                </c:pt>
                <c:pt idx="16">
                  <c:v>269014.16500000004</c:v>
                </c:pt>
                <c:pt idx="17">
                  <c:v>269014.16500000004</c:v>
                </c:pt>
                <c:pt idx="18">
                  <c:v>269014.16500000004</c:v>
                </c:pt>
                <c:pt idx="19">
                  <c:v>269014.16500000004</c:v>
                </c:pt>
              </c:numCache>
            </c:numRef>
          </c:val>
          <c:smooth val="0"/>
        </c:ser>
        <c:ser>
          <c:idx val="1"/>
          <c:order val="1"/>
          <c:tx>
            <c:strRef>
              <c:f>'Rental Rate and Capacity'!$B$78</c:f>
              <c:strCache>
                <c:ptCount val="1"/>
                <c:pt idx="0">
                  <c:v>Capacity</c:v>
                </c:pt>
              </c:strCache>
            </c:strRef>
          </c:tx>
          <c:marker>
            <c:symbol val="none"/>
          </c:marker>
          <c:val>
            <c:numRef>
              <c:f>'Rental Rate and Capacity'!$C$78:$V$78</c:f>
              <c:numCache>
                <c:formatCode>_(* #,##0_);_(* \(#,##0\);_(* "-"??_);_(@_)</c:formatCode>
                <c:ptCount val="20"/>
                <c:pt idx="0">
                  <c:v>316084.90000000002</c:v>
                </c:pt>
                <c:pt idx="1">
                  <c:v>316084.90000000002</c:v>
                </c:pt>
                <c:pt idx="2">
                  <c:v>316084.90000000002</c:v>
                </c:pt>
                <c:pt idx="3">
                  <c:v>316084.90000000002</c:v>
                </c:pt>
                <c:pt idx="4">
                  <c:v>316084.90000000002</c:v>
                </c:pt>
                <c:pt idx="5">
                  <c:v>316084.90000000002</c:v>
                </c:pt>
                <c:pt idx="6">
                  <c:v>316084.90000000002</c:v>
                </c:pt>
                <c:pt idx="7">
                  <c:v>316084.90000000002</c:v>
                </c:pt>
                <c:pt idx="8">
                  <c:v>316084.90000000002</c:v>
                </c:pt>
                <c:pt idx="9">
                  <c:v>316084.90000000002</c:v>
                </c:pt>
                <c:pt idx="10">
                  <c:v>316084.90000000002</c:v>
                </c:pt>
                <c:pt idx="11">
                  <c:v>316084.90000000002</c:v>
                </c:pt>
                <c:pt idx="12">
                  <c:v>316084.90000000002</c:v>
                </c:pt>
                <c:pt idx="13">
                  <c:v>316084.90000000002</c:v>
                </c:pt>
                <c:pt idx="14">
                  <c:v>316084.90000000002</c:v>
                </c:pt>
                <c:pt idx="15">
                  <c:v>316084.90000000002</c:v>
                </c:pt>
                <c:pt idx="16">
                  <c:v>316084.90000000002</c:v>
                </c:pt>
                <c:pt idx="17">
                  <c:v>316084.90000000002</c:v>
                </c:pt>
                <c:pt idx="18">
                  <c:v>316084.90000000002</c:v>
                </c:pt>
                <c:pt idx="19">
                  <c:v>316084.90000000002</c:v>
                </c:pt>
              </c:numCache>
            </c:numRef>
          </c:val>
          <c:smooth val="0"/>
        </c:ser>
        <c:dLbls>
          <c:showLegendKey val="0"/>
          <c:showVal val="0"/>
          <c:showCatName val="0"/>
          <c:showSerName val="0"/>
          <c:showPercent val="0"/>
          <c:showBubbleSize val="0"/>
        </c:dLbls>
        <c:smooth val="0"/>
        <c:axId val="1109618448"/>
        <c:axId val="1109620624"/>
      </c:lineChart>
      <c:catAx>
        <c:axId val="1109618448"/>
        <c:scaling>
          <c:orientation val="minMax"/>
        </c:scaling>
        <c:delete val="0"/>
        <c:axPos val="b"/>
        <c:majorTickMark val="out"/>
        <c:minorTickMark val="none"/>
        <c:tickLblPos val="nextTo"/>
        <c:crossAx val="1109620624"/>
        <c:crosses val="autoZero"/>
        <c:auto val="1"/>
        <c:lblAlgn val="ctr"/>
        <c:lblOffset val="100"/>
        <c:noMultiLvlLbl val="0"/>
      </c:catAx>
      <c:valAx>
        <c:axId val="1109620624"/>
        <c:scaling>
          <c:orientation val="minMax"/>
        </c:scaling>
        <c:delete val="0"/>
        <c:axPos val="l"/>
        <c:majorGridlines/>
        <c:numFmt formatCode="_(* #,##0_);_(* \(#,##0\);_(* &quot;-&quot;??_);_(@_)" sourceLinked="1"/>
        <c:majorTickMark val="out"/>
        <c:minorTickMark val="none"/>
        <c:tickLblPos val="nextTo"/>
        <c:crossAx val="1109618448"/>
        <c:crosses val="autoZero"/>
        <c:crossBetween val="between"/>
      </c:valAx>
    </c:plotArea>
    <c:legend>
      <c:legendPos val="r"/>
      <c:overlay val="0"/>
    </c:legend>
    <c:plotVisOnly val="1"/>
    <c:dispBlanksAs val="gap"/>
    <c:showDLblsOverMax val="0"/>
  </c:chart>
  <c:txPr>
    <a:bodyPr/>
    <a:lstStyle/>
    <a:p>
      <a:pPr>
        <a:defRPr>
          <a:latin typeface="Helvetica" panose="020B0604020202020204" pitchFamily="34" charset="0"/>
          <a:cs typeface="Helvetica"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4</xdr:col>
      <xdr:colOff>914401</xdr:colOff>
      <xdr:row>13</xdr:row>
      <xdr:rowOff>9525</xdr:rowOff>
    </xdr:from>
    <xdr:to>
      <xdr:col>4</xdr:col>
      <xdr:colOff>1114425</xdr:colOff>
      <xdr:row>28</xdr:row>
      <xdr:rowOff>9525</xdr:rowOff>
    </xdr:to>
    <xdr:sp macro="" textlink="">
      <xdr:nvSpPr>
        <xdr:cNvPr id="2" name="Right Brace 1"/>
        <xdr:cNvSpPr/>
      </xdr:nvSpPr>
      <xdr:spPr>
        <a:xfrm>
          <a:off x="5029201" y="2019300"/>
          <a:ext cx="200024" cy="2286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4</xdr:col>
      <xdr:colOff>1200150</xdr:colOff>
      <xdr:row>17</xdr:row>
      <xdr:rowOff>123825</xdr:rowOff>
    </xdr:from>
    <xdr:to>
      <xdr:col>5</xdr:col>
      <xdr:colOff>1162050</xdr:colOff>
      <xdr:row>24</xdr:row>
      <xdr:rowOff>85725</xdr:rowOff>
    </xdr:to>
    <xdr:sp macro="" textlink="">
      <xdr:nvSpPr>
        <xdr:cNvPr id="3" name="TextBox 2"/>
        <xdr:cNvSpPr txBox="1"/>
      </xdr:nvSpPr>
      <xdr:spPr>
        <a:xfrm>
          <a:off x="5314950" y="2895600"/>
          <a:ext cx="11906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solidFill>
                <a:schemeClr val="tx2">
                  <a:lumMod val="60000"/>
                  <a:lumOff val="40000"/>
                </a:schemeClr>
              </a:solidFill>
            </a:rPr>
            <a:t>Guiding</a:t>
          </a:r>
          <a:r>
            <a:rPr lang="en-US" sz="1100" baseline="0">
              <a:solidFill>
                <a:schemeClr val="tx2">
                  <a:lumMod val="60000"/>
                  <a:lumOff val="40000"/>
                </a:schemeClr>
              </a:solidFill>
            </a:rPr>
            <a:t> calculations</a:t>
          </a:r>
          <a:endParaRPr lang="en-US" sz="1100">
            <a:solidFill>
              <a:schemeClr val="tx2">
                <a:lumMod val="60000"/>
                <a:lumOff val="40000"/>
              </a:schemeClr>
            </a:solidFill>
          </a:endParaRPr>
        </a:p>
      </xdr:txBody>
    </xdr:sp>
    <xdr:clientData/>
  </xdr:twoCellAnchor>
  <xdr:twoCellAnchor>
    <xdr:from>
      <xdr:col>3</xdr:col>
      <xdr:colOff>9526</xdr:colOff>
      <xdr:row>13</xdr:row>
      <xdr:rowOff>1</xdr:rowOff>
    </xdr:from>
    <xdr:to>
      <xdr:col>3</xdr:col>
      <xdr:colOff>190500</xdr:colOff>
      <xdr:row>19</xdr:row>
      <xdr:rowOff>1</xdr:rowOff>
    </xdr:to>
    <xdr:sp macro="" textlink="">
      <xdr:nvSpPr>
        <xdr:cNvPr id="4" name="Right Brace 3"/>
        <xdr:cNvSpPr/>
      </xdr:nvSpPr>
      <xdr:spPr>
        <a:xfrm>
          <a:off x="3733801" y="2009776"/>
          <a:ext cx="180974" cy="1143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238125</xdr:colOff>
      <xdr:row>14</xdr:row>
      <xdr:rowOff>104775</xdr:rowOff>
    </xdr:from>
    <xdr:to>
      <xdr:col>4</xdr:col>
      <xdr:colOff>1038225</xdr:colOff>
      <xdr:row>17</xdr:row>
      <xdr:rowOff>66675</xdr:rowOff>
    </xdr:to>
    <xdr:sp macro="" textlink="">
      <xdr:nvSpPr>
        <xdr:cNvPr id="5" name="TextBox 4"/>
        <xdr:cNvSpPr txBox="1"/>
      </xdr:nvSpPr>
      <xdr:spPr>
        <a:xfrm>
          <a:off x="3962400" y="2305050"/>
          <a:ext cx="11906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solidFill>
                <a:schemeClr val="tx2">
                  <a:lumMod val="60000"/>
                  <a:lumOff val="40000"/>
                </a:schemeClr>
              </a:solidFill>
            </a:rPr>
            <a:t>WH Schedule</a:t>
          </a:r>
        </a:p>
      </xdr:txBody>
    </xdr:sp>
    <xdr:clientData/>
  </xdr:twoCellAnchor>
  <xdr:twoCellAnchor>
    <xdr:from>
      <xdr:col>3</xdr:col>
      <xdr:colOff>1</xdr:colOff>
      <xdr:row>19</xdr:row>
      <xdr:rowOff>9526</xdr:rowOff>
    </xdr:from>
    <xdr:to>
      <xdr:col>3</xdr:col>
      <xdr:colOff>180975</xdr:colOff>
      <xdr:row>28</xdr:row>
      <xdr:rowOff>9526</xdr:rowOff>
    </xdr:to>
    <xdr:sp macro="" textlink="">
      <xdr:nvSpPr>
        <xdr:cNvPr id="6" name="Right Brace 5"/>
        <xdr:cNvSpPr/>
      </xdr:nvSpPr>
      <xdr:spPr>
        <a:xfrm>
          <a:off x="3724276" y="3162301"/>
          <a:ext cx="180974" cy="1143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228600</xdr:colOff>
      <xdr:row>21</xdr:row>
      <xdr:rowOff>133350</xdr:rowOff>
    </xdr:from>
    <xdr:to>
      <xdr:col>4</xdr:col>
      <xdr:colOff>1028700</xdr:colOff>
      <xdr:row>25</xdr:row>
      <xdr:rowOff>95250</xdr:rowOff>
    </xdr:to>
    <xdr:sp macro="" textlink="">
      <xdr:nvSpPr>
        <xdr:cNvPr id="7" name="TextBox 6"/>
        <xdr:cNvSpPr txBox="1"/>
      </xdr:nvSpPr>
      <xdr:spPr>
        <a:xfrm>
          <a:off x="3952875" y="4048125"/>
          <a:ext cx="11906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solidFill>
                <a:schemeClr val="tx2">
                  <a:lumMod val="60000"/>
                  <a:lumOff val="40000"/>
                </a:schemeClr>
              </a:solidFill>
            </a:rPr>
            <a:t>Other Schedule</a:t>
          </a:r>
        </a:p>
      </xdr:txBody>
    </xdr:sp>
    <xdr:clientData/>
  </xdr:twoCellAnchor>
  <xdr:twoCellAnchor>
    <xdr:from>
      <xdr:col>8</xdr:col>
      <xdr:colOff>466725</xdr:colOff>
      <xdr:row>9</xdr:row>
      <xdr:rowOff>47625</xdr:rowOff>
    </xdr:from>
    <xdr:to>
      <xdr:col>12</xdr:col>
      <xdr:colOff>781050</xdr:colOff>
      <xdr:row>23</xdr:row>
      <xdr:rowOff>123825</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871104</xdr:colOff>
      <xdr:row>8</xdr:row>
      <xdr:rowOff>130629</xdr:rowOff>
    </xdr:from>
    <xdr:to>
      <xdr:col>21</xdr:col>
      <xdr:colOff>469447</xdr:colOff>
      <xdr:row>23</xdr:row>
      <xdr:rowOff>23132</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428626</xdr:colOff>
      <xdr:row>23</xdr:row>
      <xdr:rowOff>172812</xdr:rowOff>
    </xdr:from>
    <xdr:to>
      <xdr:col>12</xdr:col>
      <xdr:colOff>762001</xdr:colOff>
      <xdr:row>37</xdr:row>
      <xdr:rowOff>140155</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571501</xdr:colOff>
      <xdr:row>2</xdr:row>
      <xdr:rowOff>136072</xdr:rowOff>
    </xdr:from>
    <xdr:to>
      <xdr:col>33</xdr:col>
      <xdr:colOff>612322</xdr:colOff>
      <xdr:row>23</xdr:row>
      <xdr:rowOff>78922</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774370</xdr:colOff>
      <xdr:row>23</xdr:row>
      <xdr:rowOff>123081</xdr:rowOff>
    </xdr:from>
    <xdr:to>
      <xdr:col>21</xdr:col>
      <xdr:colOff>445078</xdr:colOff>
      <xdr:row>37</xdr:row>
      <xdr:rowOff>95373</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390525</xdr:colOff>
      <xdr:row>1</xdr:row>
      <xdr:rowOff>61912</xdr:rowOff>
    </xdr:from>
    <xdr:to>
      <xdr:col>15</xdr:col>
      <xdr:colOff>263258</xdr:colOff>
      <xdr:row>19</xdr:row>
      <xdr:rowOff>42862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21</xdr:row>
      <xdr:rowOff>0</xdr:rowOff>
    </xdr:from>
    <xdr:to>
      <xdr:col>14</xdr:col>
      <xdr:colOff>520433</xdr:colOff>
      <xdr:row>40</xdr:row>
      <xdr:rowOff>28575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385763</xdr:colOff>
      <xdr:row>1</xdr:row>
      <xdr:rowOff>123825</xdr:rowOff>
    </xdr:from>
    <xdr:to>
      <xdr:col>16</xdr:col>
      <xdr:colOff>125146</xdr:colOff>
      <xdr:row>16</xdr:row>
      <xdr:rowOff>67956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409575</xdr:colOff>
      <xdr:row>17</xdr:row>
      <xdr:rowOff>104775</xdr:rowOff>
    </xdr:from>
    <xdr:to>
      <xdr:col>16</xdr:col>
      <xdr:colOff>148958</xdr:colOff>
      <xdr:row>33</xdr:row>
      <xdr:rowOff>87006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585107</xdr:colOff>
      <xdr:row>21</xdr:row>
      <xdr:rowOff>27214</xdr:rowOff>
    </xdr:from>
    <xdr:to>
      <xdr:col>19</xdr:col>
      <xdr:colOff>149679</xdr:colOff>
      <xdr:row>32</xdr:row>
      <xdr:rowOff>78922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28815</xdr:colOff>
      <xdr:row>21</xdr:row>
      <xdr:rowOff>28815</xdr:rowOff>
    </xdr:from>
    <xdr:to>
      <xdr:col>25</xdr:col>
      <xdr:colOff>529077</xdr:colOff>
      <xdr:row>32</xdr:row>
      <xdr:rowOff>80523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690563</xdr:colOff>
      <xdr:row>11</xdr:row>
      <xdr:rowOff>61913</xdr:rowOff>
    </xdr:from>
    <xdr:to>
      <xdr:col>10</xdr:col>
      <xdr:colOff>295275</xdr:colOff>
      <xdr:row>25</xdr:row>
      <xdr:rowOff>138113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11</xdr:row>
      <xdr:rowOff>66675</xdr:rowOff>
    </xdr:from>
    <xdr:to>
      <xdr:col>4</xdr:col>
      <xdr:colOff>866775</xdr:colOff>
      <xdr:row>25</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342900</xdr:colOff>
      <xdr:row>27</xdr:row>
      <xdr:rowOff>9525</xdr:rowOff>
    </xdr:from>
    <xdr:to>
      <xdr:col>12</xdr:col>
      <xdr:colOff>589268</xdr:colOff>
      <xdr:row>41</xdr:row>
      <xdr:rowOff>174172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9525</xdr:colOff>
      <xdr:row>27</xdr:row>
      <xdr:rowOff>9525</xdr:rowOff>
    </xdr:from>
    <xdr:to>
      <xdr:col>20</xdr:col>
      <xdr:colOff>255893</xdr:colOff>
      <xdr:row>41</xdr:row>
      <xdr:rowOff>174172</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61638</xdr:colOff>
      <xdr:row>31</xdr:row>
      <xdr:rowOff>146795</xdr:rowOff>
    </xdr:from>
    <xdr:to>
      <xdr:col>11</xdr:col>
      <xdr:colOff>16807</xdr:colOff>
      <xdr:row>54</xdr:row>
      <xdr:rowOff>5602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243</xdr:col>
      <xdr:colOff>27214</xdr:colOff>
      <xdr:row>7</xdr:row>
      <xdr:rowOff>46944</xdr:rowOff>
    </xdr:from>
    <xdr:to>
      <xdr:col>252</xdr:col>
      <xdr:colOff>272142</xdr:colOff>
      <xdr:row>21</xdr:row>
      <xdr:rowOff>18369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563349</xdr:colOff>
      <xdr:row>135</xdr:row>
      <xdr:rowOff>124282</xdr:rowOff>
    </xdr:from>
    <xdr:to>
      <xdr:col>21</xdr:col>
      <xdr:colOff>257734</xdr:colOff>
      <xdr:row>160</xdr:row>
      <xdr:rowOff>111299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554850</xdr:colOff>
      <xdr:row>108</xdr:row>
      <xdr:rowOff>126319</xdr:rowOff>
    </xdr:from>
    <xdr:to>
      <xdr:col>11</xdr:col>
      <xdr:colOff>568576</xdr:colOff>
      <xdr:row>134</xdr:row>
      <xdr:rowOff>60414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186357</xdr:colOff>
      <xdr:row>4</xdr:row>
      <xdr:rowOff>5</xdr:rowOff>
    </xdr:from>
    <xdr:to>
      <xdr:col>41</xdr:col>
      <xdr:colOff>41412</xdr:colOff>
      <xdr:row>31</xdr:row>
      <xdr:rowOff>159031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145684</xdr:colOff>
      <xdr:row>80</xdr:row>
      <xdr:rowOff>96370</xdr:rowOff>
    </xdr:from>
    <xdr:to>
      <xdr:col>22</xdr:col>
      <xdr:colOff>78441</xdr:colOff>
      <xdr:row>102</xdr:row>
      <xdr:rowOff>134470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cherIAN\Documents\Projects\Princes%20Yacht\Princess%20Yacht%20Feasibility%20Stud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Summary"/>
      <sheetName val="Rev"/>
      <sheetName val="Scenario_Sheet"/>
      <sheetName val="Assumptions"/>
      <sheetName val="Sales and Gross Profit"/>
      <sheetName val="Capex"/>
      <sheetName val="Pre_Opr"/>
      <sheetName val="Admin"/>
      <sheetName val="Sheet1"/>
    </sheetNames>
    <sheetDataSet>
      <sheetData sheetId="0" refreshError="1"/>
      <sheetData sheetId="1" refreshError="1"/>
      <sheetData sheetId="2">
        <row r="1">
          <cell r="A1" t="str">
            <v>Ali Bin Ali Establishment, Princess Yachts.</v>
          </cell>
        </row>
        <row r="74">
          <cell r="E74" t="str">
            <v>9 Yrs</v>
          </cell>
          <cell r="F74" t="str">
            <v>0 mths</v>
          </cell>
        </row>
        <row r="75">
          <cell r="F75">
            <v>-655.52769060151104</v>
          </cell>
        </row>
        <row r="76">
          <cell r="E76">
            <v>8.9233237116092531E-2</v>
          </cell>
        </row>
      </sheetData>
      <sheetData sheetId="3" refreshError="1"/>
      <sheetData sheetId="4"/>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3.bin"/></Relationships>
</file>

<file path=xl/worksheets/_rels/sheet4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4.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249977111117893"/>
  </sheetPr>
  <dimension ref="A1:A4"/>
  <sheetViews>
    <sheetView workbookViewId="0">
      <selection activeCell="C2" sqref="C2"/>
    </sheetView>
  </sheetViews>
  <sheetFormatPr defaultRowHeight="14.25" x14ac:dyDescent="0.45"/>
  <sheetData>
    <row r="1" spans="1:1" x14ac:dyDescent="0.45">
      <c r="A1" t="s">
        <v>121</v>
      </c>
    </row>
    <row r="2" spans="1:1" x14ac:dyDescent="0.45">
      <c r="A2" t="s">
        <v>120</v>
      </c>
    </row>
    <row r="3" spans="1:1" x14ac:dyDescent="0.45">
      <c r="A3" t="s">
        <v>119</v>
      </c>
    </row>
    <row r="4" spans="1:1" x14ac:dyDescent="0.45">
      <c r="A4"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theme="0" tint="-0.249977111117893"/>
  </sheetPr>
  <dimension ref="A1:A30"/>
  <sheetViews>
    <sheetView topLeftCell="A10" workbookViewId="0">
      <selection activeCell="A31" sqref="A31"/>
    </sheetView>
  </sheetViews>
  <sheetFormatPr defaultRowHeight="14.25" x14ac:dyDescent="0.45"/>
  <sheetData>
    <row r="1" spans="1:1" ht="25.5" x14ac:dyDescent="0.75">
      <c r="A1" s="115" t="s">
        <v>393</v>
      </c>
    </row>
    <row r="2" spans="1:1" x14ac:dyDescent="0.45">
      <c r="A2" t="s">
        <v>387</v>
      </c>
    </row>
    <row r="3" spans="1:1" x14ac:dyDescent="0.45">
      <c r="A3" t="s">
        <v>388</v>
      </c>
    </row>
    <row r="4" spans="1:1" x14ac:dyDescent="0.45">
      <c r="A4" t="s">
        <v>389</v>
      </c>
    </row>
    <row r="5" spans="1:1" x14ac:dyDescent="0.45">
      <c r="A5" t="s">
        <v>390</v>
      </c>
    </row>
    <row r="6" spans="1:1" x14ac:dyDescent="0.45">
      <c r="A6" t="s">
        <v>391</v>
      </c>
    </row>
    <row r="7" spans="1:1" x14ac:dyDescent="0.45">
      <c r="A7" t="s">
        <v>392</v>
      </c>
    </row>
    <row r="10" spans="1:1" ht="25.5" x14ac:dyDescent="0.75">
      <c r="A10" s="115" t="s">
        <v>401</v>
      </c>
    </row>
    <row r="11" spans="1:1" x14ac:dyDescent="0.45">
      <c r="A11" t="s">
        <v>402</v>
      </c>
    </row>
    <row r="12" spans="1:1" x14ac:dyDescent="0.45">
      <c r="A12" t="s">
        <v>403</v>
      </c>
    </row>
    <row r="13" spans="1:1" x14ac:dyDescent="0.45">
      <c r="A13" t="s">
        <v>404</v>
      </c>
    </row>
    <row r="14" spans="1:1" x14ac:dyDescent="0.45">
      <c r="A14" t="s">
        <v>405</v>
      </c>
    </row>
    <row r="15" spans="1:1" x14ac:dyDescent="0.45">
      <c r="A15" t="s">
        <v>406</v>
      </c>
    </row>
    <row r="16" spans="1:1" x14ac:dyDescent="0.45">
      <c r="A16" t="s">
        <v>407</v>
      </c>
    </row>
    <row r="17" spans="1:1" x14ac:dyDescent="0.45">
      <c r="A17" t="s">
        <v>408</v>
      </c>
    </row>
    <row r="18" spans="1:1" x14ac:dyDescent="0.45">
      <c r="A18" t="s">
        <v>409</v>
      </c>
    </row>
    <row r="19" spans="1:1" x14ac:dyDescent="0.45">
      <c r="A19" t="s">
        <v>410</v>
      </c>
    </row>
    <row r="20" spans="1:1" x14ac:dyDescent="0.45">
      <c r="A20" t="s">
        <v>411</v>
      </c>
    </row>
    <row r="21" spans="1:1" x14ac:dyDescent="0.45">
      <c r="A21" t="s">
        <v>412</v>
      </c>
    </row>
    <row r="22" spans="1:1" x14ac:dyDescent="0.45">
      <c r="A22" t="s">
        <v>413</v>
      </c>
    </row>
    <row r="23" spans="1:1" x14ac:dyDescent="0.45">
      <c r="A23" t="s">
        <v>414</v>
      </c>
    </row>
    <row r="24" spans="1:1" x14ac:dyDescent="0.45">
      <c r="A24" t="s">
        <v>415</v>
      </c>
    </row>
    <row r="25" spans="1:1" x14ac:dyDescent="0.45">
      <c r="A25" t="s">
        <v>416</v>
      </c>
    </row>
    <row r="26" spans="1:1" x14ac:dyDescent="0.45">
      <c r="A26" t="s">
        <v>417</v>
      </c>
    </row>
    <row r="28" spans="1:1" ht="25.5" x14ac:dyDescent="0.75">
      <c r="A28" s="115" t="s">
        <v>426</v>
      </c>
    </row>
    <row r="29" spans="1:1" x14ac:dyDescent="0.45">
      <c r="A29" t="s">
        <v>433</v>
      </c>
    </row>
    <row r="30" spans="1:1" x14ac:dyDescent="0.45">
      <c r="A30" t="s">
        <v>791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theme="0" tint="-0.249977111117893"/>
  </sheetPr>
  <dimension ref="A1:B23"/>
  <sheetViews>
    <sheetView workbookViewId="0">
      <selection activeCell="B8" sqref="B8"/>
    </sheetView>
  </sheetViews>
  <sheetFormatPr defaultRowHeight="14.25" x14ac:dyDescent="0.45"/>
  <sheetData>
    <row r="1" spans="1:2" x14ac:dyDescent="0.45">
      <c r="A1">
        <v>1</v>
      </c>
      <c r="B1" t="s">
        <v>445</v>
      </c>
    </row>
    <row r="2" spans="1:2" x14ac:dyDescent="0.45">
      <c r="A2">
        <v>2</v>
      </c>
      <c r="B2" t="s">
        <v>446</v>
      </c>
    </row>
    <row r="3" spans="1:2" x14ac:dyDescent="0.45">
      <c r="A3">
        <v>3</v>
      </c>
      <c r="B3" t="s">
        <v>447</v>
      </c>
    </row>
    <row r="4" spans="1:2" x14ac:dyDescent="0.45">
      <c r="A4">
        <v>4</v>
      </c>
      <c r="B4" t="s">
        <v>448</v>
      </c>
    </row>
    <row r="5" spans="1:2" x14ac:dyDescent="0.45">
      <c r="A5">
        <v>5</v>
      </c>
      <c r="B5" t="s">
        <v>449</v>
      </c>
    </row>
    <row r="6" spans="1:2" x14ac:dyDescent="0.45">
      <c r="A6">
        <v>6</v>
      </c>
      <c r="B6" t="s">
        <v>734</v>
      </c>
    </row>
    <row r="7" spans="1:2" x14ac:dyDescent="0.45">
      <c r="A7">
        <v>7</v>
      </c>
      <c r="B7" t="s">
        <v>794</v>
      </c>
    </row>
    <row r="8" spans="1:2" x14ac:dyDescent="0.45">
      <c r="A8">
        <v>8</v>
      </c>
    </row>
    <row r="9" spans="1:2" x14ac:dyDescent="0.45">
      <c r="A9">
        <v>9</v>
      </c>
    </row>
    <row r="10" spans="1:2" x14ac:dyDescent="0.45">
      <c r="A10">
        <v>10</v>
      </c>
    </row>
    <row r="11" spans="1:2" x14ac:dyDescent="0.45">
      <c r="A11">
        <v>11</v>
      </c>
    </row>
    <row r="12" spans="1:2" x14ac:dyDescent="0.45">
      <c r="A12">
        <v>12</v>
      </c>
    </row>
    <row r="13" spans="1:2" x14ac:dyDescent="0.45">
      <c r="A13">
        <v>13</v>
      </c>
    </row>
    <row r="14" spans="1:2" x14ac:dyDescent="0.45">
      <c r="A14">
        <v>14</v>
      </c>
    </row>
    <row r="15" spans="1:2" x14ac:dyDescent="0.45">
      <c r="A15">
        <v>15</v>
      </c>
    </row>
    <row r="16" spans="1:2" x14ac:dyDescent="0.45">
      <c r="A16">
        <v>16</v>
      </c>
    </row>
    <row r="17" spans="1:1" x14ac:dyDescent="0.45">
      <c r="A17">
        <v>17</v>
      </c>
    </row>
    <row r="18" spans="1:1" x14ac:dyDescent="0.45">
      <c r="A18">
        <v>18</v>
      </c>
    </row>
    <row r="19" spans="1:1" x14ac:dyDescent="0.45">
      <c r="A19">
        <v>19</v>
      </c>
    </row>
    <row r="20" spans="1:1" x14ac:dyDescent="0.45">
      <c r="A20">
        <v>20</v>
      </c>
    </row>
    <row r="21" spans="1:1" x14ac:dyDescent="0.45">
      <c r="A21">
        <v>21</v>
      </c>
    </row>
    <row r="22" spans="1:1" x14ac:dyDescent="0.45">
      <c r="A22">
        <v>22</v>
      </c>
    </row>
    <row r="23" spans="1:1" x14ac:dyDescent="0.45">
      <c r="A23">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9" tint="0.79998168889431442"/>
  </sheetPr>
  <dimension ref="A1:J15"/>
  <sheetViews>
    <sheetView workbookViewId="0">
      <selection activeCell="C2" sqref="C2"/>
    </sheetView>
  </sheetViews>
  <sheetFormatPr defaultRowHeight="14.25" x14ac:dyDescent="0.45"/>
  <cols>
    <col min="1" max="1" width="13.86328125" customWidth="1"/>
    <col min="2" max="2" width="11" customWidth="1"/>
    <col min="3" max="3" width="12.59765625" customWidth="1"/>
    <col min="4" max="4" width="37.1328125" customWidth="1"/>
    <col min="5" max="5" width="40.1328125" customWidth="1"/>
    <col min="8" max="8" width="10.59765625" customWidth="1"/>
  </cols>
  <sheetData>
    <row r="1" spans="1:10" ht="28.5" x14ac:dyDescent="0.45">
      <c r="A1" s="28" t="s">
        <v>137</v>
      </c>
      <c r="B1" s="28" t="s">
        <v>351</v>
      </c>
      <c r="C1" s="28" t="s">
        <v>350</v>
      </c>
      <c r="D1" s="28" t="s">
        <v>138</v>
      </c>
      <c r="E1" s="28" t="s">
        <v>139</v>
      </c>
      <c r="F1" s="28" t="s">
        <v>340</v>
      </c>
    </row>
    <row r="2" spans="1:10" x14ac:dyDescent="0.45">
      <c r="A2" s="26" t="s">
        <v>56</v>
      </c>
      <c r="B2" s="29">
        <f t="shared" ref="B2:B10" si="0">C2/CST_USD2QAR</f>
        <v>10.810810810810811</v>
      </c>
      <c r="C2" s="10">
        <v>40</v>
      </c>
      <c r="D2" s="753" t="s">
        <v>348</v>
      </c>
      <c r="E2" s="753" t="s">
        <v>339</v>
      </c>
      <c r="F2" s="26">
        <f>AVERAGEIF($A$2:$A$10, "=Yard", $B$2:$B$10)</f>
        <v>10.810810810810811</v>
      </c>
      <c r="G2">
        <f>F2*3.7</f>
        <v>40</v>
      </c>
    </row>
    <row r="3" spans="1:10" x14ac:dyDescent="0.45">
      <c r="A3" s="26" t="s">
        <v>141</v>
      </c>
      <c r="B3" s="29">
        <f t="shared" si="0"/>
        <v>16.216216216216214</v>
      </c>
      <c r="C3" s="10">
        <v>60</v>
      </c>
      <c r="D3" s="753" t="s">
        <v>348</v>
      </c>
      <c r="E3" s="753" t="s">
        <v>339</v>
      </c>
      <c r="F3" s="26">
        <f>AVERAGEIF($A$2:$A$10, "=Dry", $B$2:$B$10)</f>
        <v>26.270270270270267</v>
      </c>
      <c r="G3">
        <f>F3*3.7</f>
        <v>97.199999999999989</v>
      </c>
    </row>
    <row r="4" spans="1:10" x14ac:dyDescent="0.45">
      <c r="A4" s="26" t="s">
        <v>69</v>
      </c>
      <c r="B4" s="29">
        <f t="shared" si="0"/>
        <v>24.324324324324323</v>
      </c>
      <c r="C4" s="10">
        <v>90</v>
      </c>
      <c r="D4" s="753" t="s">
        <v>348</v>
      </c>
      <c r="E4" s="753" t="s">
        <v>339</v>
      </c>
      <c r="F4" s="26">
        <f>AVERAGEIF($A$2:$A$10, "=AC", $B$2:$B$10)</f>
        <v>33.351351351351347</v>
      </c>
      <c r="G4">
        <f>F4*3.7</f>
        <v>123.39999999999999</v>
      </c>
    </row>
    <row r="5" spans="1:10" x14ac:dyDescent="0.45">
      <c r="A5" s="26" t="s">
        <v>118</v>
      </c>
      <c r="B5" s="29">
        <f t="shared" si="0"/>
        <v>32.432432432432428</v>
      </c>
      <c r="C5" s="10">
        <v>120</v>
      </c>
      <c r="D5" s="753" t="s">
        <v>348</v>
      </c>
      <c r="E5" s="753" t="s">
        <v>339</v>
      </c>
      <c r="F5" s="26">
        <f>AVERAGEIF($A$2:$A$10, "=Chilled", $B$2:$B$10)</f>
        <v>42.702702702702695</v>
      </c>
      <c r="G5">
        <f>F5*3.7</f>
        <v>157.99999999999997</v>
      </c>
    </row>
    <row r="6" spans="1:10" x14ac:dyDescent="0.45">
      <c r="A6" s="26" t="s">
        <v>59</v>
      </c>
      <c r="B6" s="29">
        <f t="shared" si="0"/>
        <v>32.432432432432428</v>
      </c>
      <c r="C6" s="10">
        <v>120</v>
      </c>
      <c r="D6" s="753" t="s">
        <v>348</v>
      </c>
      <c r="E6" s="753" t="s">
        <v>339</v>
      </c>
      <c r="F6" s="26">
        <f>AVERAGEIF($A$2:$A$10, "=Frozen", $B$2:$B$10)</f>
        <v>42.702702702702695</v>
      </c>
      <c r="G6">
        <f>F6*3.7</f>
        <v>157.99999999999997</v>
      </c>
    </row>
    <row r="7" spans="1:10" x14ac:dyDescent="0.45">
      <c r="A7" s="26" t="s">
        <v>118</v>
      </c>
      <c r="B7" s="29">
        <f t="shared" si="0"/>
        <v>52.972972972972968</v>
      </c>
      <c r="C7" s="10">
        <f>175*5/1.25*0.8*0.5*0.7</f>
        <v>196</v>
      </c>
      <c r="D7" s="753" t="s">
        <v>349</v>
      </c>
      <c r="E7" s="753" t="s">
        <v>347</v>
      </c>
      <c r="F7" s="26"/>
    </row>
    <row r="8" spans="1:10" x14ac:dyDescent="0.45">
      <c r="A8" s="26" t="s">
        <v>59</v>
      </c>
      <c r="B8" s="29">
        <f t="shared" si="0"/>
        <v>52.972972972972968</v>
      </c>
      <c r="C8" s="10">
        <f>175*5/1.25*0.8*0.5*0.7</f>
        <v>196</v>
      </c>
      <c r="D8" s="753" t="s">
        <v>349</v>
      </c>
      <c r="E8" s="753" t="s">
        <v>347</v>
      </c>
      <c r="F8" s="26"/>
    </row>
    <row r="9" spans="1:10" x14ac:dyDescent="0.45">
      <c r="A9" s="26" t="s">
        <v>141</v>
      </c>
      <c r="B9" s="29">
        <f t="shared" si="0"/>
        <v>36.324324324324316</v>
      </c>
      <c r="C9" s="10">
        <f>120*5/1.25*0.8*0.5*0.7</f>
        <v>134.39999999999998</v>
      </c>
      <c r="D9" s="753" t="s">
        <v>349</v>
      </c>
      <c r="E9" s="753" t="s">
        <v>347</v>
      </c>
      <c r="F9" s="26"/>
    </row>
    <row r="10" spans="1:10" x14ac:dyDescent="0.45">
      <c r="A10" s="26" t="s">
        <v>69</v>
      </c>
      <c r="B10" s="29">
        <f t="shared" si="0"/>
        <v>42.378378378378372</v>
      </c>
      <c r="C10" s="10">
        <f>140*5/1.25*0.8*0.5*0.7</f>
        <v>156.79999999999998</v>
      </c>
      <c r="D10" s="753" t="s">
        <v>349</v>
      </c>
      <c r="E10" s="753" t="s">
        <v>347</v>
      </c>
      <c r="F10" s="26"/>
    </row>
    <row r="11" spans="1:10" x14ac:dyDescent="0.45">
      <c r="A11" s="27" t="s">
        <v>69</v>
      </c>
      <c r="B11" s="26"/>
      <c r="C11" s="752">
        <f>410000/3/2400</f>
        <v>56.944444444444443</v>
      </c>
      <c r="D11" s="754" t="s">
        <v>737</v>
      </c>
      <c r="E11" s="754" t="s">
        <v>736</v>
      </c>
      <c r="F11" s="26"/>
      <c r="G11" t="s">
        <v>741</v>
      </c>
    </row>
    <row r="12" spans="1:10" x14ac:dyDescent="0.45">
      <c r="A12" s="27" t="s">
        <v>69</v>
      </c>
      <c r="B12" s="26"/>
      <c r="C12" s="10">
        <f>2228580/3/12381</f>
        <v>60</v>
      </c>
      <c r="D12" s="754" t="s">
        <v>738</v>
      </c>
      <c r="E12" s="754" t="s">
        <v>739</v>
      </c>
      <c r="F12" s="26"/>
    </row>
    <row r="13" spans="1:10" x14ac:dyDescent="0.45">
      <c r="A13" s="26" t="s">
        <v>744</v>
      </c>
      <c r="B13" s="26"/>
      <c r="C13" s="26"/>
      <c r="D13" s="754" t="s">
        <v>740</v>
      </c>
      <c r="E13" s="754" t="s">
        <v>749</v>
      </c>
      <c r="F13" s="26"/>
    </row>
    <row r="14" spans="1:10" ht="28.5" x14ac:dyDescent="0.45">
      <c r="A14" s="26" t="s">
        <v>66</v>
      </c>
      <c r="B14" s="26"/>
      <c r="C14" s="10">
        <f>188700/3/34</f>
        <v>1850</v>
      </c>
      <c r="D14" s="753" t="s">
        <v>743</v>
      </c>
      <c r="E14" s="753"/>
      <c r="F14" s="26"/>
      <c r="G14" t="s">
        <v>745</v>
      </c>
      <c r="I14">
        <f>(C14/16)*0.7</f>
        <v>80.9375</v>
      </c>
      <c r="J14" t="s">
        <v>746</v>
      </c>
    </row>
    <row r="15" spans="1:10" x14ac:dyDescent="0.45">
      <c r="A15" s="26" t="s">
        <v>742</v>
      </c>
      <c r="B15" s="26"/>
      <c r="C15" s="10">
        <v>130</v>
      </c>
      <c r="D15" s="753" t="s">
        <v>349</v>
      </c>
      <c r="E15" s="753" t="s">
        <v>750</v>
      </c>
      <c r="F15" s="2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theme="9" tint="0.79998168889431442"/>
  </sheetPr>
  <dimension ref="A1:P60"/>
  <sheetViews>
    <sheetView workbookViewId="0">
      <pane xSplit="1" ySplit="1" topLeftCell="F2" activePane="bottomRight" state="frozen"/>
      <selection activeCell="C22" sqref="C22"/>
      <selection pane="topRight" activeCell="C22" sqref="C22"/>
      <selection pane="bottomLeft" activeCell="C22" sqref="C22"/>
      <selection pane="bottomRight" activeCell="L58" sqref="L58"/>
    </sheetView>
  </sheetViews>
  <sheetFormatPr defaultRowHeight="14.25" x14ac:dyDescent="0.45"/>
  <cols>
    <col min="1" max="1" width="39.73046875" customWidth="1"/>
    <col min="2" max="2" width="15.265625" style="1" bestFit="1" customWidth="1"/>
    <col min="3" max="3" width="14" customWidth="1"/>
    <col min="6" max="6" width="16.86328125" bestFit="1" customWidth="1"/>
    <col min="7" max="8" width="14.265625" bestFit="1" customWidth="1"/>
    <col min="9" max="9" width="13.1328125" bestFit="1" customWidth="1"/>
    <col min="12" max="13" width="15.265625" bestFit="1" customWidth="1"/>
    <col min="14" max="14" width="15.265625" customWidth="1"/>
    <col min="16" max="16" width="15.265625" bestFit="1" customWidth="1"/>
  </cols>
  <sheetData>
    <row r="1" spans="1:16" x14ac:dyDescent="0.45">
      <c r="B1" s="1" t="s">
        <v>61</v>
      </c>
      <c r="C1" t="s">
        <v>57</v>
      </c>
      <c r="D1" t="s">
        <v>55</v>
      </c>
      <c r="E1" t="s">
        <v>56</v>
      </c>
      <c r="F1" t="s">
        <v>57</v>
      </c>
      <c r="G1" t="s">
        <v>55</v>
      </c>
      <c r="H1" t="s">
        <v>56</v>
      </c>
      <c r="I1" t="s">
        <v>69</v>
      </c>
      <c r="J1" t="s">
        <v>59</v>
      </c>
      <c r="K1" t="s">
        <v>118</v>
      </c>
      <c r="L1" t="s">
        <v>69</v>
      </c>
      <c r="M1" t="s">
        <v>59</v>
      </c>
      <c r="N1" t="s">
        <v>118</v>
      </c>
      <c r="O1" t="s">
        <v>60</v>
      </c>
    </row>
    <row r="2" spans="1:16" x14ac:dyDescent="0.45">
      <c r="A2" t="s">
        <v>46</v>
      </c>
      <c r="B2" s="1">
        <v>4208000000</v>
      </c>
      <c r="C2" s="2">
        <v>0.3</v>
      </c>
      <c r="D2" s="2">
        <v>0.2</v>
      </c>
      <c r="E2" s="2">
        <v>0.5</v>
      </c>
      <c r="F2" s="3">
        <f>C2*$B2</f>
        <v>1262400000</v>
      </c>
      <c r="G2" s="3">
        <f>D2*$B2</f>
        <v>841600000</v>
      </c>
      <c r="H2" s="3">
        <f>E2*$B2</f>
        <v>2104000000</v>
      </c>
      <c r="L2" s="3">
        <f>I2*B2*C2</f>
        <v>0</v>
      </c>
      <c r="M2" s="3">
        <f>J2*B2*C2</f>
        <v>0</v>
      </c>
      <c r="N2" s="3"/>
      <c r="P2" s="3">
        <f t="shared" ref="P2:P33" si="0">O2*B2</f>
        <v>0</v>
      </c>
    </row>
    <row r="3" spans="1:16" x14ac:dyDescent="0.45">
      <c r="A3" t="s">
        <v>48</v>
      </c>
      <c r="B3" s="1">
        <v>3190000000</v>
      </c>
      <c r="C3" s="2">
        <v>0.3</v>
      </c>
      <c r="E3" s="2">
        <v>0.7</v>
      </c>
      <c r="F3" s="3">
        <f t="shared" ref="F3:F56" si="1">C3*$B3</f>
        <v>957000000</v>
      </c>
      <c r="G3" s="3">
        <f t="shared" ref="G3:G56" si="2">D3*$B3</f>
        <v>0</v>
      </c>
      <c r="H3" s="3">
        <f t="shared" ref="H3:H56" si="3">E3*$B3</f>
        <v>2233000000</v>
      </c>
      <c r="L3" s="3">
        <f t="shared" ref="L3:L56" si="4">I3*B3*C3</f>
        <v>0</v>
      </c>
      <c r="M3" s="3">
        <f t="shared" ref="M3:M56" si="5">J3*B3*C3</f>
        <v>0</v>
      </c>
      <c r="N3" s="3"/>
      <c r="P3" s="3">
        <f t="shared" si="0"/>
        <v>0</v>
      </c>
    </row>
    <row r="4" spans="1:16" x14ac:dyDescent="0.45">
      <c r="A4" t="s">
        <v>47</v>
      </c>
      <c r="B4" s="1">
        <v>2678000000</v>
      </c>
      <c r="C4" s="2">
        <v>0.3</v>
      </c>
      <c r="D4" s="2">
        <v>0.4</v>
      </c>
      <c r="E4" s="2">
        <v>0.3</v>
      </c>
      <c r="F4" s="3">
        <f t="shared" si="1"/>
        <v>803400000</v>
      </c>
      <c r="G4" s="3">
        <f t="shared" si="2"/>
        <v>1071200000</v>
      </c>
      <c r="H4" s="3">
        <f t="shared" si="3"/>
        <v>803400000</v>
      </c>
      <c r="L4" s="3">
        <f t="shared" si="4"/>
        <v>0</v>
      </c>
      <c r="M4" s="3">
        <f t="shared" si="5"/>
        <v>0</v>
      </c>
      <c r="N4" s="3"/>
      <c r="P4" s="3">
        <f t="shared" si="0"/>
        <v>0</v>
      </c>
    </row>
    <row r="5" spans="1:16" x14ac:dyDescent="0.45">
      <c r="A5" t="s">
        <v>41</v>
      </c>
      <c r="B5" s="1">
        <v>1143000000</v>
      </c>
      <c r="C5" s="2">
        <v>0.2</v>
      </c>
      <c r="E5" s="2">
        <v>0.8</v>
      </c>
      <c r="F5" s="3">
        <f t="shared" si="1"/>
        <v>228600000</v>
      </c>
      <c r="G5" s="3">
        <f t="shared" si="2"/>
        <v>0</v>
      </c>
      <c r="H5" s="3">
        <f t="shared" si="3"/>
        <v>914400000</v>
      </c>
      <c r="L5" s="3">
        <f t="shared" si="4"/>
        <v>0</v>
      </c>
      <c r="M5" s="3">
        <f t="shared" si="5"/>
        <v>0</v>
      </c>
      <c r="N5" s="3"/>
      <c r="P5" s="3">
        <f t="shared" si="0"/>
        <v>0</v>
      </c>
    </row>
    <row r="6" spans="1:16" x14ac:dyDescent="0.45">
      <c r="A6" t="s">
        <v>39</v>
      </c>
      <c r="B6" s="1">
        <v>763000000</v>
      </c>
      <c r="C6" s="2">
        <v>1</v>
      </c>
      <c r="F6" s="3">
        <f t="shared" si="1"/>
        <v>763000000</v>
      </c>
      <c r="G6" s="3">
        <f t="shared" si="2"/>
        <v>0</v>
      </c>
      <c r="H6" s="3">
        <f t="shared" si="3"/>
        <v>0</v>
      </c>
      <c r="L6" s="3">
        <f t="shared" si="4"/>
        <v>0</v>
      </c>
      <c r="M6" s="3">
        <f t="shared" si="5"/>
        <v>0</v>
      </c>
      <c r="N6" s="3"/>
      <c r="P6" s="3">
        <f t="shared" si="0"/>
        <v>0</v>
      </c>
    </row>
    <row r="7" spans="1:16" x14ac:dyDescent="0.45">
      <c r="A7" t="s">
        <v>51</v>
      </c>
      <c r="B7" s="1">
        <v>695000000</v>
      </c>
      <c r="C7" s="2">
        <v>0.7</v>
      </c>
      <c r="D7" s="2">
        <v>0.3</v>
      </c>
      <c r="F7" s="3">
        <f t="shared" si="1"/>
        <v>486499999.99999994</v>
      </c>
      <c r="G7" s="3">
        <f t="shared" si="2"/>
        <v>208500000</v>
      </c>
      <c r="H7" s="3">
        <f t="shared" si="3"/>
        <v>0</v>
      </c>
      <c r="L7" s="3">
        <f t="shared" si="4"/>
        <v>0</v>
      </c>
      <c r="M7" s="3">
        <f t="shared" si="5"/>
        <v>0</v>
      </c>
      <c r="N7" s="3"/>
      <c r="O7" s="2">
        <v>0.2</v>
      </c>
      <c r="P7" s="3">
        <f t="shared" si="0"/>
        <v>139000000</v>
      </c>
    </row>
    <row r="8" spans="1:16" x14ac:dyDescent="0.45">
      <c r="A8" t="s">
        <v>34</v>
      </c>
      <c r="B8" s="1">
        <f>202000000+360000000+76000000</f>
        <v>638000000</v>
      </c>
      <c r="C8" s="2">
        <v>1</v>
      </c>
      <c r="F8" s="3">
        <f t="shared" si="1"/>
        <v>638000000</v>
      </c>
      <c r="G8" s="3">
        <f t="shared" si="2"/>
        <v>0</v>
      </c>
      <c r="H8" s="3">
        <f t="shared" si="3"/>
        <v>0</v>
      </c>
      <c r="L8" s="3">
        <f t="shared" si="4"/>
        <v>0</v>
      </c>
      <c r="M8" s="3">
        <f t="shared" si="5"/>
        <v>0</v>
      </c>
      <c r="N8" s="3"/>
      <c r="O8" s="2">
        <v>0.5</v>
      </c>
      <c r="P8" s="3">
        <f t="shared" si="0"/>
        <v>319000000</v>
      </c>
    </row>
    <row r="9" spans="1:16" x14ac:dyDescent="0.45">
      <c r="A9" t="s">
        <v>28</v>
      </c>
      <c r="B9" s="1">
        <v>585000000</v>
      </c>
      <c r="C9" s="2">
        <v>0.9</v>
      </c>
      <c r="D9" s="2">
        <v>0.1</v>
      </c>
      <c r="F9" s="3">
        <f t="shared" si="1"/>
        <v>526500000</v>
      </c>
      <c r="G9" s="3">
        <f t="shared" si="2"/>
        <v>58500000</v>
      </c>
      <c r="H9" s="3">
        <f t="shared" si="3"/>
        <v>0</v>
      </c>
      <c r="L9" s="3">
        <f t="shared" si="4"/>
        <v>0</v>
      </c>
      <c r="M9" s="3">
        <f t="shared" si="5"/>
        <v>0</v>
      </c>
      <c r="N9" s="3"/>
      <c r="P9" s="3">
        <f t="shared" si="0"/>
        <v>0</v>
      </c>
    </row>
    <row r="10" spans="1:16" x14ac:dyDescent="0.45">
      <c r="A10" t="s">
        <v>36</v>
      </c>
      <c r="B10" s="1">
        <v>452000000</v>
      </c>
      <c r="C10" s="2">
        <v>0.2</v>
      </c>
      <c r="E10" s="2">
        <v>0.8</v>
      </c>
      <c r="F10" s="3">
        <f t="shared" si="1"/>
        <v>90400000</v>
      </c>
      <c r="G10" s="3">
        <f t="shared" si="2"/>
        <v>0</v>
      </c>
      <c r="H10" s="3">
        <f t="shared" si="3"/>
        <v>361600000</v>
      </c>
      <c r="L10" s="3">
        <f t="shared" si="4"/>
        <v>0</v>
      </c>
      <c r="M10" s="3">
        <f t="shared" si="5"/>
        <v>0</v>
      </c>
      <c r="N10" s="3"/>
      <c r="P10" s="3">
        <f t="shared" si="0"/>
        <v>0</v>
      </c>
    </row>
    <row r="11" spans="1:16" x14ac:dyDescent="0.45">
      <c r="A11" t="s">
        <v>49</v>
      </c>
      <c r="B11" s="1">
        <v>427000000</v>
      </c>
      <c r="C11" s="2">
        <v>1</v>
      </c>
      <c r="F11" s="3">
        <f t="shared" si="1"/>
        <v>427000000</v>
      </c>
      <c r="G11" s="3">
        <f t="shared" si="2"/>
        <v>0</v>
      </c>
      <c r="H11" s="3">
        <f t="shared" si="3"/>
        <v>0</v>
      </c>
      <c r="I11">
        <v>1</v>
      </c>
      <c r="L11" s="3">
        <f t="shared" si="4"/>
        <v>427000000</v>
      </c>
      <c r="M11" s="3">
        <f t="shared" si="5"/>
        <v>0</v>
      </c>
      <c r="N11" s="3"/>
      <c r="P11" s="3">
        <f t="shared" si="0"/>
        <v>0</v>
      </c>
    </row>
    <row r="12" spans="1:16" x14ac:dyDescent="0.45">
      <c r="A12" t="s">
        <v>27</v>
      </c>
      <c r="B12" s="1">
        <v>413000000</v>
      </c>
      <c r="C12" s="2">
        <v>0.6</v>
      </c>
      <c r="D12" s="2">
        <v>0.4</v>
      </c>
      <c r="F12" s="3">
        <f t="shared" si="1"/>
        <v>247800000</v>
      </c>
      <c r="G12" s="3">
        <f t="shared" si="2"/>
        <v>165200000</v>
      </c>
      <c r="H12" s="3">
        <f t="shared" si="3"/>
        <v>0</v>
      </c>
      <c r="I12">
        <v>1</v>
      </c>
      <c r="L12" s="3">
        <f t="shared" si="4"/>
        <v>247800000</v>
      </c>
      <c r="M12" s="3">
        <f t="shared" si="5"/>
        <v>0</v>
      </c>
      <c r="N12" s="3"/>
      <c r="P12" s="3">
        <f t="shared" si="0"/>
        <v>0</v>
      </c>
    </row>
    <row r="13" spans="1:16" x14ac:dyDescent="0.45">
      <c r="A13" t="s">
        <v>18</v>
      </c>
      <c r="B13" s="1">
        <v>401000000</v>
      </c>
      <c r="C13" s="2">
        <v>0.2</v>
      </c>
      <c r="D13" s="2">
        <v>0.2</v>
      </c>
      <c r="E13" s="2">
        <v>0.6</v>
      </c>
      <c r="F13" s="3">
        <f t="shared" si="1"/>
        <v>80200000</v>
      </c>
      <c r="G13" s="3">
        <f t="shared" si="2"/>
        <v>80200000</v>
      </c>
      <c r="H13" s="3">
        <f t="shared" si="3"/>
        <v>240600000</v>
      </c>
      <c r="L13" s="3">
        <f t="shared" si="4"/>
        <v>0</v>
      </c>
      <c r="M13" s="3">
        <f t="shared" si="5"/>
        <v>0</v>
      </c>
      <c r="N13" s="3"/>
      <c r="P13" s="3">
        <f t="shared" si="0"/>
        <v>0</v>
      </c>
    </row>
    <row r="14" spans="1:16" x14ac:dyDescent="0.45">
      <c r="A14" t="s">
        <v>23</v>
      </c>
      <c r="B14" s="1">
        <v>373000000</v>
      </c>
      <c r="C14" s="2">
        <v>1</v>
      </c>
      <c r="F14" s="3">
        <f t="shared" si="1"/>
        <v>373000000</v>
      </c>
      <c r="G14" s="3">
        <f t="shared" si="2"/>
        <v>0</v>
      </c>
      <c r="H14" s="3">
        <f t="shared" si="3"/>
        <v>0</v>
      </c>
      <c r="I14">
        <v>1</v>
      </c>
      <c r="L14" s="3">
        <f t="shared" si="4"/>
        <v>373000000</v>
      </c>
      <c r="M14" s="3">
        <f t="shared" si="5"/>
        <v>0</v>
      </c>
      <c r="N14" s="3"/>
      <c r="O14" s="2">
        <v>0.8</v>
      </c>
      <c r="P14" s="3">
        <f t="shared" si="0"/>
        <v>298400000</v>
      </c>
    </row>
    <row r="15" spans="1:16" x14ac:dyDescent="0.45">
      <c r="A15" t="s">
        <v>21</v>
      </c>
      <c r="B15" s="1">
        <v>372000000</v>
      </c>
      <c r="C15" s="2">
        <v>0.4</v>
      </c>
      <c r="D15" s="2">
        <v>0.6</v>
      </c>
      <c r="F15" s="3">
        <f t="shared" si="1"/>
        <v>148800000</v>
      </c>
      <c r="G15" s="3">
        <f t="shared" si="2"/>
        <v>223200000</v>
      </c>
      <c r="H15" s="3">
        <f t="shared" si="3"/>
        <v>0</v>
      </c>
      <c r="L15" s="3">
        <f t="shared" si="4"/>
        <v>0</v>
      </c>
      <c r="M15" s="3">
        <f t="shared" si="5"/>
        <v>0</v>
      </c>
      <c r="N15" s="3"/>
      <c r="P15" s="3">
        <f t="shared" si="0"/>
        <v>0</v>
      </c>
    </row>
    <row r="16" spans="1:16" x14ac:dyDescent="0.45">
      <c r="A16" t="s">
        <v>40</v>
      </c>
      <c r="B16" s="1">
        <v>356000000</v>
      </c>
      <c r="C16" s="2">
        <v>0.2</v>
      </c>
      <c r="E16" s="2">
        <v>0.8</v>
      </c>
      <c r="F16" s="3">
        <f t="shared" si="1"/>
        <v>71200000</v>
      </c>
      <c r="G16" s="3">
        <f t="shared" si="2"/>
        <v>0</v>
      </c>
      <c r="H16" s="3">
        <f t="shared" si="3"/>
        <v>284800000</v>
      </c>
      <c r="L16" s="3">
        <f t="shared" si="4"/>
        <v>0</v>
      </c>
      <c r="M16" s="3">
        <f t="shared" si="5"/>
        <v>0</v>
      </c>
      <c r="N16" s="3"/>
      <c r="P16" s="3">
        <f t="shared" si="0"/>
        <v>0</v>
      </c>
    </row>
    <row r="17" spans="1:16" x14ac:dyDescent="0.45">
      <c r="A17" t="s">
        <v>53</v>
      </c>
      <c r="B17" s="1">
        <v>355000000</v>
      </c>
      <c r="C17" s="2">
        <v>0.8</v>
      </c>
      <c r="D17" s="2">
        <v>0.2</v>
      </c>
      <c r="F17" s="3">
        <f t="shared" si="1"/>
        <v>284000000</v>
      </c>
      <c r="G17" s="3">
        <f t="shared" si="2"/>
        <v>71000000</v>
      </c>
      <c r="H17" s="3">
        <f t="shared" si="3"/>
        <v>0</v>
      </c>
      <c r="L17" s="3">
        <f t="shared" si="4"/>
        <v>0</v>
      </c>
      <c r="M17" s="3">
        <f t="shared" si="5"/>
        <v>0</v>
      </c>
      <c r="N17" s="3"/>
      <c r="O17" s="2">
        <v>0.2</v>
      </c>
      <c r="P17" s="3">
        <f t="shared" si="0"/>
        <v>71000000</v>
      </c>
    </row>
    <row r="18" spans="1:16" x14ac:dyDescent="0.45">
      <c r="A18" t="s">
        <v>1</v>
      </c>
      <c r="B18" s="1">
        <v>344000000</v>
      </c>
      <c r="C18" s="2">
        <v>1</v>
      </c>
      <c r="F18" s="3">
        <f t="shared" si="1"/>
        <v>344000000</v>
      </c>
      <c r="G18" s="3">
        <f t="shared" si="2"/>
        <v>0</v>
      </c>
      <c r="H18" s="3">
        <f t="shared" si="3"/>
        <v>0</v>
      </c>
      <c r="J18">
        <v>1</v>
      </c>
      <c r="L18" s="3">
        <f t="shared" si="4"/>
        <v>0</v>
      </c>
      <c r="M18" s="3">
        <f t="shared" si="5"/>
        <v>344000000</v>
      </c>
      <c r="N18" s="3"/>
      <c r="P18" s="3">
        <f t="shared" si="0"/>
        <v>0</v>
      </c>
    </row>
    <row r="19" spans="1:16" x14ac:dyDescent="0.45">
      <c r="A19" t="s">
        <v>3</v>
      </c>
      <c r="B19" s="1">
        <v>332000000</v>
      </c>
      <c r="C19" s="2">
        <v>1</v>
      </c>
      <c r="F19" s="3">
        <f t="shared" si="1"/>
        <v>332000000</v>
      </c>
      <c r="G19" s="3">
        <f t="shared" si="2"/>
        <v>0</v>
      </c>
      <c r="H19" s="3">
        <f t="shared" si="3"/>
        <v>0</v>
      </c>
      <c r="I19" s="2">
        <v>0.7</v>
      </c>
      <c r="J19" s="2">
        <v>0.3</v>
      </c>
      <c r="K19" s="2"/>
      <c r="L19" s="3">
        <f t="shared" si="4"/>
        <v>232400000</v>
      </c>
      <c r="M19" s="3">
        <f t="shared" si="5"/>
        <v>99600000</v>
      </c>
      <c r="N19" s="3"/>
      <c r="P19" s="3">
        <f t="shared" si="0"/>
        <v>0</v>
      </c>
    </row>
    <row r="20" spans="1:16" x14ac:dyDescent="0.45">
      <c r="A20" t="s">
        <v>0</v>
      </c>
      <c r="B20" s="1">
        <v>326000000</v>
      </c>
      <c r="F20" s="3">
        <f t="shared" si="1"/>
        <v>0</v>
      </c>
      <c r="G20" s="3">
        <f t="shared" si="2"/>
        <v>0</v>
      </c>
      <c r="H20" s="3">
        <f t="shared" si="3"/>
        <v>0</v>
      </c>
      <c r="L20" s="3">
        <f t="shared" si="4"/>
        <v>0</v>
      </c>
      <c r="M20" s="3">
        <f t="shared" si="5"/>
        <v>0</v>
      </c>
      <c r="N20" s="3"/>
      <c r="P20" s="3">
        <f t="shared" si="0"/>
        <v>0</v>
      </c>
    </row>
    <row r="21" spans="1:16" x14ac:dyDescent="0.45">
      <c r="A21" t="s">
        <v>25</v>
      </c>
      <c r="B21" s="1">
        <v>323000000</v>
      </c>
      <c r="C21" s="2">
        <v>1</v>
      </c>
      <c r="F21" s="3">
        <f t="shared" si="1"/>
        <v>323000000</v>
      </c>
      <c r="G21" s="3">
        <f t="shared" si="2"/>
        <v>0</v>
      </c>
      <c r="H21" s="3">
        <f t="shared" si="3"/>
        <v>0</v>
      </c>
      <c r="I21">
        <v>1</v>
      </c>
      <c r="L21" s="3">
        <f t="shared" si="4"/>
        <v>323000000</v>
      </c>
      <c r="M21" s="3">
        <f t="shared" si="5"/>
        <v>0</v>
      </c>
      <c r="N21" s="3"/>
      <c r="O21" s="2">
        <v>0.3</v>
      </c>
      <c r="P21" s="3">
        <f t="shared" si="0"/>
        <v>96900000</v>
      </c>
    </row>
    <row r="22" spans="1:16" x14ac:dyDescent="0.45">
      <c r="A22" t="s">
        <v>19</v>
      </c>
      <c r="B22" s="1">
        <v>322000000</v>
      </c>
      <c r="F22" s="3">
        <f t="shared" si="1"/>
        <v>0</v>
      </c>
      <c r="G22" s="3">
        <f t="shared" si="2"/>
        <v>0</v>
      </c>
      <c r="H22" s="3">
        <f t="shared" si="3"/>
        <v>0</v>
      </c>
      <c r="L22" s="3">
        <f t="shared" si="4"/>
        <v>0</v>
      </c>
      <c r="M22" s="3">
        <f t="shared" si="5"/>
        <v>0</v>
      </c>
      <c r="N22" s="3"/>
      <c r="P22" s="3">
        <f t="shared" si="0"/>
        <v>0</v>
      </c>
    </row>
    <row r="23" spans="1:16" x14ac:dyDescent="0.45">
      <c r="A23" t="s">
        <v>42</v>
      </c>
      <c r="B23" s="1">
        <v>306000000</v>
      </c>
      <c r="F23" s="3">
        <f t="shared" si="1"/>
        <v>0</v>
      </c>
      <c r="G23" s="3">
        <f t="shared" si="2"/>
        <v>0</v>
      </c>
      <c r="H23" s="3">
        <f t="shared" si="3"/>
        <v>0</v>
      </c>
      <c r="L23" s="3">
        <f t="shared" si="4"/>
        <v>0</v>
      </c>
      <c r="M23" s="3">
        <f t="shared" si="5"/>
        <v>0</v>
      </c>
      <c r="N23" s="3"/>
      <c r="P23" s="3">
        <f t="shared" si="0"/>
        <v>0</v>
      </c>
    </row>
    <row r="24" spans="1:16" x14ac:dyDescent="0.45">
      <c r="A24" t="s">
        <v>20</v>
      </c>
      <c r="B24" s="1">
        <v>301000000</v>
      </c>
      <c r="F24" s="3">
        <f t="shared" si="1"/>
        <v>0</v>
      </c>
      <c r="G24" s="3">
        <f t="shared" si="2"/>
        <v>0</v>
      </c>
      <c r="H24" s="3">
        <f t="shared" si="3"/>
        <v>0</v>
      </c>
      <c r="L24" s="3">
        <f t="shared" si="4"/>
        <v>0</v>
      </c>
      <c r="M24" s="3">
        <f t="shared" si="5"/>
        <v>0</v>
      </c>
      <c r="N24" s="3"/>
      <c r="P24" s="3">
        <f t="shared" si="0"/>
        <v>0</v>
      </c>
    </row>
    <row r="25" spans="1:16" x14ac:dyDescent="0.45">
      <c r="A25" t="s">
        <v>22</v>
      </c>
      <c r="B25" s="1">
        <v>260000000</v>
      </c>
      <c r="F25" s="3">
        <f t="shared" si="1"/>
        <v>0</v>
      </c>
      <c r="G25" s="3">
        <f t="shared" si="2"/>
        <v>0</v>
      </c>
      <c r="H25" s="3">
        <f t="shared" si="3"/>
        <v>0</v>
      </c>
      <c r="L25" s="3">
        <f t="shared" si="4"/>
        <v>0</v>
      </c>
      <c r="M25" s="3">
        <f t="shared" si="5"/>
        <v>0</v>
      </c>
      <c r="N25" s="3"/>
      <c r="P25" s="3">
        <f t="shared" si="0"/>
        <v>0</v>
      </c>
    </row>
    <row r="26" spans="1:16" x14ac:dyDescent="0.45">
      <c r="A26" t="s">
        <v>7</v>
      </c>
      <c r="B26" s="1">
        <v>255000000</v>
      </c>
      <c r="C26" s="2">
        <v>1</v>
      </c>
      <c r="F26" s="3">
        <f t="shared" si="1"/>
        <v>255000000</v>
      </c>
      <c r="G26" s="3">
        <f t="shared" si="2"/>
        <v>0</v>
      </c>
      <c r="H26" s="3">
        <f t="shared" si="3"/>
        <v>0</v>
      </c>
      <c r="I26">
        <v>1</v>
      </c>
      <c r="L26" s="3">
        <f t="shared" si="4"/>
        <v>255000000</v>
      </c>
      <c r="M26" s="3">
        <f t="shared" si="5"/>
        <v>0</v>
      </c>
      <c r="N26" s="3"/>
      <c r="P26" s="3">
        <f t="shared" si="0"/>
        <v>0</v>
      </c>
    </row>
    <row r="27" spans="1:16" x14ac:dyDescent="0.45">
      <c r="A27" t="s">
        <v>29</v>
      </c>
      <c r="B27" s="1">
        <v>251000000</v>
      </c>
      <c r="F27" s="3">
        <f t="shared" si="1"/>
        <v>0</v>
      </c>
      <c r="G27" s="3">
        <f t="shared" si="2"/>
        <v>0</v>
      </c>
      <c r="H27" s="3">
        <f t="shared" si="3"/>
        <v>0</v>
      </c>
      <c r="L27" s="3">
        <f t="shared" si="4"/>
        <v>0</v>
      </c>
      <c r="M27" s="3">
        <f t="shared" si="5"/>
        <v>0</v>
      </c>
      <c r="N27" s="3"/>
      <c r="P27" s="3">
        <f t="shared" si="0"/>
        <v>0</v>
      </c>
    </row>
    <row r="28" spans="1:16" x14ac:dyDescent="0.45">
      <c r="A28" t="s">
        <v>50</v>
      </c>
      <c r="B28" s="1">
        <v>209000000</v>
      </c>
      <c r="C28" s="2">
        <v>1</v>
      </c>
      <c r="F28" s="3">
        <f t="shared" si="1"/>
        <v>209000000</v>
      </c>
      <c r="G28" s="3">
        <f t="shared" si="2"/>
        <v>0</v>
      </c>
      <c r="H28" s="3">
        <f t="shared" si="3"/>
        <v>0</v>
      </c>
      <c r="L28" s="3">
        <f t="shared" si="4"/>
        <v>0</v>
      </c>
      <c r="M28" s="3">
        <f t="shared" si="5"/>
        <v>0</v>
      </c>
      <c r="N28" s="3"/>
      <c r="O28" s="2">
        <v>0.3</v>
      </c>
      <c r="P28" s="3">
        <f t="shared" si="0"/>
        <v>62700000</v>
      </c>
    </row>
    <row r="29" spans="1:16" x14ac:dyDescent="0.45">
      <c r="A29" t="s">
        <v>43</v>
      </c>
      <c r="B29" s="1">
        <v>199000000</v>
      </c>
      <c r="F29" s="3">
        <f t="shared" si="1"/>
        <v>0</v>
      </c>
      <c r="G29" s="3">
        <f t="shared" si="2"/>
        <v>0</v>
      </c>
      <c r="H29" s="3">
        <f t="shared" si="3"/>
        <v>0</v>
      </c>
      <c r="L29" s="3">
        <f t="shared" si="4"/>
        <v>0</v>
      </c>
      <c r="M29" s="3">
        <f t="shared" si="5"/>
        <v>0</v>
      </c>
      <c r="N29" s="3"/>
      <c r="P29" s="3">
        <f t="shared" si="0"/>
        <v>0</v>
      </c>
    </row>
    <row r="30" spans="1:16" x14ac:dyDescent="0.45">
      <c r="A30" t="s">
        <v>4</v>
      </c>
      <c r="B30" s="1">
        <v>185000000</v>
      </c>
      <c r="C30" s="2">
        <v>1</v>
      </c>
      <c r="F30" s="3">
        <f t="shared" si="1"/>
        <v>185000000</v>
      </c>
      <c r="G30" s="3">
        <f t="shared" si="2"/>
        <v>0</v>
      </c>
      <c r="H30" s="3">
        <f t="shared" si="3"/>
        <v>0</v>
      </c>
      <c r="I30">
        <v>1</v>
      </c>
      <c r="L30" s="3">
        <f t="shared" si="4"/>
        <v>185000000</v>
      </c>
      <c r="M30" s="3">
        <f t="shared" si="5"/>
        <v>0</v>
      </c>
      <c r="N30" s="3"/>
      <c r="P30" s="3">
        <f t="shared" si="0"/>
        <v>0</v>
      </c>
    </row>
    <row r="31" spans="1:16" x14ac:dyDescent="0.45">
      <c r="A31" t="s">
        <v>37</v>
      </c>
      <c r="B31" s="1">
        <v>180000000</v>
      </c>
      <c r="C31" s="2">
        <v>0.9</v>
      </c>
      <c r="D31" s="2">
        <v>0.1</v>
      </c>
      <c r="F31" s="3">
        <f t="shared" si="1"/>
        <v>162000000</v>
      </c>
      <c r="G31" s="3">
        <f t="shared" si="2"/>
        <v>18000000</v>
      </c>
      <c r="H31" s="3">
        <f t="shared" si="3"/>
        <v>0</v>
      </c>
      <c r="L31" s="3">
        <f t="shared" si="4"/>
        <v>0</v>
      </c>
      <c r="M31" s="3">
        <f t="shared" si="5"/>
        <v>0</v>
      </c>
      <c r="N31" s="3"/>
      <c r="P31" s="3">
        <f t="shared" si="0"/>
        <v>0</v>
      </c>
    </row>
    <row r="32" spans="1:16" x14ac:dyDescent="0.45">
      <c r="A32" t="s">
        <v>45</v>
      </c>
      <c r="B32" s="1">
        <v>170000000</v>
      </c>
      <c r="F32" s="3">
        <f t="shared" si="1"/>
        <v>0</v>
      </c>
      <c r="G32" s="3">
        <f t="shared" si="2"/>
        <v>0</v>
      </c>
      <c r="H32" s="3">
        <f t="shared" si="3"/>
        <v>0</v>
      </c>
      <c r="L32" s="3">
        <f t="shared" si="4"/>
        <v>0</v>
      </c>
      <c r="M32" s="3">
        <f t="shared" si="5"/>
        <v>0</v>
      </c>
      <c r="N32" s="3"/>
      <c r="P32" s="3">
        <f t="shared" si="0"/>
        <v>0</v>
      </c>
    </row>
    <row r="33" spans="1:16" x14ac:dyDescent="0.45">
      <c r="A33" t="s">
        <v>14</v>
      </c>
      <c r="B33" s="1">
        <v>161000000</v>
      </c>
      <c r="C33" s="2">
        <v>1</v>
      </c>
      <c r="F33" s="3">
        <f t="shared" si="1"/>
        <v>161000000</v>
      </c>
      <c r="G33" s="3">
        <f t="shared" si="2"/>
        <v>0</v>
      </c>
      <c r="H33" s="3">
        <f t="shared" si="3"/>
        <v>0</v>
      </c>
      <c r="I33">
        <v>1</v>
      </c>
      <c r="L33" s="3">
        <f t="shared" si="4"/>
        <v>161000000</v>
      </c>
      <c r="M33" s="3">
        <f t="shared" si="5"/>
        <v>0</v>
      </c>
      <c r="N33" s="3"/>
      <c r="P33" s="3">
        <f t="shared" si="0"/>
        <v>0</v>
      </c>
    </row>
    <row r="34" spans="1:16" x14ac:dyDescent="0.45">
      <c r="A34" t="s">
        <v>16</v>
      </c>
      <c r="B34" s="1">
        <v>151000000</v>
      </c>
      <c r="C34" s="2">
        <v>1</v>
      </c>
      <c r="F34" s="3">
        <f t="shared" si="1"/>
        <v>151000000</v>
      </c>
      <c r="G34" s="3">
        <f t="shared" si="2"/>
        <v>0</v>
      </c>
      <c r="H34" s="3">
        <f t="shared" si="3"/>
        <v>0</v>
      </c>
      <c r="I34">
        <v>1</v>
      </c>
      <c r="L34" s="3">
        <f t="shared" si="4"/>
        <v>151000000</v>
      </c>
      <c r="M34" s="3">
        <f t="shared" si="5"/>
        <v>0</v>
      </c>
      <c r="N34" s="3"/>
      <c r="P34" s="3">
        <f t="shared" ref="P34:P56" si="6">O34*B34</f>
        <v>0</v>
      </c>
    </row>
    <row r="35" spans="1:16" x14ac:dyDescent="0.45">
      <c r="A35" t="s">
        <v>35</v>
      </c>
      <c r="B35" s="1">
        <v>151000000</v>
      </c>
      <c r="C35" s="2">
        <v>1</v>
      </c>
      <c r="F35" s="3">
        <f t="shared" si="1"/>
        <v>151000000</v>
      </c>
      <c r="G35" s="3">
        <f t="shared" si="2"/>
        <v>0</v>
      </c>
      <c r="H35" s="3">
        <f t="shared" si="3"/>
        <v>0</v>
      </c>
      <c r="L35" s="3">
        <f t="shared" si="4"/>
        <v>0</v>
      </c>
      <c r="M35" s="3">
        <f t="shared" si="5"/>
        <v>0</v>
      </c>
      <c r="N35" s="3"/>
      <c r="P35" s="3">
        <f t="shared" si="6"/>
        <v>0</v>
      </c>
    </row>
    <row r="36" spans="1:16" x14ac:dyDescent="0.45">
      <c r="A36" t="s">
        <v>31</v>
      </c>
      <c r="B36" s="1">
        <v>148000000</v>
      </c>
      <c r="C36" s="2">
        <v>1</v>
      </c>
      <c r="F36" s="3">
        <f t="shared" si="1"/>
        <v>148000000</v>
      </c>
      <c r="G36" s="3">
        <f t="shared" si="2"/>
        <v>0</v>
      </c>
      <c r="H36" s="3">
        <f t="shared" si="3"/>
        <v>0</v>
      </c>
      <c r="L36" s="3">
        <f t="shared" si="4"/>
        <v>0</v>
      </c>
      <c r="M36" s="3">
        <f t="shared" si="5"/>
        <v>0</v>
      </c>
      <c r="N36" s="3"/>
      <c r="P36" s="3">
        <f t="shared" si="6"/>
        <v>0</v>
      </c>
    </row>
    <row r="37" spans="1:16" x14ac:dyDescent="0.45">
      <c r="A37" t="s">
        <v>38</v>
      </c>
      <c r="B37" s="1">
        <v>147000000</v>
      </c>
      <c r="C37" s="2">
        <v>1</v>
      </c>
      <c r="F37" s="3">
        <f t="shared" si="1"/>
        <v>147000000</v>
      </c>
      <c r="G37" s="3">
        <f t="shared" si="2"/>
        <v>0</v>
      </c>
      <c r="H37" s="3">
        <f t="shared" si="3"/>
        <v>0</v>
      </c>
      <c r="L37" s="3">
        <f t="shared" si="4"/>
        <v>0</v>
      </c>
      <c r="M37" s="3">
        <f t="shared" si="5"/>
        <v>0</v>
      </c>
      <c r="N37" s="3"/>
      <c r="P37" s="3">
        <f t="shared" si="6"/>
        <v>0</v>
      </c>
    </row>
    <row r="38" spans="1:16" x14ac:dyDescent="0.45">
      <c r="A38" t="s">
        <v>5</v>
      </c>
      <c r="B38" s="1">
        <v>135000000</v>
      </c>
      <c r="C38" s="2">
        <v>1</v>
      </c>
      <c r="F38" s="3">
        <f t="shared" si="1"/>
        <v>135000000</v>
      </c>
      <c r="G38" s="3">
        <f t="shared" si="2"/>
        <v>0</v>
      </c>
      <c r="H38" s="3">
        <f t="shared" si="3"/>
        <v>0</v>
      </c>
      <c r="I38">
        <v>1</v>
      </c>
      <c r="L38" s="3">
        <f t="shared" si="4"/>
        <v>135000000</v>
      </c>
      <c r="M38" s="3">
        <f t="shared" si="5"/>
        <v>0</v>
      </c>
      <c r="N38" s="3"/>
      <c r="O38" s="2">
        <v>0.2</v>
      </c>
      <c r="P38" s="3">
        <f t="shared" si="6"/>
        <v>27000000</v>
      </c>
    </row>
    <row r="39" spans="1:16" x14ac:dyDescent="0.45">
      <c r="A39" t="s">
        <v>24</v>
      </c>
      <c r="B39" s="1">
        <v>133000000</v>
      </c>
      <c r="C39" s="2">
        <v>1</v>
      </c>
      <c r="F39" s="3">
        <f t="shared" si="1"/>
        <v>133000000</v>
      </c>
      <c r="G39" s="3">
        <f t="shared" si="2"/>
        <v>0</v>
      </c>
      <c r="H39" s="3">
        <f t="shared" si="3"/>
        <v>0</v>
      </c>
      <c r="L39" s="3">
        <f t="shared" si="4"/>
        <v>0</v>
      </c>
      <c r="M39" s="3">
        <f t="shared" si="5"/>
        <v>0</v>
      </c>
      <c r="N39" s="3"/>
      <c r="P39" s="3">
        <f t="shared" si="6"/>
        <v>0</v>
      </c>
    </row>
    <row r="40" spans="1:16" x14ac:dyDescent="0.45">
      <c r="A40" t="s">
        <v>17</v>
      </c>
      <c r="B40" s="1">
        <v>128000000</v>
      </c>
      <c r="C40" s="2">
        <v>1</v>
      </c>
      <c r="F40" s="3">
        <f t="shared" si="1"/>
        <v>128000000</v>
      </c>
      <c r="G40" s="3">
        <f t="shared" si="2"/>
        <v>0</v>
      </c>
      <c r="H40" s="3">
        <f t="shared" si="3"/>
        <v>0</v>
      </c>
      <c r="I40">
        <v>1</v>
      </c>
      <c r="L40" s="3">
        <f t="shared" si="4"/>
        <v>128000000</v>
      </c>
      <c r="M40" s="3">
        <f t="shared" si="5"/>
        <v>0</v>
      </c>
      <c r="N40" s="3"/>
      <c r="O40" s="2">
        <v>0.2</v>
      </c>
      <c r="P40" s="3">
        <f t="shared" si="6"/>
        <v>25600000</v>
      </c>
    </row>
    <row r="41" spans="1:16" x14ac:dyDescent="0.45">
      <c r="A41" t="s">
        <v>26</v>
      </c>
      <c r="B41" s="1">
        <v>127000000</v>
      </c>
      <c r="C41" s="2">
        <v>1</v>
      </c>
      <c r="F41" s="3">
        <f t="shared" si="1"/>
        <v>127000000</v>
      </c>
      <c r="G41" s="3">
        <f t="shared" si="2"/>
        <v>0</v>
      </c>
      <c r="H41" s="3">
        <f t="shared" si="3"/>
        <v>0</v>
      </c>
      <c r="I41">
        <v>1</v>
      </c>
      <c r="L41" s="3">
        <f t="shared" si="4"/>
        <v>127000000</v>
      </c>
      <c r="M41" s="3">
        <f t="shared" si="5"/>
        <v>0</v>
      </c>
      <c r="N41" s="3"/>
      <c r="P41" s="3">
        <f t="shared" si="6"/>
        <v>0</v>
      </c>
    </row>
    <row r="42" spans="1:16" x14ac:dyDescent="0.45">
      <c r="A42" t="s">
        <v>30</v>
      </c>
      <c r="B42" s="1">
        <v>115000000</v>
      </c>
      <c r="C42" s="2">
        <v>1</v>
      </c>
      <c r="F42" s="3">
        <f t="shared" si="1"/>
        <v>115000000</v>
      </c>
      <c r="G42" s="3">
        <f t="shared" si="2"/>
        <v>0</v>
      </c>
      <c r="H42" s="3">
        <f t="shared" si="3"/>
        <v>0</v>
      </c>
      <c r="I42">
        <v>1</v>
      </c>
      <c r="L42" s="3">
        <f t="shared" si="4"/>
        <v>115000000</v>
      </c>
      <c r="M42" s="3">
        <f t="shared" si="5"/>
        <v>0</v>
      </c>
      <c r="N42" s="3"/>
      <c r="O42" s="2">
        <v>0.2</v>
      </c>
      <c r="P42" s="3">
        <f t="shared" si="6"/>
        <v>23000000</v>
      </c>
    </row>
    <row r="43" spans="1:16" x14ac:dyDescent="0.45">
      <c r="A43" t="s">
        <v>52</v>
      </c>
      <c r="B43" s="1">
        <v>108000000</v>
      </c>
      <c r="C43" s="2">
        <v>1</v>
      </c>
      <c r="F43" s="3">
        <f t="shared" si="1"/>
        <v>108000000</v>
      </c>
      <c r="G43" s="3">
        <f t="shared" si="2"/>
        <v>0</v>
      </c>
      <c r="H43" s="3">
        <f t="shared" si="3"/>
        <v>0</v>
      </c>
      <c r="I43">
        <v>1</v>
      </c>
      <c r="L43" s="3">
        <f t="shared" si="4"/>
        <v>108000000</v>
      </c>
      <c r="M43" s="3">
        <f t="shared" si="5"/>
        <v>0</v>
      </c>
      <c r="N43" s="3"/>
      <c r="O43" s="2">
        <v>0.2</v>
      </c>
      <c r="P43" s="3">
        <f t="shared" si="6"/>
        <v>21600000</v>
      </c>
    </row>
    <row r="44" spans="1:16" x14ac:dyDescent="0.45">
      <c r="A44" t="s">
        <v>58</v>
      </c>
      <c r="B44" s="1">
        <v>100000000</v>
      </c>
      <c r="C44" s="2">
        <v>1</v>
      </c>
      <c r="F44" s="3">
        <f t="shared" si="1"/>
        <v>100000000</v>
      </c>
      <c r="G44" s="3">
        <f t="shared" si="2"/>
        <v>0</v>
      </c>
      <c r="H44" s="3">
        <f t="shared" si="3"/>
        <v>0</v>
      </c>
      <c r="L44" s="3">
        <f t="shared" si="4"/>
        <v>0</v>
      </c>
      <c r="M44" s="3">
        <f t="shared" si="5"/>
        <v>0</v>
      </c>
      <c r="N44" s="3"/>
      <c r="P44" s="3">
        <f t="shared" si="6"/>
        <v>0</v>
      </c>
    </row>
    <row r="45" spans="1:16" x14ac:dyDescent="0.45">
      <c r="A45" t="s">
        <v>15</v>
      </c>
      <c r="B45" s="1">
        <v>86000000</v>
      </c>
      <c r="C45" s="2">
        <v>1</v>
      </c>
      <c r="F45" s="3">
        <f t="shared" si="1"/>
        <v>86000000</v>
      </c>
      <c r="G45" s="3">
        <f t="shared" si="2"/>
        <v>0</v>
      </c>
      <c r="H45" s="3">
        <f t="shared" si="3"/>
        <v>0</v>
      </c>
      <c r="I45">
        <v>1</v>
      </c>
      <c r="L45" s="3">
        <f t="shared" si="4"/>
        <v>86000000</v>
      </c>
      <c r="M45" s="3">
        <f t="shared" si="5"/>
        <v>0</v>
      </c>
      <c r="N45" s="3"/>
      <c r="P45" s="3">
        <f t="shared" si="6"/>
        <v>0</v>
      </c>
    </row>
    <row r="46" spans="1:16" x14ac:dyDescent="0.45">
      <c r="A46" t="s">
        <v>10</v>
      </c>
      <c r="B46" s="1">
        <v>84000000</v>
      </c>
      <c r="C46" s="2">
        <v>1</v>
      </c>
      <c r="F46" s="3">
        <f t="shared" si="1"/>
        <v>84000000</v>
      </c>
      <c r="G46" s="3">
        <f t="shared" si="2"/>
        <v>0</v>
      </c>
      <c r="H46" s="3">
        <f t="shared" si="3"/>
        <v>0</v>
      </c>
      <c r="I46">
        <v>1</v>
      </c>
      <c r="L46" s="3">
        <f t="shared" si="4"/>
        <v>84000000</v>
      </c>
      <c r="M46" s="3">
        <f t="shared" si="5"/>
        <v>0</v>
      </c>
      <c r="N46" s="3"/>
      <c r="P46" s="3">
        <f t="shared" si="6"/>
        <v>0</v>
      </c>
    </row>
    <row r="47" spans="1:16" x14ac:dyDescent="0.45">
      <c r="A47" t="s">
        <v>11</v>
      </c>
      <c r="B47" s="1">
        <v>67000000</v>
      </c>
      <c r="C47" s="2">
        <v>1</v>
      </c>
      <c r="F47" s="3">
        <f t="shared" si="1"/>
        <v>67000000</v>
      </c>
      <c r="G47" s="3">
        <f t="shared" si="2"/>
        <v>0</v>
      </c>
      <c r="H47" s="3">
        <f t="shared" si="3"/>
        <v>0</v>
      </c>
      <c r="I47" s="2">
        <v>0.2</v>
      </c>
      <c r="J47" s="2">
        <v>0.8</v>
      </c>
      <c r="K47" s="2"/>
      <c r="L47" s="3">
        <f t="shared" si="4"/>
        <v>13400000</v>
      </c>
      <c r="M47" s="3">
        <f t="shared" si="5"/>
        <v>53600000</v>
      </c>
      <c r="N47" s="3"/>
      <c r="P47" s="3">
        <f t="shared" si="6"/>
        <v>0</v>
      </c>
    </row>
    <row r="48" spans="1:16" x14ac:dyDescent="0.45">
      <c r="A48" t="s">
        <v>6</v>
      </c>
      <c r="B48" s="1">
        <v>60000000</v>
      </c>
      <c r="C48" s="2">
        <v>1</v>
      </c>
      <c r="F48" s="3">
        <f t="shared" si="1"/>
        <v>60000000</v>
      </c>
      <c r="G48" s="3">
        <f t="shared" si="2"/>
        <v>0</v>
      </c>
      <c r="H48" s="3">
        <f t="shared" si="3"/>
        <v>0</v>
      </c>
      <c r="I48">
        <v>1</v>
      </c>
      <c r="L48" s="3">
        <f t="shared" si="4"/>
        <v>60000000</v>
      </c>
      <c r="M48" s="3">
        <f t="shared" si="5"/>
        <v>0</v>
      </c>
      <c r="N48" s="3"/>
      <c r="P48" s="3">
        <f t="shared" si="6"/>
        <v>0</v>
      </c>
    </row>
    <row r="49" spans="1:16" x14ac:dyDescent="0.45">
      <c r="A49" t="s">
        <v>13</v>
      </c>
      <c r="B49" s="1">
        <v>60000000</v>
      </c>
      <c r="C49" s="2">
        <v>1</v>
      </c>
      <c r="F49" s="3">
        <f t="shared" si="1"/>
        <v>60000000</v>
      </c>
      <c r="G49" s="3">
        <f t="shared" si="2"/>
        <v>0</v>
      </c>
      <c r="H49" s="3">
        <f t="shared" si="3"/>
        <v>0</v>
      </c>
      <c r="I49">
        <v>1</v>
      </c>
      <c r="L49" s="3">
        <f t="shared" si="4"/>
        <v>60000000</v>
      </c>
      <c r="M49" s="3">
        <f t="shared" si="5"/>
        <v>0</v>
      </c>
      <c r="N49" s="3"/>
      <c r="O49" s="2">
        <v>0.2</v>
      </c>
      <c r="P49" s="3">
        <f t="shared" si="6"/>
        <v>12000000</v>
      </c>
    </row>
    <row r="50" spans="1:16" x14ac:dyDescent="0.45">
      <c r="A50" t="s">
        <v>32</v>
      </c>
      <c r="B50" s="1">
        <v>55000000</v>
      </c>
      <c r="C50" s="2">
        <v>1</v>
      </c>
      <c r="F50" s="3">
        <f t="shared" si="1"/>
        <v>55000000</v>
      </c>
      <c r="G50" s="3">
        <f t="shared" si="2"/>
        <v>0</v>
      </c>
      <c r="H50" s="3">
        <f t="shared" si="3"/>
        <v>0</v>
      </c>
      <c r="L50" s="3">
        <f t="shared" si="4"/>
        <v>0</v>
      </c>
      <c r="M50" s="3">
        <f t="shared" si="5"/>
        <v>0</v>
      </c>
      <c r="N50" s="3"/>
      <c r="P50" s="3">
        <f t="shared" si="6"/>
        <v>0</v>
      </c>
    </row>
    <row r="51" spans="1:16" x14ac:dyDescent="0.45">
      <c r="A51" t="s">
        <v>33</v>
      </c>
      <c r="B51" s="1">
        <v>52000000</v>
      </c>
      <c r="C51" s="2">
        <v>1</v>
      </c>
      <c r="F51" s="3">
        <f t="shared" si="1"/>
        <v>52000000</v>
      </c>
      <c r="G51" s="3">
        <f t="shared" si="2"/>
        <v>0</v>
      </c>
      <c r="H51" s="3">
        <f t="shared" si="3"/>
        <v>0</v>
      </c>
      <c r="L51" s="3">
        <f t="shared" si="4"/>
        <v>0</v>
      </c>
      <c r="M51" s="3">
        <f t="shared" si="5"/>
        <v>0</v>
      </c>
      <c r="N51" s="3"/>
      <c r="O51" s="2">
        <v>0.2</v>
      </c>
      <c r="P51" s="3">
        <f t="shared" si="6"/>
        <v>10400000</v>
      </c>
    </row>
    <row r="52" spans="1:16" x14ac:dyDescent="0.45">
      <c r="A52" t="s">
        <v>2</v>
      </c>
      <c r="B52" s="1">
        <v>49000000</v>
      </c>
      <c r="C52" s="2">
        <v>1</v>
      </c>
      <c r="F52" s="3">
        <f t="shared" si="1"/>
        <v>49000000</v>
      </c>
      <c r="G52" s="3">
        <f t="shared" si="2"/>
        <v>0</v>
      </c>
      <c r="H52" s="3">
        <f t="shared" si="3"/>
        <v>0</v>
      </c>
      <c r="I52" s="2">
        <v>0.4</v>
      </c>
      <c r="J52" s="2">
        <v>0.6</v>
      </c>
      <c r="K52" s="2"/>
      <c r="L52" s="3">
        <f t="shared" si="4"/>
        <v>19600000</v>
      </c>
      <c r="M52" s="3">
        <f t="shared" si="5"/>
        <v>29400000</v>
      </c>
      <c r="N52" s="3"/>
      <c r="P52" s="3">
        <f t="shared" si="6"/>
        <v>0</v>
      </c>
    </row>
    <row r="53" spans="1:16" x14ac:dyDescent="0.45">
      <c r="A53" t="s">
        <v>8</v>
      </c>
      <c r="B53" s="1">
        <v>48000000</v>
      </c>
      <c r="F53" s="3">
        <f t="shared" si="1"/>
        <v>0</v>
      </c>
      <c r="G53" s="3">
        <f t="shared" si="2"/>
        <v>0</v>
      </c>
      <c r="H53" s="3">
        <f t="shared" si="3"/>
        <v>0</v>
      </c>
      <c r="L53" s="3">
        <f t="shared" si="4"/>
        <v>0</v>
      </c>
      <c r="M53" s="3">
        <f t="shared" si="5"/>
        <v>0</v>
      </c>
      <c r="N53" s="3"/>
      <c r="P53" s="3">
        <f t="shared" si="6"/>
        <v>0</v>
      </c>
    </row>
    <row r="54" spans="1:16" x14ac:dyDescent="0.45">
      <c r="A54" t="s">
        <v>44</v>
      </c>
      <c r="B54" s="1">
        <v>40000000</v>
      </c>
      <c r="F54" s="3">
        <f t="shared" si="1"/>
        <v>0</v>
      </c>
      <c r="G54" s="3">
        <f t="shared" si="2"/>
        <v>0</v>
      </c>
      <c r="H54" s="3">
        <f t="shared" si="3"/>
        <v>0</v>
      </c>
      <c r="L54" s="3">
        <f t="shared" si="4"/>
        <v>0</v>
      </c>
      <c r="M54" s="3">
        <f t="shared" si="5"/>
        <v>0</v>
      </c>
      <c r="N54" s="3"/>
      <c r="P54" s="3">
        <f t="shared" si="6"/>
        <v>0</v>
      </c>
    </row>
    <row r="55" spans="1:16" x14ac:dyDescent="0.45">
      <c r="A55" t="s">
        <v>12</v>
      </c>
      <c r="B55" s="1">
        <v>36000000</v>
      </c>
      <c r="C55" s="2">
        <v>1</v>
      </c>
      <c r="F55" s="3">
        <f t="shared" si="1"/>
        <v>36000000</v>
      </c>
      <c r="G55" s="3">
        <f t="shared" si="2"/>
        <v>0</v>
      </c>
      <c r="H55" s="3">
        <f t="shared" si="3"/>
        <v>0</v>
      </c>
      <c r="I55">
        <v>1</v>
      </c>
      <c r="L55" s="3">
        <f t="shared" si="4"/>
        <v>36000000</v>
      </c>
      <c r="M55" s="3">
        <f t="shared" si="5"/>
        <v>0</v>
      </c>
      <c r="N55" s="3"/>
      <c r="P55" s="3">
        <f t="shared" si="6"/>
        <v>0</v>
      </c>
    </row>
    <row r="56" spans="1:16" x14ac:dyDescent="0.45">
      <c r="A56" t="s">
        <v>9</v>
      </c>
      <c r="B56" s="1">
        <v>20000000</v>
      </c>
      <c r="C56" s="2">
        <v>1</v>
      </c>
      <c r="F56" s="3">
        <f t="shared" si="1"/>
        <v>20000000</v>
      </c>
      <c r="G56" s="3">
        <f t="shared" si="2"/>
        <v>0</v>
      </c>
      <c r="H56" s="3">
        <f t="shared" si="3"/>
        <v>0</v>
      </c>
      <c r="L56" s="3">
        <f t="shared" si="4"/>
        <v>0</v>
      </c>
      <c r="M56" s="3">
        <f t="shared" si="5"/>
        <v>0</v>
      </c>
      <c r="N56" s="3"/>
      <c r="P56" s="3">
        <f t="shared" si="6"/>
        <v>0</v>
      </c>
    </row>
    <row r="57" spans="1:16" x14ac:dyDescent="0.45">
      <c r="A57" s="3">
        <f>COUNTA(A2:A56)</f>
        <v>55</v>
      </c>
      <c r="B57" s="3">
        <f>SUM(B2:B56)</f>
        <v>23273000000</v>
      </c>
      <c r="C57" s="4"/>
      <c r="D57" s="4"/>
      <c r="E57" s="4"/>
      <c r="F57" s="3">
        <f t="shared" ref="F57" si="7">SUM(F2:F56)</f>
        <v>11370800000</v>
      </c>
      <c r="G57" s="3">
        <f t="shared" ref="G57" si="8">SUM(G2:G56)</f>
        <v>2737400000</v>
      </c>
      <c r="H57" s="3">
        <f t="shared" ref="H57" si="9">SUM(H2:H56)</f>
        <v>6941800000</v>
      </c>
      <c r="I57" s="3"/>
      <c r="J57" s="3"/>
      <c r="K57" s="3"/>
      <c r="L57" s="3">
        <f t="shared" ref="L57:P57" si="10">SUM(L2:L56)</f>
        <v>3327200000</v>
      </c>
      <c r="M57" s="3">
        <f t="shared" si="10"/>
        <v>526600000</v>
      </c>
      <c r="N57" s="3"/>
      <c r="O57" s="3"/>
      <c r="P57" s="3">
        <f t="shared" si="10"/>
        <v>1106600000</v>
      </c>
    </row>
    <row r="58" spans="1:16" x14ac:dyDescent="0.45">
      <c r="F58" s="5">
        <f>F57/SUM($F$57:$H$57)</f>
        <v>0.54018052256532068</v>
      </c>
      <c r="G58" s="5">
        <f>G57/SUM($F$57:$H$57)</f>
        <v>0.13004275534441806</v>
      </c>
      <c r="H58" s="5">
        <f>H57/SUM($F$57:$H$57)</f>
        <v>0.32977672209026127</v>
      </c>
      <c r="L58" s="5">
        <f>L57/$F$57</f>
        <v>0.29260913919864917</v>
      </c>
      <c r="M58" s="5">
        <f>M57/$F$57</f>
        <v>4.6311605164104548E-2</v>
      </c>
      <c r="N58" s="5"/>
      <c r="P58" s="5">
        <f>P57/SUM($F$57:$H$57)</f>
        <v>5.2570071258907364E-2</v>
      </c>
    </row>
    <row r="59" spans="1:16" x14ac:dyDescent="0.45">
      <c r="L59" s="6">
        <v>0.25</v>
      </c>
      <c r="M59" s="6">
        <v>0.05</v>
      </c>
      <c r="N59" s="6">
        <v>0.1</v>
      </c>
    </row>
    <row r="60" spans="1:16" x14ac:dyDescent="0.45">
      <c r="M60" s="5">
        <f>1-SUM(L59:N59)</f>
        <v>0.6</v>
      </c>
    </row>
  </sheetData>
  <sortState ref="A1:B55">
    <sortCondition descending="1" ref="B1:B55"/>
  </sortState>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AG88"/>
  <sheetViews>
    <sheetView tabSelected="1" zoomScale="85" zoomScaleNormal="85" workbookViewId="0">
      <selection activeCell="F82" sqref="F82"/>
    </sheetView>
  </sheetViews>
  <sheetFormatPr defaultRowHeight="14.25" x14ac:dyDescent="0.45"/>
  <cols>
    <col min="1" max="1" width="32.86328125" customWidth="1"/>
    <col min="2" max="2" width="17.1328125" customWidth="1"/>
    <col min="3" max="4" width="5.86328125" customWidth="1"/>
    <col min="5" max="5" width="18.3984375" customWidth="1"/>
    <col min="6" max="6" width="32" customWidth="1"/>
    <col min="7" max="7" width="13.1328125" customWidth="1"/>
    <col min="8" max="8" width="10.86328125" customWidth="1"/>
    <col min="9" max="9" width="14" customWidth="1"/>
    <col min="10" max="10" width="14.73046875" bestFit="1" customWidth="1"/>
    <col min="11" max="11" width="16.265625" customWidth="1"/>
    <col min="12" max="12" width="18.86328125" bestFit="1" customWidth="1"/>
    <col min="13" max="13" width="13.59765625" bestFit="1" customWidth="1"/>
    <col min="14" max="14" width="13.59765625" customWidth="1"/>
    <col min="15" max="17" width="16.73046875" customWidth="1"/>
    <col min="18" max="18" width="11.3984375" customWidth="1"/>
    <col min="19" max="19" width="10.59765625" bestFit="1" customWidth="1"/>
    <col min="25" max="25" width="10.86328125" customWidth="1"/>
    <col min="26" max="26" width="10.59765625" bestFit="1" customWidth="1"/>
    <col min="29" max="32" width="13.73046875" customWidth="1"/>
    <col min="33" max="33" width="17.59765625" customWidth="1"/>
    <col min="34" max="34" width="13.73046875" customWidth="1"/>
    <col min="35" max="36" width="11.59765625" bestFit="1" customWidth="1"/>
  </cols>
  <sheetData>
    <row r="1" spans="1:8" ht="23.25" x14ac:dyDescent="0.7">
      <c r="A1" s="9" t="s">
        <v>144</v>
      </c>
      <c r="F1" s="9" t="s">
        <v>145</v>
      </c>
    </row>
    <row r="2" spans="1:8" x14ac:dyDescent="0.45">
      <c r="A2" s="26" t="s">
        <v>62</v>
      </c>
      <c r="B2" s="11">
        <v>517376</v>
      </c>
      <c r="C2" t="s">
        <v>54</v>
      </c>
      <c r="F2" s="26" t="s">
        <v>123</v>
      </c>
      <c r="G2" s="30">
        <v>1.2</v>
      </c>
      <c r="H2" t="s">
        <v>81</v>
      </c>
    </row>
    <row r="3" spans="1:8" x14ac:dyDescent="0.45">
      <c r="A3" s="26" t="s">
        <v>63</v>
      </c>
      <c r="B3" s="826">
        <f>364595/CST_SITE_SQM</f>
        <v>0.70470025667986147</v>
      </c>
      <c r="F3" s="26" t="s">
        <v>124</v>
      </c>
      <c r="G3" s="30">
        <v>1</v>
      </c>
      <c r="H3" t="s">
        <v>81</v>
      </c>
    </row>
    <row r="4" spans="1:8" x14ac:dyDescent="0.45">
      <c r="A4" s="26" t="s">
        <v>68</v>
      </c>
      <c r="B4" s="826">
        <f>57390/CST_SITE_SQM</f>
        <v>0.11092512988619495</v>
      </c>
      <c r="F4" s="26" t="s">
        <v>117</v>
      </c>
      <c r="G4" s="30">
        <v>1.6</v>
      </c>
      <c r="H4" t="s">
        <v>81</v>
      </c>
    </row>
    <row r="5" spans="1:8" x14ac:dyDescent="0.45">
      <c r="A5" s="26" t="s">
        <v>65</v>
      </c>
      <c r="B5" s="826">
        <f>3045/CST_SITE_SQM</f>
        <v>5.8854682088075212E-3</v>
      </c>
      <c r="F5" s="27" t="s">
        <v>125</v>
      </c>
      <c r="G5" s="32">
        <f>CST_PLT_L*CST_PLT_W</f>
        <v>1.2</v>
      </c>
      <c r="H5" t="s">
        <v>54</v>
      </c>
    </row>
    <row r="6" spans="1:8" x14ac:dyDescent="0.45">
      <c r="A6" s="26" t="s">
        <v>173</v>
      </c>
      <c r="B6" s="826">
        <f>225/CST_SITE_SQM</f>
        <v>4.3488681345868382E-4</v>
      </c>
      <c r="F6" s="27" t="s">
        <v>126</v>
      </c>
      <c r="G6" s="30">
        <v>0.15</v>
      </c>
      <c r="H6" t="s">
        <v>81</v>
      </c>
    </row>
    <row r="7" spans="1:8" x14ac:dyDescent="0.45">
      <c r="A7" s="26" t="s">
        <v>90</v>
      </c>
      <c r="B7" s="826">
        <f>650/CST_SITE_SQM</f>
        <v>1.2563396833250866E-3</v>
      </c>
      <c r="F7" s="27" t="s">
        <v>127</v>
      </c>
      <c r="G7" s="32">
        <f>CST_PLT_L*CST_PLT_W*(CST_PLT_H+G6)</f>
        <v>2.1</v>
      </c>
      <c r="H7" t="s">
        <v>81</v>
      </c>
    </row>
    <row r="8" spans="1:8" x14ac:dyDescent="0.45">
      <c r="A8" s="26" t="s">
        <v>95</v>
      </c>
      <c r="B8" s="826">
        <f>2800/CST_SITE_SQM</f>
        <v>5.4119247897080657E-3</v>
      </c>
      <c r="F8" s="27" t="s">
        <v>128</v>
      </c>
      <c r="G8" s="32">
        <f>G5*1.25</f>
        <v>1.5</v>
      </c>
      <c r="H8" t="s">
        <v>54</v>
      </c>
    </row>
    <row r="9" spans="1:8" x14ac:dyDescent="0.45">
      <c r="A9" s="26" t="s">
        <v>104</v>
      </c>
      <c r="B9" s="826">
        <f>3800/CST_SITE_SQM</f>
        <v>7.3447550717466604E-3</v>
      </c>
      <c r="F9" s="49"/>
    </row>
    <row r="10" spans="1:8" x14ac:dyDescent="0.45">
      <c r="A10" s="26" t="s">
        <v>66</v>
      </c>
      <c r="B10" s="826">
        <f>18580/CST_SITE_SQM</f>
        <v>3.5911986640277088E-2</v>
      </c>
      <c r="F10" s="49"/>
    </row>
    <row r="11" spans="1:8" x14ac:dyDescent="0.45">
      <c r="A11" s="26" t="s">
        <v>110</v>
      </c>
      <c r="B11" s="826">
        <f>15590/CST_SITE_SQM</f>
        <v>3.0132824096981693E-2</v>
      </c>
      <c r="F11" s="49"/>
    </row>
    <row r="12" spans="1:8" x14ac:dyDescent="0.45">
      <c r="A12" s="26" t="s">
        <v>772</v>
      </c>
      <c r="B12" s="826">
        <f>9185/CST_SITE_SQM</f>
        <v>1.7753046140524493E-2</v>
      </c>
      <c r="F12" s="49"/>
    </row>
    <row r="13" spans="1:8" x14ac:dyDescent="0.45">
      <c r="A13" s="26" t="s">
        <v>149</v>
      </c>
      <c r="B13" s="80">
        <f>1-SUM(B3:B12)</f>
        <v>8.0243381989114182E-2</v>
      </c>
      <c r="F13" s="49"/>
    </row>
    <row r="14" spans="1:8" x14ac:dyDescent="0.45">
      <c r="A14" s="54" t="s">
        <v>64</v>
      </c>
      <c r="B14" s="24">
        <f>CST_SITE_SQM*CST_WH_PCT</f>
        <v>364595</v>
      </c>
      <c r="C14" t="s">
        <v>54</v>
      </c>
      <c r="G14" t="s">
        <v>86</v>
      </c>
      <c r="H14" s="1">
        <f>CST_WH_SQM</f>
        <v>364595</v>
      </c>
    </row>
    <row r="15" spans="1:8" x14ac:dyDescent="0.45">
      <c r="A15" s="55" t="s">
        <v>69</v>
      </c>
      <c r="B15" s="24">
        <f>CST_WH_SQM*CST_AC_PCT</f>
        <v>102086.6</v>
      </c>
      <c r="C15" t="s">
        <v>54</v>
      </c>
      <c r="F15" s="7"/>
      <c r="G15" s="7" t="s">
        <v>149</v>
      </c>
      <c r="H15" s="1">
        <f>CST_ROADS_SQM</f>
        <v>41515.999999999942</v>
      </c>
    </row>
    <row r="16" spans="1:8" x14ac:dyDescent="0.45">
      <c r="A16" s="55" t="s">
        <v>118</v>
      </c>
      <c r="B16" s="24">
        <f>CST_WH_SQM*CST_CHILL_PCT</f>
        <v>40105.449999999997</v>
      </c>
      <c r="C16" t="s">
        <v>54</v>
      </c>
      <c r="G16" t="s">
        <v>772</v>
      </c>
      <c r="H16" s="1">
        <f>CST_PARKING_SQM</f>
        <v>9185</v>
      </c>
    </row>
    <row r="17" spans="1:8" x14ac:dyDescent="0.45">
      <c r="A17" s="55" t="s">
        <v>59</v>
      </c>
      <c r="B17" s="24">
        <f>CST_WH_SQM*CST_FROZ_PCT</f>
        <v>18229.75</v>
      </c>
      <c r="C17" t="s">
        <v>54</v>
      </c>
      <c r="G17" t="str">
        <f>A19</f>
        <v>Open Yard</v>
      </c>
      <c r="H17">
        <f>CST_YARD_SQM</f>
        <v>57390</v>
      </c>
    </row>
    <row r="18" spans="1:8" x14ac:dyDescent="0.45">
      <c r="A18" s="55" t="s">
        <v>141</v>
      </c>
      <c r="B18" s="24">
        <f>CST_WH_SQM*CST_DRY_PCT</f>
        <v>204173.2</v>
      </c>
      <c r="C18" t="s">
        <v>54</v>
      </c>
      <c r="G18" t="s">
        <v>362</v>
      </c>
      <c r="H18" s="1">
        <f>SUM(B20:B26)</f>
        <v>44690</v>
      </c>
    </row>
    <row r="19" spans="1:8" x14ac:dyDescent="0.45">
      <c r="A19" s="54" t="s">
        <v>68</v>
      </c>
      <c r="B19" s="24">
        <f>CST_SITE_SQM*CST_YARD_PCT</f>
        <v>57390</v>
      </c>
      <c r="C19" t="s">
        <v>54</v>
      </c>
    </row>
    <row r="20" spans="1:8" x14ac:dyDescent="0.45">
      <c r="A20" s="53" t="s">
        <v>65</v>
      </c>
      <c r="B20" s="24">
        <f>CST_SITE_SQM*CST_SVCS_PCT</f>
        <v>3045</v>
      </c>
      <c r="C20" t="s">
        <v>54</v>
      </c>
      <c r="F20" s="7"/>
      <c r="G20" s="7"/>
    </row>
    <row r="21" spans="1:8" x14ac:dyDescent="0.45">
      <c r="A21" s="53" t="s">
        <v>173</v>
      </c>
      <c r="B21" s="24">
        <f>CST_SITE_SQM*B6</f>
        <v>225</v>
      </c>
      <c r="C21" t="s">
        <v>54</v>
      </c>
    </row>
    <row r="22" spans="1:8" x14ac:dyDescent="0.45">
      <c r="A22" s="53" t="s">
        <v>90</v>
      </c>
      <c r="B22" s="24">
        <f>CST_SITE_SQM*CST_MOSQUE_PCT</f>
        <v>650</v>
      </c>
      <c r="C22" t="s">
        <v>54</v>
      </c>
    </row>
    <row r="23" spans="1:8" x14ac:dyDescent="0.45">
      <c r="A23" s="53" t="s">
        <v>95</v>
      </c>
      <c r="B23" s="24">
        <f>CST_COMMERCIAL_PCT*CST_SITE_SQM</f>
        <v>2800</v>
      </c>
      <c r="C23" t="s">
        <v>54</v>
      </c>
    </row>
    <row r="24" spans="1:8" x14ac:dyDescent="0.45">
      <c r="A24" s="53" t="s">
        <v>104</v>
      </c>
      <c r="B24" s="24">
        <f>CST_PETROL_PCT*CST_SITE_SQM</f>
        <v>3800</v>
      </c>
      <c r="C24" t="s">
        <v>54</v>
      </c>
    </row>
    <row r="25" spans="1:8" x14ac:dyDescent="0.45">
      <c r="A25" s="53" t="s">
        <v>66</v>
      </c>
      <c r="B25" s="24">
        <f>CST_SITE_SQM*CST_ACC_PCT</f>
        <v>18580</v>
      </c>
      <c r="C25" t="s">
        <v>54</v>
      </c>
    </row>
    <row r="26" spans="1:8" x14ac:dyDescent="0.45">
      <c r="A26" s="53" t="s">
        <v>110</v>
      </c>
      <c r="B26" s="24">
        <f>CST_SITE_SQM*CST_VMAINT_PCT</f>
        <v>15590</v>
      </c>
      <c r="C26" t="s">
        <v>54</v>
      </c>
    </row>
    <row r="27" spans="1:8" x14ac:dyDescent="0.45">
      <c r="A27" s="53" t="s">
        <v>772</v>
      </c>
      <c r="B27" s="24">
        <f>CST_PARKING_PCT*CST_SITE_SQM</f>
        <v>9185</v>
      </c>
      <c r="C27" t="s">
        <v>54</v>
      </c>
    </row>
    <row r="28" spans="1:8" x14ac:dyDescent="0.45">
      <c r="A28" s="53" t="s">
        <v>149</v>
      </c>
      <c r="B28" s="24">
        <f>CST_SITE_SQM*CST_ROADS_PCT</f>
        <v>41515.999999999942</v>
      </c>
      <c r="C28" t="s">
        <v>54</v>
      </c>
    </row>
    <row r="29" spans="1:8" x14ac:dyDescent="0.45">
      <c r="A29" s="26" t="s">
        <v>82</v>
      </c>
      <c r="B29" s="30">
        <v>6</v>
      </c>
      <c r="C29" t="s">
        <v>81</v>
      </c>
    </row>
    <row r="30" spans="1:8" x14ac:dyDescent="0.45">
      <c r="A30" s="26" t="s">
        <v>83</v>
      </c>
      <c r="B30" s="30">
        <v>30</v>
      </c>
      <c r="C30" t="s">
        <v>81</v>
      </c>
    </row>
    <row r="31" spans="1:8" x14ac:dyDescent="0.45">
      <c r="A31" s="26" t="s">
        <v>84</v>
      </c>
      <c r="B31" s="30">
        <v>5</v>
      </c>
      <c r="C31" t="s">
        <v>81</v>
      </c>
    </row>
    <row r="32" spans="1:8" x14ac:dyDescent="0.45">
      <c r="A32" s="26" t="s">
        <v>85</v>
      </c>
      <c r="B32" s="30">
        <v>18</v>
      </c>
      <c r="C32" t="s">
        <v>81</v>
      </c>
    </row>
    <row r="34" spans="1:33" x14ac:dyDescent="0.45">
      <c r="M34" s="25"/>
    </row>
    <row r="35" spans="1:33" ht="23.25" x14ac:dyDescent="0.7">
      <c r="A35" s="9" t="s">
        <v>146</v>
      </c>
      <c r="X35" s="22"/>
      <c r="Y35" s="22">
        <f>'WH Schedule'!X20/('WH Schedule'!$V$20+'WH Schedule'!$X$20+'WH Schedule'!$Z$20)</f>
        <v>0.23038374154281446</v>
      </c>
      <c r="Z35" s="22"/>
      <c r="AA35" s="22">
        <f>'WH Schedule'!Z20/('WH Schedule'!$V$20+'WH Schedule'!$X$20+'WH Schedule'!$Z$20)</f>
        <v>0.10471988251946113</v>
      </c>
      <c r="AF35" t="s">
        <v>106</v>
      </c>
      <c r="AG35" s="19" t="e">
        <f>'WH Schedule'!AB21/(#REF!)</f>
        <v>#REF!</v>
      </c>
    </row>
    <row r="36" spans="1:33" x14ac:dyDescent="0.45">
      <c r="A36" s="26" t="s">
        <v>140</v>
      </c>
      <c r="B36" s="10">
        <v>3.7</v>
      </c>
    </row>
    <row r="39" spans="1:33" ht="23.25" x14ac:dyDescent="0.7">
      <c r="A39" s="9" t="s">
        <v>150</v>
      </c>
      <c r="F39" s="9" t="s">
        <v>147</v>
      </c>
      <c r="J39" s="9" t="s">
        <v>811</v>
      </c>
    </row>
    <row r="40" spans="1:33" x14ac:dyDescent="0.45">
      <c r="A40" s="26" t="s">
        <v>141</v>
      </c>
      <c r="B40" s="30">
        <f>450*3.65*1.25</f>
        <v>2053.125</v>
      </c>
      <c r="C40" t="s">
        <v>354</v>
      </c>
      <c r="F40" s="26" t="s">
        <v>190</v>
      </c>
      <c r="G40" s="30">
        <v>45.625</v>
      </c>
      <c r="H40" t="s">
        <v>355</v>
      </c>
      <c r="J40" s="30">
        <v>45.625</v>
      </c>
      <c r="K40" s="30">
        <v>45.625</v>
      </c>
    </row>
    <row r="41" spans="1:33" x14ac:dyDescent="0.45">
      <c r="A41" s="26" t="s">
        <v>69</v>
      </c>
      <c r="B41" s="30">
        <f>650*3.65*1.25</f>
        <v>2965.625</v>
      </c>
      <c r="C41" t="s">
        <v>354</v>
      </c>
      <c r="F41" s="26" t="s">
        <v>191</v>
      </c>
      <c r="G41" s="30">
        <v>65</v>
      </c>
      <c r="H41" t="s">
        <v>355</v>
      </c>
      <c r="J41" s="30">
        <v>63.875</v>
      </c>
      <c r="K41" s="30">
        <v>55</v>
      </c>
    </row>
    <row r="42" spans="1:33" x14ac:dyDescent="0.45">
      <c r="A42" s="26" t="s">
        <v>118</v>
      </c>
      <c r="B42" s="30">
        <f>850*3.65*1.25</f>
        <v>3878.125</v>
      </c>
      <c r="C42" t="s">
        <v>354</v>
      </c>
      <c r="F42" s="26" t="s">
        <v>192</v>
      </c>
      <c r="G42" s="30">
        <v>120</v>
      </c>
      <c r="H42" t="s">
        <v>355</v>
      </c>
      <c r="J42" s="30">
        <v>82.125</v>
      </c>
      <c r="K42" s="30">
        <v>120</v>
      </c>
    </row>
    <row r="43" spans="1:33" x14ac:dyDescent="0.45">
      <c r="A43" s="26" t="s">
        <v>59</v>
      </c>
      <c r="B43" s="30">
        <f>850*3.65*1.25</f>
        <v>3878.125</v>
      </c>
      <c r="C43" t="s">
        <v>354</v>
      </c>
      <c r="F43" s="26" t="s">
        <v>193</v>
      </c>
      <c r="G43" s="30">
        <v>120</v>
      </c>
      <c r="H43" t="s">
        <v>355</v>
      </c>
      <c r="J43" s="30">
        <v>82.125</v>
      </c>
      <c r="K43" s="30">
        <v>120</v>
      </c>
    </row>
    <row r="44" spans="1:33" x14ac:dyDescent="0.45">
      <c r="A44" s="26" t="s">
        <v>345</v>
      </c>
      <c r="B44" s="30">
        <f>400*3.65*1.25</f>
        <v>1825</v>
      </c>
      <c r="C44" t="s">
        <v>354</v>
      </c>
      <c r="F44" s="26" t="s">
        <v>56</v>
      </c>
      <c r="G44" s="30">
        <v>30</v>
      </c>
      <c r="H44" t="s">
        <v>355</v>
      </c>
      <c r="J44" s="30">
        <v>40.15</v>
      </c>
      <c r="K44" s="30">
        <v>40.15</v>
      </c>
    </row>
    <row r="45" spans="1:33" x14ac:dyDescent="0.45">
      <c r="A45" s="26" t="s">
        <v>56</v>
      </c>
      <c r="B45" s="30">
        <f>150*3.65</f>
        <v>547.5</v>
      </c>
      <c r="C45" t="s">
        <v>354</v>
      </c>
      <c r="F45" s="26" t="s">
        <v>66</v>
      </c>
      <c r="G45" s="30">
        <v>80</v>
      </c>
      <c r="H45" t="s">
        <v>355</v>
      </c>
      <c r="J45" s="30">
        <f>205*0.75</f>
        <v>153.75</v>
      </c>
      <c r="K45" s="30">
        <v>80</v>
      </c>
    </row>
    <row r="46" spans="1:33" x14ac:dyDescent="0.45">
      <c r="A46" s="26" t="s">
        <v>790</v>
      </c>
      <c r="B46" s="30">
        <f>CST_BLD_AC_M*1.1</f>
        <v>2772.859375</v>
      </c>
      <c r="C46" t="s">
        <v>354</v>
      </c>
      <c r="F46" s="26" t="s">
        <v>95</v>
      </c>
      <c r="G46" s="30">
        <v>150</v>
      </c>
      <c r="H46" t="s">
        <v>355</v>
      </c>
      <c r="J46" s="30">
        <v>150</v>
      </c>
      <c r="K46" s="30">
        <v>150</v>
      </c>
    </row>
    <row r="47" spans="1:33" x14ac:dyDescent="0.45">
      <c r="A47" s="26" t="s">
        <v>368</v>
      </c>
      <c r="B47" s="30">
        <f>CST_BLD_DRY*0.9</f>
        <v>1847.8125</v>
      </c>
      <c r="C47" t="s">
        <v>354</v>
      </c>
      <c r="F47" s="26" t="s">
        <v>152</v>
      </c>
      <c r="G47" s="30">
        <v>39.45945945945946</v>
      </c>
      <c r="H47" t="s">
        <v>355</v>
      </c>
      <c r="J47" s="30">
        <v>39.45945945945946</v>
      </c>
      <c r="K47" s="30">
        <v>39.45945945945946</v>
      </c>
    </row>
    <row r="48" spans="1:33" x14ac:dyDescent="0.45">
      <c r="A48" s="26" t="s">
        <v>369</v>
      </c>
      <c r="B48" s="30">
        <f>CST_BLD_AC*0.85</f>
        <v>2520.78125</v>
      </c>
      <c r="C48" t="s">
        <v>354</v>
      </c>
      <c r="F48" s="26" t="s">
        <v>153</v>
      </c>
      <c r="G48" s="30">
        <v>45</v>
      </c>
      <c r="H48" t="s">
        <v>355</v>
      </c>
      <c r="J48" s="30">
        <v>49.324324324324316</v>
      </c>
      <c r="K48" s="30">
        <v>49.324324324324316</v>
      </c>
    </row>
    <row r="49" spans="1:11" x14ac:dyDescent="0.45">
      <c r="A49" s="26" t="s">
        <v>370</v>
      </c>
      <c r="B49" s="30">
        <f>850*3.65*1.25</f>
        <v>3878.125</v>
      </c>
      <c r="C49" t="s">
        <v>354</v>
      </c>
      <c r="F49" s="26" t="s">
        <v>217</v>
      </c>
      <c r="G49" s="30">
        <v>45.625</v>
      </c>
      <c r="H49" t="s">
        <v>355</v>
      </c>
      <c r="J49" s="30">
        <v>45.625</v>
      </c>
      <c r="K49" s="30">
        <v>45.625</v>
      </c>
    </row>
    <row r="50" spans="1:11" x14ac:dyDescent="0.45">
      <c r="A50" s="26" t="s">
        <v>371</v>
      </c>
      <c r="B50" s="30">
        <f>850*3.65*1.25</f>
        <v>3878.125</v>
      </c>
      <c r="C50" t="s">
        <v>354</v>
      </c>
      <c r="F50" s="26" t="s">
        <v>218</v>
      </c>
      <c r="G50" s="30">
        <v>63.875</v>
      </c>
      <c r="H50" t="s">
        <v>355</v>
      </c>
      <c r="J50" s="30">
        <v>63.875</v>
      </c>
      <c r="K50" s="30">
        <v>63.875</v>
      </c>
    </row>
    <row r="51" spans="1:11" x14ac:dyDescent="0.45">
      <c r="B51" s="31"/>
      <c r="F51" s="26" t="s">
        <v>219</v>
      </c>
      <c r="G51" s="30">
        <v>120</v>
      </c>
      <c r="H51" t="s">
        <v>355</v>
      </c>
      <c r="J51" s="30">
        <v>82.125</v>
      </c>
      <c r="K51" s="30">
        <v>120</v>
      </c>
    </row>
    <row r="52" spans="1:11" x14ac:dyDescent="0.45">
      <c r="B52" s="31"/>
      <c r="F52" s="26" t="s">
        <v>220</v>
      </c>
      <c r="G52" s="30">
        <v>120</v>
      </c>
      <c r="H52" t="s">
        <v>355</v>
      </c>
      <c r="J52" s="30">
        <v>82.125</v>
      </c>
      <c r="K52" s="30">
        <v>120</v>
      </c>
    </row>
    <row r="53" spans="1:11" ht="23.25" x14ac:dyDescent="0.7">
      <c r="A53" s="9" t="s">
        <v>148</v>
      </c>
      <c r="B53" s="31"/>
      <c r="F53" s="26" t="s">
        <v>373</v>
      </c>
      <c r="G53" s="30">
        <v>70</v>
      </c>
      <c r="H53" t="s">
        <v>355</v>
      </c>
      <c r="J53" s="30">
        <v>70</v>
      </c>
      <c r="K53" s="30">
        <v>70</v>
      </c>
    </row>
    <row r="54" spans="1:11" x14ac:dyDescent="0.45">
      <c r="A54" s="26" t="s">
        <v>149</v>
      </c>
      <c r="B54" s="30">
        <v>179.19066666666666</v>
      </c>
      <c r="C54" t="s">
        <v>354</v>
      </c>
      <c r="E54" s="7"/>
      <c r="G54" s="7"/>
    </row>
    <row r="55" spans="1:11" x14ac:dyDescent="0.45">
      <c r="A55" s="26" t="s">
        <v>155</v>
      </c>
      <c r="B55" s="30">
        <v>2346.4285714285716</v>
      </c>
      <c r="C55" t="s">
        <v>354</v>
      </c>
      <c r="E55" s="7"/>
      <c r="G55" s="63"/>
    </row>
    <row r="56" spans="1:11" x14ac:dyDescent="0.45">
      <c r="A56" s="26" t="s">
        <v>343</v>
      </c>
      <c r="B56" s="30">
        <v>164.25</v>
      </c>
      <c r="C56" t="s">
        <v>354</v>
      </c>
      <c r="E56" s="7"/>
    </row>
    <row r="57" spans="1:11" x14ac:dyDescent="0.45">
      <c r="A57" s="26" t="s">
        <v>158</v>
      </c>
      <c r="B57" s="30">
        <v>511</v>
      </c>
      <c r="C57" t="s">
        <v>354</v>
      </c>
      <c r="E57" s="7"/>
    </row>
    <row r="59" spans="1:11" x14ac:dyDescent="0.45">
      <c r="B59" s="31"/>
    </row>
    <row r="60" spans="1:11" ht="23.25" x14ac:dyDescent="0.7">
      <c r="A60" s="9" t="s">
        <v>151</v>
      </c>
      <c r="B60" s="31"/>
    </row>
    <row r="61" spans="1:11" x14ac:dyDescent="0.45">
      <c r="A61" s="26" t="s">
        <v>66</v>
      </c>
      <c r="B61" s="30">
        <f>900*3.75</f>
        <v>3375</v>
      </c>
      <c r="C61" t="s">
        <v>354</v>
      </c>
      <c r="E61" s="7"/>
    </row>
    <row r="62" spans="1:11" ht="23.25" x14ac:dyDescent="0.7">
      <c r="A62" s="26" t="s">
        <v>95</v>
      </c>
      <c r="B62" s="30">
        <v>4500</v>
      </c>
      <c r="C62" t="s">
        <v>354</v>
      </c>
      <c r="E62" s="7"/>
      <c r="F62" s="9" t="s">
        <v>240</v>
      </c>
    </row>
    <row r="63" spans="1:11" x14ac:dyDescent="0.45">
      <c r="A63" s="26" t="s">
        <v>152</v>
      </c>
      <c r="B63" s="30">
        <v>2920</v>
      </c>
      <c r="C63" t="s">
        <v>354</v>
      </c>
      <c r="E63" s="7"/>
      <c r="F63" s="26" t="s">
        <v>241</v>
      </c>
      <c r="G63" s="30">
        <v>8.3333333333333329E-2</v>
      </c>
      <c r="H63" t="s">
        <v>355</v>
      </c>
    </row>
    <row r="64" spans="1:11" x14ac:dyDescent="0.45">
      <c r="A64" s="26" t="s">
        <v>153</v>
      </c>
      <c r="B64" s="30">
        <v>2920</v>
      </c>
      <c r="C64" t="s">
        <v>354</v>
      </c>
      <c r="E64" s="7"/>
    </row>
    <row r="65" spans="1:8" x14ac:dyDescent="0.45">
      <c r="A65" s="26" t="s">
        <v>90</v>
      </c>
      <c r="B65" s="30">
        <v>5475</v>
      </c>
      <c r="C65" t="s">
        <v>354</v>
      </c>
      <c r="E65" s="7"/>
    </row>
    <row r="66" spans="1:8" x14ac:dyDescent="0.45">
      <c r="A66" s="26" t="s">
        <v>159</v>
      </c>
      <c r="B66" s="30">
        <v>6000</v>
      </c>
      <c r="C66" t="s">
        <v>354</v>
      </c>
      <c r="E66" s="7"/>
    </row>
    <row r="67" spans="1:8" x14ac:dyDescent="0.45">
      <c r="A67" s="26" t="s">
        <v>818</v>
      </c>
      <c r="B67" s="30">
        <f>185*3.7</f>
        <v>684.5</v>
      </c>
      <c r="C67" t="s">
        <v>354</v>
      </c>
    </row>
    <row r="69" spans="1:8" ht="23.25" x14ac:dyDescent="0.7">
      <c r="A69" s="9" t="s">
        <v>160</v>
      </c>
    </row>
    <row r="70" spans="1:8" x14ac:dyDescent="0.45">
      <c r="A70" s="26" t="s">
        <v>161</v>
      </c>
      <c r="B70" s="73">
        <v>0.12</v>
      </c>
      <c r="C70" t="s">
        <v>331</v>
      </c>
    </row>
    <row r="71" spans="1:8" x14ac:dyDescent="0.45">
      <c r="A71" s="26" t="s">
        <v>162</v>
      </c>
      <c r="B71" s="73">
        <v>6.5000000000000002E-2</v>
      </c>
      <c r="C71" t="s">
        <v>332</v>
      </c>
    </row>
    <row r="72" spans="1:8" x14ac:dyDescent="0.45">
      <c r="A72" s="26" t="s">
        <v>359</v>
      </c>
      <c r="B72" s="73">
        <v>5.0000000000000001E-3</v>
      </c>
      <c r="C72" t="s">
        <v>331</v>
      </c>
    </row>
    <row r="73" spans="1:8" x14ac:dyDescent="0.45">
      <c r="A73" s="26" t="s">
        <v>360</v>
      </c>
      <c r="B73" s="73">
        <v>6.5000000000000002E-2</v>
      </c>
      <c r="C73" t="s">
        <v>331</v>
      </c>
    </row>
    <row r="74" spans="1:8" x14ac:dyDescent="0.45">
      <c r="A74" s="26" t="s">
        <v>179</v>
      </c>
      <c r="B74" s="73">
        <v>0.25</v>
      </c>
    </row>
    <row r="75" spans="1:8" x14ac:dyDescent="0.45">
      <c r="A75" s="26" t="s">
        <v>248</v>
      </c>
      <c r="B75" s="11">
        <f>10*12</f>
        <v>120</v>
      </c>
      <c r="C75" t="s">
        <v>249</v>
      </c>
    </row>
    <row r="76" spans="1:8" ht="23.25" x14ac:dyDescent="0.7">
      <c r="A76" s="27" t="s">
        <v>295</v>
      </c>
      <c r="B76" s="73">
        <v>0.2</v>
      </c>
      <c r="F76" s="9" t="s">
        <v>363</v>
      </c>
    </row>
    <row r="77" spans="1:8" x14ac:dyDescent="0.45">
      <c r="A77" s="26" t="s">
        <v>329</v>
      </c>
      <c r="B77" s="73">
        <v>0.15</v>
      </c>
      <c r="F77" s="26" t="s">
        <v>361</v>
      </c>
      <c r="G77" s="30">
        <f>15*12</f>
        <v>180</v>
      </c>
      <c r="H77" t="s">
        <v>249</v>
      </c>
    </row>
    <row r="78" spans="1:8" x14ac:dyDescent="0.45">
      <c r="A78" s="26" t="s">
        <v>384</v>
      </c>
      <c r="B78" s="73">
        <v>0.15</v>
      </c>
      <c r="F78" s="26" t="s">
        <v>440</v>
      </c>
      <c r="G78" s="30">
        <f>5*12</f>
        <v>60</v>
      </c>
      <c r="H78" t="s">
        <v>249</v>
      </c>
    </row>
    <row r="79" spans="1:8" x14ac:dyDescent="0.45">
      <c r="A79" s="27" t="s">
        <v>383</v>
      </c>
      <c r="B79" s="73">
        <v>0.7</v>
      </c>
    </row>
    <row r="80" spans="1:8" x14ac:dyDescent="0.45">
      <c r="A80" s="27" t="s">
        <v>438</v>
      </c>
      <c r="B80" s="73">
        <v>0.75</v>
      </c>
    </row>
    <row r="81" spans="1:2" x14ac:dyDescent="0.45">
      <c r="A81" s="27" t="s">
        <v>436</v>
      </c>
      <c r="B81" s="73">
        <v>0</v>
      </c>
    </row>
    <row r="84" spans="1:2" ht="23.25" x14ac:dyDescent="0.7">
      <c r="A84" s="9" t="s">
        <v>341</v>
      </c>
    </row>
    <row r="85" spans="1:2" x14ac:dyDescent="0.45">
      <c r="A85" s="26" t="s">
        <v>190</v>
      </c>
      <c r="B85" s="74">
        <f>1-SUM(B86:B88)</f>
        <v>0.56000000000000005</v>
      </c>
    </row>
    <row r="86" spans="1:2" x14ac:dyDescent="0.45">
      <c r="A86" s="26" t="s">
        <v>191</v>
      </c>
      <c r="B86" s="75">
        <v>0.28000000000000003</v>
      </c>
    </row>
    <row r="87" spans="1:2" x14ac:dyDescent="0.45">
      <c r="A87" s="26" t="s">
        <v>192</v>
      </c>
      <c r="B87" s="75">
        <v>0.11</v>
      </c>
    </row>
    <row r="88" spans="1:2" x14ac:dyDescent="0.45">
      <c r="A88" s="26" t="s">
        <v>193</v>
      </c>
      <c r="B88" s="75">
        <v>0.05</v>
      </c>
    </row>
  </sheetData>
  <conditionalFormatting sqref="B14">
    <cfRule type="expression" dxfId="16" priority="2">
      <formula>$B$14&lt;&gt;SUM($B$15:$B$18)</formula>
    </cfRule>
  </conditionalFormatting>
  <conditionalFormatting sqref="B2">
    <cfRule type="expression" dxfId="15" priority="20">
      <formula>$B$2&lt;&gt;$B$14+SUM($B$19:$B$28)</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6"/>
  <sheetViews>
    <sheetView showZeros="0" workbookViewId="0">
      <pane xSplit="1" ySplit="2" topLeftCell="B6" activePane="bottomRight" state="frozen"/>
      <selection pane="topRight" activeCell="B1" sqref="B1"/>
      <selection pane="bottomLeft" activeCell="A3" sqref="A3"/>
      <selection pane="bottomRight" activeCell="A6" sqref="A6:G11"/>
    </sheetView>
  </sheetViews>
  <sheetFormatPr defaultColWidth="9.1328125" defaultRowHeight="15.4" x14ac:dyDescent="0.45"/>
  <cols>
    <col min="1" max="1" width="32.59765625" style="139" bestFit="1" customWidth="1"/>
    <col min="2" max="7" width="12.73046875" style="139" customWidth="1"/>
    <col min="8" max="11" width="9.73046875" style="139" customWidth="1"/>
    <col min="12" max="16384" width="9.1328125" style="139"/>
  </cols>
  <sheetData>
    <row r="1" spans="1:11" s="153" customFormat="1" ht="20.100000000000001" customHeight="1" x14ac:dyDescent="0.45">
      <c r="A1" s="158" t="s">
        <v>469</v>
      </c>
    </row>
    <row r="2" spans="1:11" s="153" customFormat="1" ht="20.100000000000001" customHeight="1" x14ac:dyDescent="0.45">
      <c r="A2" s="867" t="s">
        <v>682</v>
      </c>
      <c r="B2" s="867"/>
      <c r="C2" s="867"/>
      <c r="D2" s="867"/>
      <c r="E2" s="867"/>
      <c r="F2" s="867"/>
      <c r="G2" s="867"/>
    </row>
    <row r="3" spans="1:11" s="153" customFormat="1" ht="20.100000000000001" customHeight="1" x14ac:dyDescent="0.45"/>
    <row r="4" spans="1:11" ht="20.100000000000001" customHeight="1" x14ac:dyDescent="0.45"/>
    <row r="5" spans="1:11" ht="24.95" customHeight="1" thickBot="1" x14ac:dyDescent="0.5">
      <c r="A5" s="793" t="s">
        <v>468</v>
      </c>
      <c r="B5" s="794"/>
      <c r="C5" s="794"/>
      <c r="D5" s="794"/>
      <c r="E5" s="794"/>
      <c r="F5" s="794"/>
      <c r="G5" s="794"/>
    </row>
    <row r="6" spans="1:11" ht="24.95" customHeight="1" thickTop="1" thickBot="1" x14ac:dyDescent="0.5">
      <c r="A6" s="795" t="s">
        <v>467</v>
      </c>
      <c r="B6" s="796" t="s">
        <v>466</v>
      </c>
      <c r="C6" s="797">
        <v>-0.05</v>
      </c>
      <c r="D6" s="797">
        <v>-0.1</v>
      </c>
      <c r="E6" s="797">
        <v>-0.15</v>
      </c>
      <c r="F6" s="797">
        <v>-0.2</v>
      </c>
      <c r="G6" s="797">
        <v>-0.25</v>
      </c>
      <c r="H6" s="154" t="s">
        <v>465</v>
      </c>
      <c r="I6" s="154"/>
      <c r="J6" s="154"/>
      <c r="K6" s="152"/>
    </row>
    <row r="7" spans="1:11" ht="24.95" customHeight="1" thickTop="1" thickBot="1" x14ac:dyDescent="0.5">
      <c r="A7" s="795" t="s">
        <v>464</v>
      </c>
      <c r="B7" s="798">
        <v>1</v>
      </c>
      <c r="C7" s="799">
        <f>$B$7+C6</f>
        <v>0.95</v>
      </c>
      <c r="D7" s="799">
        <f>$B$7+D6</f>
        <v>0.9</v>
      </c>
      <c r="E7" s="799">
        <f>$B$7+E6</f>
        <v>0.85</v>
      </c>
      <c r="F7" s="799">
        <f>$B$7+F6</f>
        <v>0.8</v>
      </c>
      <c r="G7" s="799">
        <f>$B$7+G6</f>
        <v>0.75</v>
      </c>
      <c r="H7" s="150" t="s">
        <v>463</v>
      </c>
      <c r="I7" s="156"/>
      <c r="J7" s="156"/>
      <c r="K7" s="155"/>
    </row>
    <row r="8" spans="1:11" ht="24.95" customHeight="1" thickTop="1" x14ac:dyDescent="0.45">
      <c r="A8" s="800" t="s">
        <v>785</v>
      </c>
      <c r="B8" s="801">
        <f>Rev!C82+Rev!D82</f>
        <v>-977183.86752638291</v>
      </c>
      <c r="C8" s="801">
        <f>B8</f>
        <v>-977183.86752638291</v>
      </c>
      <c r="D8" s="801">
        <f t="shared" ref="D8:G8" si="0">C8</f>
        <v>-977183.86752638291</v>
      </c>
      <c r="E8" s="801">
        <f t="shared" si="0"/>
        <v>-977183.86752638291</v>
      </c>
      <c r="F8" s="801">
        <f t="shared" si="0"/>
        <v>-977183.86752638291</v>
      </c>
      <c r="G8" s="801">
        <f t="shared" si="0"/>
        <v>-977183.86752638291</v>
      </c>
    </row>
    <row r="9" spans="1:11" ht="27" x14ac:dyDescent="0.45">
      <c r="A9" s="802" t="s">
        <v>462</v>
      </c>
      <c r="B9" s="803" t="str">
        <f>Scenario_Sheet!$Q$7&amp; " &amp; "&amp;Scenario_Sheet!$R$7</f>
        <v>7 Yrs &amp; 11 mths</v>
      </c>
      <c r="C9" s="803" t="str">
        <f>Scenario_Sheet!$Q$8&amp;" &amp; "&amp;Scenario_Sheet!$R$8</f>
        <v>8 Yrs &amp; 3 mths</v>
      </c>
      <c r="D9" s="803" t="str">
        <f>Scenario_Sheet!$Q$9&amp;" &amp; "&amp;Scenario_Sheet!$R$9</f>
        <v>8 Yrs &amp; 7 mths</v>
      </c>
      <c r="E9" s="803" t="str">
        <f>Scenario_Sheet!$Q$10&amp;" &amp; "&amp;Scenario_Sheet!$R$10</f>
        <v>8 Yrs &amp; 12 mths</v>
      </c>
      <c r="F9" s="803" t="str">
        <f>Scenario_Sheet!$Q$11&amp;" &amp; "&amp;Scenario_Sheet!$R$11</f>
        <v>9 Yrs &amp; 7 mths</v>
      </c>
      <c r="G9" s="803" t="str">
        <f>Scenario_Sheet!$Q$12&amp;" &amp; "&amp;Scenario_Sheet!$R$12</f>
        <v>10 Yrs &amp; 3 mths</v>
      </c>
    </row>
    <row r="10" spans="1:11" ht="24.95" customHeight="1" x14ac:dyDescent="0.45">
      <c r="A10" s="802" t="s">
        <v>786</v>
      </c>
      <c r="B10" s="804">
        <f>Scenario_Sheet!$O$7</f>
        <v>-108263.05260859558</v>
      </c>
      <c r="C10" s="804">
        <f>Scenario_Sheet!$O$8</f>
        <v>-156405.89838589489</v>
      </c>
      <c r="D10" s="804">
        <f>Scenario_Sheet!$O$9</f>
        <v>-204548.66838206869</v>
      </c>
      <c r="E10" s="804">
        <f>Scenario_Sheet!$O$10</f>
        <v>-252691.69318946358</v>
      </c>
      <c r="F10" s="804">
        <f>Scenario_Sheet!$O$11</f>
        <v>-300834.56301768735</v>
      </c>
      <c r="G10" s="804">
        <f>Scenario_Sheet!$O$12</f>
        <v>-348977.49267132016</v>
      </c>
    </row>
    <row r="11" spans="1:11" ht="24.95" customHeight="1" x14ac:dyDescent="0.45">
      <c r="A11" s="802" t="s">
        <v>327</v>
      </c>
      <c r="B11" s="805">
        <f>Scenario_Sheet!$P$7</f>
        <v>0.13228774646852681</v>
      </c>
      <c r="C11" s="805">
        <f>Scenario_Sheet!$P$8</f>
        <v>0.1239754394014847</v>
      </c>
      <c r="D11" s="805">
        <f>Scenario_Sheet!$P$9</f>
        <v>0.11535053886483726</v>
      </c>
      <c r="E11" s="805">
        <f>Scenario_Sheet!$P$10</f>
        <v>0.10637368439777095</v>
      </c>
      <c r="F11" s="805">
        <f>Scenario_Sheet!$P$11</f>
        <v>9.6997270557046766E-2</v>
      </c>
      <c r="G11" s="805">
        <f>Scenario_Sheet!$P$12</f>
        <v>8.7162651965210003E-2</v>
      </c>
    </row>
    <row r="12" spans="1:11" ht="20.100000000000001" customHeight="1" x14ac:dyDescent="0.45">
      <c r="A12" s="153"/>
      <c r="B12" s="792"/>
      <c r="C12" s="792"/>
      <c r="D12" s="792"/>
      <c r="E12" s="792"/>
      <c r="F12" s="792"/>
      <c r="G12" s="792"/>
      <c r="H12" s="140"/>
      <c r="I12" s="140"/>
      <c r="J12" s="140"/>
      <c r="K12" s="140"/>
    </row>
    <row r="13" spans="1:11" ht="20.100000000000001" customHeight="1" x14ac:dyDescent="0.45">
      <c r="A13" s="153"/>
      <c r="B13" s="153"/>
      <c r="C13" s="153"/>
      <c r="D13" s="153"/>
      <c r="E13" s="153"/>
      <c r="F13" s="792"/>
      <c r="G13" s="792"/>
      <c r="H13" s="140"/>
      <c r="I13" s="140"/>
      <c r="J13" s="140"/>
      <c r="K13" s="140"/>
    </row>
    <row r="14" spans="1:11" ht="20.100000000000001" customHeight="1" x14ac:dyDescent="0.45">
      <c r="A14" s="153"/>
      <c r="B14" s="153"/>
      <c r="C14" s="153"/>
      <c r="D14" s="153"/>
      <c r="E14" s="153"/>
      <c r="F14" s="153"/>
      <c r="G14" s="153"/>
      <c r="H14" s="140"/>
      <c r="I14" s="140"/>
      <c r="J14" s="140"/>
      <c r="K14" s="140"/>
    </row>
    <row r="15" spans="1:11" ht="20.100000000000001" customHeight="1" x14ac:dyDescent="0.45">
      <c r="A15" s="153"/>
      <c r="B15" s="153"/>
      <c r="C15" s="153"/>
      <c r="D15" s="153"/>
      <c r="E15" s="153"/>
      <c r="F15" s="153"/>
      <c r="G15" s="153"/>
      <c r="H15" s="140"/>
      <c r="I15" s="140"/>
      <c r="J15" s="140"/>
      <c r="K15" s="140"/>
    </row>
    <row r="16" spans="1:11" ht="20.100000000000001" customHeight="1" x14ac:dyDescent="0.45">
      <c r="A16" s="153"/>
      <c r="B16" s="153"/>
      <c r="C16" s="153"/>
      <c r="D16" s="153"/>
      <c r="E16" s="153"/>
      <c r="F16" s="153"/>
      <c r="G16" s="153"/>
      <c r="H16" s="140"/>
      <c r="I16" s="140"/>
      <c r="J16" s="140"/>
      <c r="K16" s="140"/>
    </row>
    <row r="17" spans="1:20" ht="20.100000000000001" customHeight="1" x14ac:dyDescent="0.45">
      <c r="A17" s="153"/>
      <c r="B17" s="153"/>
      <c r="C17" s="153"/>
      <c r="D17" s="153"/>
      <c r="E17" s="153"/>
      <c r="F17" s="153"/>
      <c r="G17" s="153"/>
      <c r="H17" s="140"/>
      <c r="I17" s="140"/>
      <c r="J17" s="140"/>
      <c r="K17" s="140"/>
    </row>
    <row r="18" spans="1:20" ht="20.100000000000001" customHeight="1" x14ac:dyDescent="0.45">
      <c r="A18" s="151"/>
      <c r="B18" s="151"/>
      <c r="C18" s="151"/>
      <c r="D18" s="151"/>
      <c r="E18" s="151"/>
      <c r="F18" s="153"/>
      <c r="G18" s="153"/>
      <c r="H18" s="140"/>
      <c r="I18" s="140"/>
      <c r="J18" s="140"/>
      <c r="K18" s="140"/>
    </row>
    <row r="19" spans="1:20" ht="20.100000000000001" customHeight="1" x14ac:dyDescent="0.45">
      <c r="A19" s="151"/>
      <c r="B19" s="151"/>
      <c r="C19" s="151"/>
      <c r="D19" s="151"/>
      <c r="E19" s="151"/>
      <c r="F19" s="151"/>
      <c r="G19" s="153"/>
      <c r="H19" s="140"/>
      <c r="I19" s="140"/>
      <c r="J19" s="140"/>
      <c r="K19" s="140"/>
    </row>
    <row r="20" spans="1:20" ht="20.100000000000001" customHeight="1" x14ac:dyDescent="0.45">
      <c r="A20" s="151"/>
      <c r="B20" s="151"/>
      <c r="C20" s="151"/>
      <c r="D20" s="151"/>
      <c r="E20" s="151"/>
      <c r="F20" s="151"/>
      <c r="G20" s="153"/>
      <c r="H20" s="140"/>
      <c r="I20" s="140"/>
      <c r="J20" s="140"/>
      <c r="K20" s="140"/>
    </row>
    <row r="21" spans="1:20" ht="20.100000000000001" customHeight="1" x14ac:dyDescent="0.45">
      <c r="A21" s="151"/>
      <c r="B21" s="151"/>
      <c r="C21" s="151"/>
      <c r="D21" s="151"/>
      <c r="E21" s="151"/>
      <c r="F21" s="151"/>
      <c r="G21" s="153"/>
      <c r="H21" s="140"/>
      <c r="I21" s="140"/>
      <c r="J21" s="140"/>
      <c r="K21" s="140"/>
    </row>
    <row r="22" spans="1:20" ht="20.100000000000001" customHeight="1" x14ac:dyDescent="0.45">
      <c r="A22" s="151"/>
      <c r="B22" s="151"/>
      <c r="C22" s="151"/>
      <c r="D22" s="151"/>
      <c r="E22" s="151"/>
      <c r="F22" s="151"/>
      <c r="G22" s="153"/>
      <c r="H22" s="140"/>
      <c r="I22" s="140"/>
      <c r="J22" s="140"/>
      <c r="K22" s="140"/>
    </row>
    <row r="23" spans="1:20" ht="20.100000000000001" customHeight="1" x14ac:dyDescent="0.45">
      <c r="A23" s="151"/>
      <c r="B23" s="151"/>
      <c r="C23" s="151"/>
      <c r="D23" s="151"/>
      <c r="E23" s="151"/>
      <c r="F23" s="151"/>
      <c r="G23" s="153"/>
      <c r="H23" s="140"/>
      <c r="I23" s="140"/>
      <c r="J23" s="140"/>
      <c r="K23" s="140"/>
    </row>
    <row r="24" spans="1:20" ht="20.100000000000001" customHeight="1" x14ac:dyDescent="0.45">
      <c r="A24" s="151"/>
      <c r="B24" s="151"/>
      <c r="C24" s="151"/>
      <c r="D24" s="151"/>
      <c r="E24" s="151"/>
      <c r="F24" s="151"/>
      <c r="G24" s="153"/>
      <c r="H24" s="140"/>
      <c r="I24" s="140"/>
      <c r="J24" s="140"/>
      <c r="K24" s="140"/>
    </row>
    <row r="25" spans="1:20" ht="20.100000000000001" customHeight="1" x14ac:dyDescent="0.45">
      <c r="A25" s="153"/>
      <c r="B25" s="153"/>
      <c r="C25" s="153"/>
      <c r="D25" s="153"/>
      <c r="E25" s="153"/>
      <c r="F25" s="153"/>
      <c r="G25" s="153"/>
      <c r="H25" s="140"/>
      <c r="I25" s="140"/>
      <c r="J25" s="140"/>
      <c r="K25" s="140"/>
    </row>
    <row r="26" spans="1:20" ht="20.100000000000001" customHeight="1" x14ac:dyDescent="0.45">
      <c r="B26" s="140"/>
      <c r="C26" s="140"/>
      <c r="D26" s="140"/>
      <c r="E26" s="140"/>
      <c r="F26" s="140"/>
      <c r="G26" s="140"/>
      <c r="H26" s="140"/>
      <c r="I26" s="140"/>
      <c r="J26" s="140"/>
      <c r="K26" s="140"/>
    </row>
    <row r="27" spans="1:20" ht="20.100000000000001" customHeight="1" thickBot="1" x14ac:dyDescent="0.5">
      <c r="B27" s="140"/>
      <c r="C27" s="140"/>
      <c r="D27" s="140"/>
      <c r="E27" s="140"/>
      <c r="F27" s="140"/>
      <c r="G27" s="140"/>
      <c r="H27" s="140"/>
      <c r="I27" s="140"/>
      <c r="J27" s="140"/>
      <c r="K27" s="140"/>
    </row>
    <row r="28" spans="1:20" ht="20.100000000000001" customHeight="1" x14ac:dyDescent="0.45">
      <c r="A28" s="864" t="s">
        <v>461</v>
      </c>
      <c r="B28" s="865"/>
      <c r="C28" s="865"/>
      <c r="D28" s="865"/>
      <c r="E28" s="865"/>
      <c r="F28" s="865"/>
      <c r="G28" s="866"/>
      <c r="H28" s="140"/>
      <c r="I28" s="140"/>
      <c r="J28" s="140"/>
      <c r="K28" s="140"/>
    </row>
    <row r="29" spans="1:20" ht="20.100000000000001" customHeight="1" x14ac:dyDescent="0.45">
      <c r="A29" s="149" t="s">
        <v>460</v>
      </c>
      <c r="B29" s="148">
        <f>Scenario_Sheet!$C$7</f>
        <v>-476722.55407572235</v>
      </c>
      <c r="C29" s="148">
        <f>Scenario_Sheet!$C$8</f>
        <v>-476722.55407572235</v>
      </c>
      <c r="D29" s="148">
        <f>Scenario_Sheet!$C$9</f>
        <v>-476722.55407572235</v>
      </c>
      <c r="E29" s="148">
        <f>Scenario_Sheet!$C$10</f>
        <v>-476722.55407572235</v>
      </c>
      <c r="F29" s="148">
        <f>Scenario_Sheet!$C$11</f>
        <v>-476722.55407572235</v>
      </c>
      <c r="G29" s="147">
        <f>Scenario_Sheet!$C$12</f>
        <v>-476722.55407572235</v>
      </c>
      <c r="H29" s="140"/>
      <c r="I29" s="140"/>
      <c r="J29" s="140"/>
      <c r="K29" s="140"/>
      <c r="L29" s="140"/>
      <c r="M29" s="140"/>
      <c r="N29" s="140"/>
      <c r="O29" s="140"/>
      <c r="P29" s="140"/>
      <c r="Q29" s="140"/>
      <c r="R29" s="140"/>
      <c r="S29" s="140"/>
      <c r="T29" s="140"/>
    </row>
    <row r="30" spans="1:20" ht="20.100000000000001" customHeight="1" x14ac:dyDescent="0.45">
      <c r="A30" s="146" t="s">
        <v>459</v>
      </c>
      <c r="B30" s="145">
        <f>Scenario_Sheet!$D$7</f>
        <v>-500461.31345066061</v>
      </c>
      <c r="C30" s="145">
        <f>Scenario_Sheet!$D$8</f>
        <v>-500461.31345066061</v>
      </c>
      <c r="D30" s="145">
        <f>Scenario_Sheet!$D$9</f>
        <v>-500461.31345066061</v>
      </c>
      <c r="E30" s="145">
        <f>Scenario_Sheet!$D$10</f>
        <v>-500461.31345066061</v>
      </c>
      <c r="F30" s="145">
        <f>Scenario_Sheet!$D$11</f>
        <v>-500461.31345066061</v>
      </c>
      <c r="G30" s="144">
        <f>Scenario_Sheet!$D$12</f>
        <v>-500461.31345066061</v>
      </c>
      <c r="H30" s="140"/>
      <c r="I30" s="140"/>
      <c r="J30" s="140"/>
      <c r="K30" s="140"/>
    </row>
    <row r="31" spans="1:20" ht="20.100000000000001" customHeight="1" x14ac:dyDescent="0.45">
      <c r="A31" s="146" t="s">
        <v>458</v>
      </c>
      <c r="B31" s="145">
        <f>Scenario_Sheet!$E$7</f>
        <v>46209.449421333898</v>
      </c>
      <c r="C31" s="145">
        <f>Scenario_Sheet!$E$8</f>
        <v>43072.693307852824</v>
      </c>
      <c r="D31" s="145">
        <f>Scenario_Sheet!$E$9</f>
        <v>39935.937194371749</v>
      </c>
      <c r="E31" s="145">
        <f>Scenario_Sheet!$E$10</f>
        <v>36799.181080890659</v>
      </c>
      <c r="F31" s="145">
        <f>Scenario_Sheet!$E$11</f>
        <v>33661.424967409584</v>
      </c>
      <c r="G31" s="144">
        <f>Scenario_Sheet!$E$12</f>
        <v>30524.668853928502</v>
      </c>
      <c r="H31" s="140"/>
      <c r="I31" s="140"/>
      <c r="J31" s="140"/>
      <c r="K31" s="140"/>
    </row>
    <row r="32" spans="1:20" ht="20.100000000000001" customHeight="1" x14ac:dyDescent="0.45">
      <c r="A32" s="146" t="s">
        <v>457</v>
      </c>
      <c r="B32" s="145">
        <f>Scenario_Sheet!$F$7</f>
        <v>90968.252489022503</v>
      </c>
      <c r="C32" s="145">
        <f>Scenario_Sheet!$F$8</f>
        <v>85497.03229988736</v>
      </c>
      <c r="D32" s="145">
        <f>Scenario_Sheet!$F$9</f>
        <v>80024.812110752246</v>
      </c>
      <c r="E32" s="145">
        <f>Scenario_Sheet!$F$10</f>
        <v>74553.591921617102</v>
      </c>
      <c r="F32" s="145">
        <f>Scenario_Sheet!$F$11</f>
        <v>69083.371732481988</v>
      </c>
      <c r="G32" s="144">
        <f>Scenario_Sheet!$F$12</f>
        <v>63612.151543346845</v>
      </c>
      <c r="H32" s="140"/>
      <c r="I32" s="140"/>
      <c r="J32" s="140"/>
      <c r="K32" s="140"/>
    </row>
    <row r="33" spans="1:11" ht="20.100000000000001" customHeight="1" x14ac:dyDescent="0.45">
      <c r="A33" s="146" t="s">
        <v>456</v>
      </c>
      <c r="B33" s="145">
        <f>Scenario_Sheet!$G$7</f>
        <v>141381.95929355675</v>
      </c>
      <c r="C33" s="145">
        <f>Scenario_Sheet!$G$8</f>
        <v>133310.64081552808</v>
      </c>
      <c r="D33" s="145">
        <f>Scenario_Sheet!$G$9</f>
        <v>125240.32233749944</v>
      </c>
      <c r="E33" s="145">
        <f>Scenario_Sheet!$G$10</f>
        <v>117169.0038594708</v>
      </c>
      <c r="F33" s="145">
        <f>Scenario_Sheet!$G$11</f>
        <v>109098.68538144216</v>
      </c>
      <c r="G33" s="144">
        <f>Scenario_Sheet!$G$12</f>
        <v>101027.36690341349</v>
      </c>
      <c r="H33" s="140"/>
      <c r="I33" s="140"/>
      <c r="J33" s="140"/>
      <c r="K33" s="140"/>
    </row>
    <row r="34" spans="1:11" ht="20.100000000000001" customHeight="1" x14ac:dyDescent="0.45">
      <c r="A34" s="146" t="s">
        <v>455</v>
      </c>
      <c r="B34" s="145">
        <f>Scenario_Sheet!$H$7</f>
        <v>156995.81670936153</v>
      </c>
      <c r="C34" s="145">
        <f>Scenario_Sheet!$H$8</f>
        <v>147091.4952717553</v>
      </c>
      <c r="D34" s="145">
        <f>Scenario_Sheet!$H$9</f>
        <v>137187.17383414911</v>
      </c>
      <c r="E34" s="145">
        <f>Scenario_Sheet!$H$10</f>
        <v>127281.85239654288</v>
      </c>
      <c r="F34" s="145">
        <f>Scenario_Sheet!$H$11</f>
        <v>117376.5309589367</v>
      </c>
      <c r="G34" s="144">
        <f>Scenario_Sheet!$H$12</f>
        <v>107472.20952133046</v>
      </c>
      <c r="H34" s="140"/>
      <c r="I34" s="140"/>
      <c r="J34" s="140"/>
      <c r="K34" s="140"/>
    </row>
    <row r="35" spans="1:11" ht="20.100000000000001" customHeight="1" x14ac:dyDescent="0.45">
      <c r="A35" s="146" t="s">
        <v>454</v>
      </c>
      <c r="B35" s="145">
        <f>Scenario_Sheet!$I$7</f>
        <v>183853.26116784581</v>
      </c>
      <c r="C35" s="145">
        <f>Scenario_Sheet!$I$8</f>
        <v>173364.40061416308</v>
      </c>
      <c r="D35" s="145">
        <f>Scenario_Sheet!$I$9</f>
        <v>162876.54006048039</v>
      </c>
      <c r="E35" s="145">
        <f>Scenario_Sheet!$I$10</f>
        <v>152388.67950679766</v>
      </c>
      <c r="F35" s="145">
        <f>Scenario_Sheet!$I$11</f>
        <v>141899.818953115</v>
      </c>
      <c r="G35" s="144">
        <f>Scenario_Sheet!$I$12</f>
        <v>131410.95839943227</v>
      </c>
      <c r="H35" s="140"/>
      <c r="I35" s="140"/>
      <c r="J35" s="140"/>
      <c r="K35" s="140"/>
    </row>
    <row r="36" spans="1:11" ht="20.100000000000001" customHeight="1" x14ac:dyDescent="0.45">
      <c r="A36" s="146" t="s">
        <v>453</v>
      </c>
      <c r="B36" s="145">
        <f>Scenario_Sheet!$J$7</f>
        <v>184129.21616030781</v>
      </c>
      <c r="C36" s="145">
        <f>Scenario_Sheet!$J$8</f>
        <v>173601.35560662509</v>
      </c>
      <c r="D36" s="145">
        <f>Scenario_Sheet!$J$9</f>
        <v>163073.49505294239</v>
      </c>
      <c r="E36" s="145">
        <f>Scenario_Sheet!$J$10</f>
        <v>152545.63449925967</v>
      </c>
      <c r="F36" s="145">
        <f>Scenario_Sheet!$J$11</f>
        <v>142017.77394557701</v>
      </c>
      <c r="G36" s="144">
        <f>Scenario_Sheet!$J$12</f>
        <v>131489.91339189428</v>
      </c>
      <c r="H36" s="140"/>
      <c r="I36" s="140"/>
      <c r="J36" s="140"/>
      <c r="K36" s="140"/>
    </row>
    <row r="37" spans="1:11" ht="20.100000000000001" customHeight="1" x14ac:dyDescent="0.45">
      <c r="A37" s="146" t="s">
        <v>452</v>
      </c>
      <c r="B37" s="145">
        <f>Scenario_Sheet!$K$7</f>
        <v>191840.90856531376</v>
      </c>
      <c r="C37" s="145">
        <f>Scenario_Sheet!$K$8</f>
        <v>180874.50889555455</v>
      </c>
      <c r="D37" s="145">
        <f>Scenario_Sheet!$K$9</f>
        <v>169907.10922579534</v>
      </c>
      <c r="E37" s="145">
        <f>Scenario_Sheet!$K$10</f>
        <v>158939.70955603613</v>
      </c>
      <c r="F37" s="145">
        <f>Scenario_Sheet!$K$11</f>
        <v>147973.30988627698</v>
      </c>
      <c r="G37" s="144">
        <f>Scenario_Sheet!$K$12</f>
        <v>137005.91021651778</v>
      </c>
      <c r="H37" s="140"/>
      <c r="I37" s="140"/>
      <c r="J37" s="140"/>
      <c r="K37" s="140"/>
    </row>
    <row r="38" spans="1:11" ht="20.100000000000001" customHeight="1" x14ac:dyDescent="0.45">
      <c r="A38" s="146" t="s">
        <v>451</v>
      </c>
      <c r="B38" s="145">
        <f>Scenario_Sheet!$L$7</f>
        <v>192050.4028381058</v>
      </c>
      <c r="C38" s="145">
        <f>Scenario_Sheet!$L$8</f>
        <v>181044.00316834659</v>
      </c>
      <c r="D38" s="145">
        <f>Scenario_Sheet!$L$9</f>
        <v>170037.60349858738</v>
      </c>
      <c r="E38" s="145">
        <f>Scenario_Sheet!$L$10</f>
        <v>159031.20382882818</v>
      </c>
      <c r="F38" s="145">
        <f>Scenario_Sheet!$L$11</f>
        <v>148024.80415906903</v>
      </c>
      <c r="G38" s="144">
        <f>Scenario_Sheet!$L$12</f>
        <v>137018.40448930982</v>
      </c>
      <c r="H38" s="140"/>
      <c r="I38" s="140"/>
      <c r="J38" s="140"/>
      <c r="K38" s="140"/>
    </row>
    <row r="39" spans="1:11" ht="20.100000000000001" customHeight="1" thickBot="1" x14ac:dyDescent="0.5">
      <c r="A39" s="143" t="s">
        <v>450</v>
      </c>
      <c r="B39" s="142">
        <f>Scenario_Sheet!$M$7</f>
        <v>164981.55596278157</v>
      </c>
      <c r="C39" s="142">
        <f>Scenario_Sheet!$M$8</f>
        <v>153535.61717694587</v>
      </c>
      <c r="D39" s="142">
        <f>Scenario_Sheet!$M$9</f>
        <v>142089.67839111021</v>
      </c>
      <c r="E39" s="142">
        <f>Scenario_Sheet!$M$10</f>
        <v>130644.73960527452</v>
      </c>
      <c r="F39" s="142">
        <f>Scenario_Sheet!$M$11</f>
        <v>119198.80081943885</v>
      </c>
      <c r="G39" s="141">
        <f>Scenario_Sheet!$M$12</f>
        <v>107752.86203360316</v>
      </c>
      <c r="H39" s="140"/>
      <c r="I39" s="140"/>
      <c r="J39" s="140"/>
      <c r="K39" s="140"/>
    </row>
    <row r="40" spans="1:11" ht="20.100000000000001" customHeight="1" x14ac:dyDescent="0.45"/>
    <row r="41" spans="1:11" ht="20.100000000000001" customHeight="1" x14ac:dyDescent="0.45"/>
    <row r="42" spans="1:11" ht="20.100000000000001" customHeight="1" x14ac:dyDescent="0.45"/>
    <row r="43" spans="1:11" ht="20.100000000000001" customHeight="1" x14ac:dyDescent="0.45"/>
    <row r="44" spans="1:11" ht="20.100000000000001" customHeight="1" x14ac:dyDescent="0.45"/>
    <row r="45" spans="1:11" ht="20.100000000000001" customHeight="1" x14ac:dyDescent="0.45"/>
    <row r="46" spans="1:11" ht="20.100000000000001" customHeight="1" x14ac:dyDescent="0.45"/>
    <row r="47" spans="1:11" ht="20.100000000000001" customHeight="1" x14ac:dyDescent="0.45"/>
    <row r="48" spans="1:11" ht="20.100000000000001" customHeight="1" x14ac:dyDescent="0.45"/>
    <row r="49" ht="20.100000000000001" customHeight="1" x14ac:dyDescent="0.45"/>
    <row r="50" ht="20.100000000000001" customHeight="1" x14ac:dyDescent="0.45"/>
    <row r="51" ht="20.100000000000001" customHeight="1" x14ac:dyDescent="0.45"/>
    <row r="52" ht="20.100000000000001" customHeight="1" x14ac:dyDescent="0.45"/>
    <row r="53" ht="20.100000000000001" customHeight="1" x14ac:dyDescent="0.45"/>
    <row r="54" ht="20.100000000000001" customHeight="1" x14ac:dyDescent="0.45"/>
    <row r="55" ht="20.100000000000001" customHeight="1" x14ac:dyDescent="0.45"/>
    <row r="56" ht="20.100000000000001" customHeight="1" x14ac:dyDescent="0.45"/>
  </sheetData>
  <mergeCells count="2">
    <mergeCell ref="A28:G28"/>
    <mergeCell ref="A2:G2"/>
  </mergeCells>
  <printOptions horizontalCentered="1"/>
  <pageMargins left="0.25" right="0.25" top="0.5" bottom="0.5" header="0.25" footer="0.25"/>
  <pageSetup paperSize="9" scale="68"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theme="8" tint="0.79998168889431442"/>
  </sheetPr>
  <dimension ref="A1:AF30"/>
  <sheetViews>
    <sheetView zoomScale="70" zoomScaleNormal="70" workbookViewId="0">
      <pane xSplit="1" ySplit="2" topLeftCell="B3" activePane="bottomRight" state="frozen"/>
      <selection pane="topRight" activeCell="B1" sqref="B1"/>
      <selection pane="bottomLeft" activeCell="A3" sqref="A3"/>
      <selection pane="bottomRight" activeCell="E3" sqref="E3:E18"/>
    </sheetView>
  </sheetViews>
  <sheetFormatPr defaultRowHeight="14.25" x14ac:dyDescent="0.45"/>
  <cols>
    <col min="1" max="1" width="32.86328125" customWidth="1"/>
    <col min="2" max="3" width="10.59765625" customWidth="1"/>
    <col min="4" max="4" width="18.3984375" customWidth="1"/>
    <col min="5" max="5" width="18.265625" customWidth="1"/>
    <col min="6" max="6" width="17.265625" customWidth="1"/>
    <col min="7" max="7" width="12.86328125" customWidth="1"/>
    <col min="8" max="8" width="14" customWidth="1"/>
    <col min="9" max="9" width="13.86328125" customWidth="1"/>
    <col min="10" max="11" width="12.1328125" customWidth="1"/>
    <col min="12" max="12" width="10.73046875" customWidth="1"/>
    <col min="13" max="13" width="10.59765625" customWidth="1"/>
    <col min="14" max="15" width="10.86328125" customWidth="1"/>
    <col min="16" max="16" width="12.3984375" customWidth="1"/>
    <col min="17" max="17" width="11.3984375" customWidth="1"/>
    <col min="18" max="18" width="12.1328125" bestFit="1" customWidth="1"/>
    <col min="19" max="19" width="12.73046875" customWidth="1"/>
    <col min="20" max="20" width="10.86328125" customWidth="1"/>
    <col min="21" max="22" width="10.59765625" bestFit="1" customWidth="1"/>
    <col min="24" max="24" width="10.86328125" customWidth="1"/>
    <col min="25" max="25" width="10.59765625" bestFit="1" customWidth="1"/>
    <col min="27" max="27" width="10.3984375" customWidth="1"/>
    <col min="28" max="28" width="12.59765625" bestFit="1" customWidth="1"/>
    <col min="29" max="30" width="17.59765625" customWidth="1"/>
    <col min="31" max="31" width="13.73046875" customWidth="1"/>
    <col min="32" max="32" width="11.59765625" bestFit="1" customWidth="1"/>
    <col min="33" max="33" width="12.265625" customWidth="1"/>
  </cols>
  <sheetData>
    <row r="1" spans="1:32" ht="23.25" x14ac:dyDescent="0.7">
      <c r="A1" s="9" t="s">
        <v>86</v>
      </c>
    </row>
    <row r="2" spans="1:32" s="8" customFormat="1" ht="42.75" x14ac:dyDescent="0.45">
      <c r="A2" s="21" t="s">
        <v>71</v>
      </c>
      <c r="B2" s="21" t="s">
        <v>197</v>
      </c>
      <c r="C2" s="21" t="s">
        <v>194</v>
      </c>
      <c r="D2" s="21" t="s">
        <v>79</v>
      </c>
      <c r="E2" s="21" t="s">
        <v>74</v>
      </c>
      <c r="F2" s="21" t="s">
        <v>70</v>
      </c>
      <c r="G2" s="21" t="s">
        <v>113</v>
      </c>
      <c r="H2" s="21" t="s">
        <v>77</v>
      </c>
      <c r="I2" s="21" t="s">
        <v>72</v>
      </c>
      <c r="J2" s="21" t="s">
        <v>73</v>
      </c>
      <c r="K2" s="21" t="s">
        <v>105</v>
      </c>
      <c r="L2" s="21" t="s">
        <v>111</v>
      </c>
      <c r="M2" s="21" t="s">
        <v>112</v>
      </c>
      <c r="N2" s="21" t="s">
        <v>747</v>
      </c>
      <c r="O2" s="21" t="s">
        <v>115</v>
      </c>
      <c r="P2" s="21" t="s">
        <v>116</v>
      </c>
      <c r="Q2" s="21" t="s">
        <v>80</v>
      </c>
      <c r="R2" s="21" t="s">
        <v>114</v>
      </c>
      <c r="S2" s="21" t="s">
        <v>129</v>
      </c>
      <c r="T2" s="21" t="s">
        <v>130</v>
      </c>
      <c r="U2" s="21" t="s">
        <v>131</v>
      </c>
      <c r="V2" s="21" t="s">
        <v>132</v>
      </c>
      <c r="W2" s="21" t="s">
        <v>133</v>
      </c>
      <c r="X2" s="21" t="s">
        <v>134</v>
      </c>
      <c r="Y2" s="21" t="s">
        <v>135</v>
      </c>
      <c r="Z2" s="21" t="s">
        <v>136</v>
      </c>
      <c r="AA2" s="21" t="s">
        <v>344</v>
      </c>
      <c r="AB2" s="21" t="s">
        <v>751</v>
      </c>
      <c r="AC2" s="21" t="s">
        <v>752</v>
      </c>
      <c r="AD2" s="21" t="s">
        <v>753</v>
      </c>
      <c r="AE2" s="21" t="s">
        <v>754</v>
      </c>
      <c r="AF2" s="21" t="s">
        <v>755</v>
      </c>
    </row>
    <row r="3" spans="1:32" x14ac:dyDescent="0.45">
      <c r="A3" s="10" t="s">
        <v>778</v>
      </c>
      <c r="B3" s="10">
        <v>1</v>
      </c>
      <c r="C3" s="10" t="s">
        <v>195</v>
      </c>
      <c r="D3" s="10" t="s">
        <v>75</v>
      </c>
      <c r="E3" s="11">
        <v>75000</v>
      </c>
      <c r="F3" s="10">
        <v>1.3</v>
      </c>
      <c r="G3" s="13">
        <f>L3/H3</f>
        <v>45000</v>
      </c>
      <c r="H3" s="10">
        <v>1</v>
      </c>
      <c r="I3" s="10">
        <v>17</v>
      </c>
      <c r="J3" s="12">
        <f t="shared" ref="J3:J19" si="0">IF(I3&gt;1.7,I3-F3-1.7,0)</f>
        <v>14</v>
      </c>
      <c r="K3" s="23">
        <v>0.6</v>
      </c>
      <c r="L3" s="13">
        <f t="shared" ref="L3:L19" si="1">K3*E3</f>
        <v>45000</v>
      </c>
      <c r="M3" s="23">
        <v>0.18</v>
      </c>
      <c r="N3" s="23" t="s">
        <v>196</v>
      </c>
      <c r="O3" s="13">
        <f t="shared" ref="O3:O19" si="2">L3*(1-M3)</f>
        <v>36900</v>
      </c>
      <c r="P3" s="13">
        <f t="shared" ref="P3:P19" si="3">O3*J3</f>
        <v>516600</v>
      </c>
      <c r="Q3" s="14">
        <v>8.3333333333333297E-3</v>
      </c>
      <c r="R3" s="15">
        <f>Q3*L3</f>
        <v>374.99999999999983</v>
      </c>
      <c r="S3" s="15">
        <f t="shared" ref="S3:S19" si="4">IF(C3="Y",$L3,IF(C3="D",0,$L3*CST_DRY_PCT))</f>
        <v>25200.000000000004</v>
      </c>
      <c r="T3" s="15">
        <f>S3*$J3</f>
        <v>352800.00000000006</v>
      </c>
      <c r="U3" s="15">
        <f t="shared" ref="U3:U19" si="5">IF(C3="Y",0,IF(C3="D",$L3,$L3*CST_AC_PCT))</f>
        <v>12600.000000000002</v>
      </c>
      <c r="V3" s="15">
        <f>U3*$J3</f>
        <v>176400.00000000003</v>
      </c>
      <c r="W3" s="15">
        <f t="shared" ref="W3:W19" si="6">IF(C3="Y",0,IF(C3="D",0,$L3*CST_CHILL_PCT))</f>
        <v>4950</v>
      </c>
      <c r="X3" s="15">
        <f>W3*$J3</f>
        <v>69300</v>
      </c>
      <c r="Y3" s="15">
        <f t="shared" ref="Y3:Y19" si="7">IF(C3="Y",0,IF(C3="D",0,$L3*CST_FROZ_PCT))</f>
        <v>2250</v>
      </c>
      <c r="Z3" s="15">
        <f>Y3*$J3</f>
        <v>31500</v>
      </c>
      <c r="AA3" s="40">
        <f>IF(N3="Y",(S3+U3)*M3,0)</f>
        <v>6804.0000000000009</v>
      </c>
      <c r="AB3" s="41">
        <f t="shared" ref="AB3:AB19" si="8">IF(C3="Y",S3*CST_BLD_YARD, IF(C3="L",S3*CST_BLD_DRY,S3*CST_BLD_DRY_M))</f>
        <v>51738750.000000007</v>
      </c>
      <c r="AC3" s="13">
        <f t="shared" ref="AC3:AC19" si="9">IF(C3="D",U3*CST_BLD_SPECIAL,IF(C3="L",U3*CST_BLD_AC,U3*CST_BLD_AC_M))</f>
        <v>37366875.000000007</v>
      </c>
      <c r="AD3" s="13">
        <f t="shared" ref="AD3:AD19" si="10">IF(C3="L",W3*CST_BLD_CHILL,W3*CST_BLD_CHILL_M)</f>
        <v>19196718.75</v>
      </c>
      <c r="AE3" s="13">
        <f t="shared" ref="AE3:AE19" si="11">IF(C3="L",Y3*CST_BLD_FROZ,Y3*CST_BLD_FROZ_M)</f>
        <v>8725781.25</v>
      </c>
      <c r="AF3" s="13">
        <f t="shared" ref="AF3:AF19" si="12">IF(C3="L",AA3*CST_BLD_MEZZANINE,AA3*CST_BLD_MEZZANINE)</f>
        <v>12417300.000000002</v>
      </c>
    </row>
    <row r="4" spans="1:32" x14ac:dyDescent="0.45">
      <c r="A4" s="10" t="s">
        <v>778</v>
      </c>
      <c r="B4" s="10">
        <v>1</v>
      </c>
      <c r="C4" s="10" t="s">
        <v>195</v>
      </c>
      <c r="D4" s="10" t="s">
        <v>75</v>
      </c>
      <c r="E4" s="11">
        <v>75000</v>
      </c>
      <c r="F4" s="10">
        <v>1.3</v>
      </c>
      <c r="G4" s="13">
        <f>L4/H4</f>
        <v>45000</v>
      </c>
      <c r="H4" s="10">
        <v>1</v>
      </c>
      <c r="I4" s="10">
        <v>17</v>
      </c>
      <c r="J4" s="12">
        <f t="shared" si="0"/>
        <v>14</v>
      </c>
      <c r="K4" s="23">
        <v>0.6</v>
      </c>
      <c r="L4" s="13">
        <f t="shared" si="1"/>
        <v>45000</v>
      </c>
      <c r="M4" s="23">
        <v>0.18</v>
      </c>
      <c r="N4" s="23" t="s">
        <v>196</v>
      </c>
      <c r="O4" s="13">
        <f t="shared" si="2"/>
        <v>36900</v>
      </c>
      <c r="P4" s="13">
        <f t="shared" si="3"/>
        <v>516600</v>
      </c>
      <c r="Q4" s="14">
        <v>8.3333333333333297E-3</v>
      </c>
      <c r="R4" s="15">
        <f>Q4*L4</f>
        <v>374.99999999999983</v>
      </c>
      <c r="S4" s="15">
        <f t="shared" si="4"/>
        <v>25200.000000000004</v>
      </c>
      <c r="T4" s="15">
        <f>S4*$J4</f>
        <v>352800.00000000006</v>
      </c>
      <c r="U4" s="15">
        <f t="shared" si="5"/>
        <v>12600.000000000002</v>
      </c>
      <c r="V4" s="15">
        <f>U4*$J4</f>
        <v>176400.00000000003</v>
      </c>
      <c r="W4" s="15">
        <f t="shared" si="6"/>
        <v>4950</v>
      </c>
      <c r="X4" s="15">
        <f>W4*$J4</f>
        <v>69300</v>
      </c>
      <c r="Y4" s="15">
        <f t="shared" si="7"/>
        <v>2250</v>
      </c>
      <c r="Z4" s="15">
        <f>Y4*$J4</f>
        <v>31500</v>
      </c>
      <c r="AA4" s="40">
        <f t="shared" ref="AA4:AA19" si="13">IF(N4="Y",(S4+U4)*M4,0)</f>
        <v>6804.0000000000009</v>
      </c>
      <c r="AB4" s="41">
        <f t="shared" si="8"/>
        <v>51738750.000000007</v>
      </c>
      <c r="AC4" s="13">
        <f t="shared" si="9"/>
        <v>37366875.000000007</v>
      </c>
      <c r="AD4" s="13">
        <f t="shared" si="10"/>
        <v>19196718.75</v>
      </c>
      <c r="AE4" s="13">
        <f t="shared" si="11"/>
        <v>8725781.25</v>
      </c>
      <c r="AF4" s="13">
        <f t="shared" si="12"/>
        <v>12417300.000000002</v>
      </c>
    </row>
    <row r="5" spans="1:32" x14ac:dyDescent="0.45">
      <c r="A5" s="10" t="s">
        <v>779</v>
      </c>
      <c r="B5" s="10">
        <v>2</v>
      </c>
      <c r="C5" s="10" t="s">
        <v>195</v>
      </c>
      <c r="D5" s="10" t="s">
        <v>75</v>
      </c>
      <c r="E5" s="11">
        <v>45000</v>
      </c>
      <c r="F5" s="10">
        <v>1.3</v>
      </c>
      <c r="G5" s="13">
        <f t="shared" ref="G5:G19" si="14">L5/H5</f>
        <v>27000</v>
      </c>
      <c r="H5" s="10">
        <v>1</v>
      </c>
      <c r="I5" s="10">
        <v>17</v>
      </c>
      <c r="J5" s="12">
        <f t="shared" si="0"/>
        <v>14</v>
      </c>
      <c r="K5" s="23">
        <v>0.6</v>
      </c>
      <c r="L5" s="13">
        <f t="shared" si="1"/>
        <v>27000</v>
      </c>
      <c r="M5" s="23">
        <v>0.18</v>
      </c>
      <c r="N5" s="23" t="s">
        <v>196</v>
      </c>
      <c r="O5" s="13">
        <f t="shared" si="2"/>
        <v>22140</v>
      </c>
      <c r="P5" s="13">
        <f t="shared" si="3"/>
        <v>309960</v>
      </c>
      <c r="Q5" s="14">
        <v>8.3333333333333297E-3</v>
      </c>
      <c r="R5" s="15">
        <f t="shared" ref="R5:R16" si="15">Q5*L5</f>
        <v>224.99999999999991</v>
      </c>
      <c r="S5" s="15">
        <f t="shared" si="4"/>
        <v>15120.000000000002</v>
      </c>
      <c r="T5" s="15">
        <f t="shared" ref="T5:T16" si="16">S5*$J5</f>
        <v>211680.00000000003</v>
      </c>
      <c r="U5" s="15">
        <f t="shared" si="5"/>
        <v>7560.0000000000009</v>
      </c>
      <c r="V5" s="15">
        <f t="shared" ref="V5:V16" si="17">U5*$J5</f>
        <v>105840.00000000001</v>
      </c>
      <c r="W5" s="15">
        <f t="shared" si="6"/>
        <v>2970</v>
      </c>
      <c r="X5" s="15">
        <f t="shared" ref="X5:X16" si="18">W5*$J5</f>
        <v>41580</v>
      </c>
      <c r="Y5" s="15">
        <f t="shared" si="7"/>
        <v>1350</v>
      </c>
      <c r="Z5" s="15">
        <f t="shared" ref="Z5:Z16" si="19">Y5*$J5</f>
        <v>18900</v>
      </c>
      <c r="AA5" s="40">
        <f t="shared" si="13"/>
        <v>4082.4000000000005</v>
      </c>
      <c r="AB5" s="41">
        <f t="shared" si="8"/>
        <v>31043250.000000004</v>
      </c>
      <c r="AC5" s="13">
        <f t="shared" si="9"/>
        <v>22420125.000000004</v>
      </c>
      <c r="AD5" s="13">
        <f t="shared" si="10"/>
        <v>11518031.25</v>
      </c>
      <c r="AE5" s="13">
        <f t="shared" si="11"/>
        <v>5235468.75</v>
      </c>
      <c r="AF5" s="13">
        <f t="shared" si="12"/>
        <v>7450380.0000000009</v>
      </c>
    </row>
    <row r="6" spans="1:32" x14ac:dyDescent="0.45">
      <c r="A6" s="10" t="s">
        <v>779</v>
      </c>
      <c r="B6" s="10">
        <v>3</v>
      </c>
      <c r="C6" s="10" t="s">
        <v>195</v>
      </c>
      <c r="D6" s="10" t="s">
        <v>75</v>
      </c>
      <c r="E6" s="11">
        <v>45000</v>
      </c>
      <c r="F6" s="10">
        <v>1.3</v>
      </c>
      <c r="G6" s="13">
        <f t="shared" si="14"/>
        <v>27000</v>
      </c>
      <c r="H6" s="10">
        <v>1</v>
      </c>
      <c r="I6" s="10">
        <v>17</v>
      </c>
      <c r="J6" s="12">
        <f t="shared" si="0"/>
        <v>14</v>
      </c>
      <c r="K6" s="23">
        <v>0.6</v>
      </c>
      <c r="L6" s="13">
        <f t="shared" si="1"/>
        <v>27000</v>
      </c>
      <c r="M6" s="23">
        <v>0.18</v>
      </c>
      <c r="N6" s="23" t="s">
        <v>196</v>
      </c>
      <c r="O6" s="13">
        <f t="shared" si="2"/>
        <v>22140</v>
      </c>
      <c r="P6" s="13">
        <f t="shared" si="3"/>
        <v>309960</v>
      </c>
      <c r="Q6" s="14">
        <v>8.3333333333333297E-3</v>
      </c>
      <c r="R6" s="15">
        <f t="shared" si="15"/>
        <v>224.99999999999991</v>
      </c>
      <c r="S6" s="15">
        <f t="shared" si="4"/>
        <v>15120.000000000002</v>
      </c>
      <c r="T6" s="15">
        <f t="shared" si="16"/>
        <v>211680.00000000003</v>
      </c>
      <c r="U6" s="15">
        <f t="shared" si="5"/>
        <v>7560.0000000000009</v>
      </c>
      <c r="V6" s="15">
        <f t="shared" si="17"/>
        <v>105840.00000000001</v>
      </c>
      <c r="W6" s="15">
        <f t="shared" si="6"/>
        <v>2970</v>
      </c>
      <c r="X6" s="15">
        <f t="shared" si="18"/>
        <v>41580</v>
      </c>
      <c r="Y6" s="15">
        <f t="shared" si="7"/>
        <v>1350</v>
      </c>
      <c r="Z6" s="15">
        <f t="shared" si="19"/>
        <v>18900</v>
      </c>
      <c r="AA6" s="40">
        <f t="shared" si="13"/>
        <v>4082.4000000000005</v>
      </c>
      <c r="AB6" s="41">
        <f t="shared" si="8"/>
        <v>31043250.000000004</v>
      </c>
      <c r="AC6" s="13">
        <f t="shared" si="9"/>
        <v>22420125.000000004</v>
      </c>
      <c r="AD6" s="13">
        <f t="shared" si="10"/>
        <v>11518031.25</v>
      </c>
      <c r="AE6" s="13">
        <f t="shared" si="11"/>
        <v>5235468.75</v>
      </c>
      <c r="AF6" s="13">
        <f t="shared" si="12"/>
        <v>7450380.0000000009</v>
      </c>
    </row>
    <row r="7" spans="1:32" x14ac:dyDescent="0.45">
      <c r="A7" s="10" t="s">
        <v>779</v>
      </c>
      <c r="B7" s="10">
        <v>4</v>
      </c>
      <c r="C7" s="10" t="s">
        <v>195</v>
      </c>
      <c r="D7" s="10" t="s">
        <v>75</v>
      </c>
      <c r="E7" s="11">
        <v>45000</v>
      </c>
      <c r="F7" s="10">
        <v>1.3</v>
      </c>
      <c r="G7" s="13">
        <f t="shared" si="14"/>
        <v>27000</v>
      </c>
      <c r="H7" s="10">
        <v>1</v>
      </c>
      <c r="I7" s="10">
        <v>17</v>
      </c>
      <c r="J7" s="12">
        <f t="shared" si="0"/>
        <v>14</v>
      </c>
      <c r="K7" s="23">
        <v>0.6</v>
      </c>
      <c r="L7" s="13">
        <f t="shared" si="1"/>
        <v>27000</v>
      </c>
      <c r="M7" s="23">
        <v>0.18</v>
      </c>
      <c r="N7" s="23" t="s">
        <v>196</v>
      </c>
      <c r="O7" s="13">
        <f t="shared" si="2"/>
        <v>22140</v>
      </c>
      <c r="P7" s="13">
        <f t="shared" si="3"/>
        <v>309960</v>
      </c>
      <c r="Q7" s="14">
        <v>8.3333333333333297E-3</v>
      </c>
      <c r="R7" s="15">
        <f t="shared" si="15"/>
        <v>224.99999999999991</v>
      </c>
      <c r="S7" s="15">
        <f t="shared" si="4"/>
        <v>15120.000000000002</v>
      </c>
      <c r="T7" s="15">
        <f t="shared" si="16"/>
        <v>211680.00000000003</v>
      </c>
      <c r="U7" s="15">
        <f t="shared" si="5"/>
        <v>7560.0000000000009</v>
      </c>
      <c r="V7" s="15">
        <f t="shared" si="17"/>
        <v>105840.00000000001</v>
      </c>
      <c r="W7" s="15">
        <f t="shared" si="6"/>
        <v>2970</v>
      </c>
      <c r="X7" s="15">
        <f t="shared" si="18"/>
        <v>41580</v>
      </c>
      <c r="Y7" s="15">
        <f t="shared" si="7"/>
        <v>1350</v>
      </c>
      <c r="Z7" s="15">
        <f t="shared" si="19"/>
        <v>18900</v>
      </c>
      <c r="AA7" s="40">
        <f t="shared" si="13"/>
        <v>4082.4000000000005</v>
      </c>
      <c r="AB7" s="41">
        <f t="shared" si="8"/>
        <v>31043250.000000004</v>
      </c>
      <c r="AC7" s="13">
        <f t="shared" si="9"/>
        <v>22420125.000000004</v>
      </c>
      <c r="AD7" s="13">
        <f t="shared" si="10"/>
        <v>11518031.25</v>
      </c>
      <c r="AE7" s="13">
        <f t="shared" si="11"/>
        <v>5235468.75</v>
      </c>
      <c r="AF7" s="13">
        <f t="shared" si="12"/>
        <v>7450380.0000000009</v>
      </c>
    </row>
    <row r="8" spans="1:32" x14ac:dyDescent="0.45">
      <c r="A8" s="10" t="s">
        <v>780</v>
      </c>
      <c r="B8" s="10">
        <v>5</v>
      </c>
      <c r="C8" s="10" t="s">
        <v>195</v>
      </c>
      <c r="D8" s="10" t="s">
        <v>75</v>
      </c>
      <c r="E8" s="11">
        <v>32667</v>
      </c>
      <c r="F8" s="10">
        <v>1.3</v>
      </c>
      <c r="G8" s="13">
        <f t="shared" si="14"/>
        <v>19600.2</v>
      </c>
      <c r="H8" s="10">
        <v>1</v>
      </c>
      <c r="I8" s="10">
        <v>17</v>
      </c>
      <c r="J8" s="12">
        <f t="shared" si="0"/>
        <v>14</v>
      </c>
      <c r="K8" s="23">
        <v>0.6</v>
      </c>
      <c r="L8" s="13">
        <f t="shared" si="1"/>
        <v>19600.2</v>
      </c>
      <c r="M8" s="23">
        <v>0.18</v>
      </c>
      <c r="N8" s="23" t="s">
        <v>196</v>
      </c>
      <c r="O8" s="13">
        <f t="shared" si="2"/>
        <v>16072.164000000002</v>
      </c>
      <c r="P8" s="13">
        <f t="shared" si="3"/>
        <v>225010.29600000003</v>
      </c>
      <c r="Q8" s="14">
        <v>8.3333333333333297E-3</v>
      </c>
      <c r="R8" s="15">
        <f t="shared" si="15"/>
        <v>163.33499999999992</v>
      </c>
      <c r="S8" s="15">
        <f t="shared" si="4"/>
        <v>10976.112000000001</v>
      </c>
      <c r="T8" s="15">
        <f t="shared" si="16"/>
        <v>153665.56800000003</v>
      </c>
      <c r="U8" s="15">
        <f t="shared" si="5"/>
        <v>5488.0560000000005</v>
      </c>
      <c r="V8" s="15">
        <f t="shared" si="17"/>
        <v>76832.784000000014</v>
      </c>
      <c r="W8" s="15">
        <f t="shared" si="6"/>
        <v>2156.0219999999999</v>
      </c>
      <c r="X8" s="15">
        <f t="shared" si="18"/>
        <v>30184.307999999997</v>
      </c>
      <c r="Y8" s="15">
        <f t="shared" si="7"/>
        <v>980.0100000000001</v>
      </c>
      <c r="Z8" s="15">
        <f t="shared" si="19"/>
        <v>13720.140000000001</v>
      </c>
      <c r="AA8" s="40">
        <f t="shared" si="13"/>
        <v>2963.55024</v>
      </c>
      <c r="AB8" s="41">
        <f t="shared" si="8"/>
        <v>22535329.950000003</v>
      </c>
      <c r="AC8" s="13">
        <f t="shared" si="9"/>
        <v>16275516.075000001</v>
      </c>
      <c r="AD8" s="13">
        <f t="shared" si="10"/>
        <v>8361322.8187499996</v>
      </c>
      <c r="AE8" s="13">
        <f t="shared" si="11"/>
        <v>3800601.2812500005</v>
      </c>
      <c r="AF8" s="13">
        <f t="shared" si="12"/>
        <v>5408479.1880000001</v>
      </c>
    </row>
    <row r="9" spans="1:32" x14ac:dyDescent="0.45">
      <c r="A9" s="10" t="s">
        <v>780</v>
      </c>
      <c r="B9" s="10">
        <v>6</v>
      </c>
      <c r="C9" s="10" t="s">
        <v>195</v>
      </c>
      <c r="D9" s="10" t="s">
        <v>75</v>
      </c>
      <c r="E9" s="11">
        <v>32667</v>
      </c>
      <c r="F9" s="10">
        <v>1.3</v>
      </c>
      <c r="G9" s="13">
        <f t="shared" si="14"/>
        <v>19600.2</v>
      </c>
      <c r="H9" s="10">
        <v>1</v>
      </c>
      <c r="I9" s="10">
        <v>17</v>
      </c>
      <c r="J9" s="12">
        <f t="shared" si="0"/>
        <v>14</v>
      </c>
      <c r="K9" s="23">
        <v>0.6</v>
      </c>
      <c r="L9" s="13">
        <f t="shared" si="1"/>
        <v>19600.2</v>
      </c>
      <c r="M9" s="23">
        <v>0.18</v>
      </c>
      <c r="N9" s="23" t="s">
        <v>196</v>
      </c>
      <c r="O9" s="13">
        <f t="shared" si="2"/>
        <v>16072.164000000002</v>
      </c>
      <c r="P9" s="13">
        <f t="shared" si="3"/>
        <v>225010.29600000003</v>
      </c>
      <c r="Q9" s="14">
        <v>8.3333333333333297E-3</v>
      </c>
      <c r="R9" s="15">
        <f t="shared" si="15"/>
        <v>163.33499999999992</v>
      </c>
      <c r="S9" s="15">
        <f t="shared" si="4"/>
        <v>10976.112000000001</v>
      </c>
      <c r="T9" s="15">
        <f t="shared" si="16"/>
        <v>153665.56800000003</v>
      </c>
      <c r="U9" s="15">
        <f t="shared" si="5"/>
        <v>5488.0560000000005</v>
      </c>
      <c r="V9" s="15">
        <f t="shared" si="17"/>
        <v>76832.784000000014</v>
      </c>
      <c r="W9" s="15">
        <f t="shared" si="6"/>
        <v>2156.0219999999999</v>
      </c>
      <c r="X9" s="15">
        <f t="shared" si="18"/>
        <v>30184.307999999997</v>
      </c>
      <c r="Y9" s="15">
        <f t="shared" si="7"/>
        <v>980.0100000000001</v>
      </c>
      <c r="Z9" s="15">
        <f t="shared" si="19"/>
        <v>13720.140000000001</v>
      </c>
      <c r="AA9" s="40">
        <f t="shared" si="13"/>
        <v>2963.55024</v>
      </c>
      <c r="AB9" s="41">
        <f t="shared" si="8"/>
        <v>22535329.950000003</v>
      </c>
      <c r="AC9" s="13">
        <f t="shared" si="9"/>
        <v>16275516.075000001</v>
      </c>
      <c r="AD9" s="13">
        <f t="shared" si="10"/>
        <v>8361322.8187499996</v>
      </c>
      <c r="AE9" s="13">
        <f t="shared" si="11"/>
        <v>3800601.2812500005</v>
      </c>
      <c r="AF9" s="13">
        <f t="shared" si="12"/>
        <v>5408479.1880000001</v>
      </c>
    </row>
    <row r="10" spans="1:32" x14ac:dyDescent="0.45">
      <c r="A10" s="10"/>
      <c r="B10" s="10">
        <v>7</v>
      </c>
      <c r="C10" s="10" t="s">
        <v>195</v>
      </c>
      <c r="D10" s="10" t="s">
        <v>75</v>
      </c>
      <c r="E10" s="11">
        <v>0</v>
      </c>
      <c r="F10" s="10">
        <v>1.3</v>
      </c>
      <c r="G10" s="13">
        <f t="shared" ref="G10:G11" si="20">L10/H10</f>
        <v>0</v>
      </c>
      <c r="H10" s="10">
        <v>1</v>
      </c>
      <c r="I10" s="10">
        <v>17</v>
      </c>
      <c r="J10" s="12">
        <f t="shared" si="0"/>
        <v>14</v>
      </c>
      <c r="K10" s="23">
        <v>0.6</v>
      </c>
      <c r="L10" s="13">
        <f t="shared" si="1"/>
        <v>0</v>
      </c>
      <c r="M10" s="23">
        <v>0.18</v>
      </c>
      <c r="N10" s="23" t="s">
        <v>196</v>
      </c>
      <c r="O10" s="13">
        <f t="shared" si="2"/>
        <v>0</v>
      </c>
      <c r="P10" s="13">
        <f t="shared" si="3"/>
        <v>0</v>
      </c>
      <c r="Q10" s="14">
        <v>8.3333333333333297E-3</v>
      </c>
      <c r="R10" s="15">
        <f t="shared" ref="R10:R11" si="21">Q10*L10</f>
        <v>0</v>
      </c>
      <c r="S10" s="15">
        <f t="shared" si="4"/>
        <v>0</v>
      </c>
      <c r="T10" s="15">
        <f t="shared" si="16"/>
        <v>0</v>
      </c>
      <c r="U10" s="15">
        <f t="shared" si="5"/>
        <v>0</v>
      </c>
      <c r="V10" s="15">
        <f t="shared" si="17"/>
        <v>0</v>
      </c>
      <c r="W10" s="15">
        <f t="shared" si="6"/>
        <v>0</v>
      </c>
      <c r="X10" s="15">
        <f t="shared" si="18"/>
        <v>0</v>
      </c>
      <c r="Y10" s="15">
        <f t="shared" si="7"/>
        <v>0</v>
      </c>
      <c r="Z10" s="15">
        <f t="shared" si="19"/>
        <v>0</v>
      </c>
      <c r="AA10" s="40">
        <f t="shared" si="13"/>
        <v>0</v>
      </c>
      <c r="AB10" s="41">
        <f t="shared" si="8"/>
        <v>0</v>
      </c>
      <c r="AC10" s="13">
        <f t="shared" si="9"/>
        <v>0</v>
      </c>
      <c r="AD10" s="13">
        <f t="shared" si="10"/>
        <v>0</v>
      </c>
      <c r="AE10" s="13">
        <f t="shared" si="11"/>
        <v>0</v>
      </c>
      <c r="AF10" s="13">
        <f t="shared" si="12"/>
        <v>0</v>
      </c>
    </row>
    <row r="11" spans="1:32" x14ac:dyDescent="0.45">
      <c r="A11" s="10"/>
      <c r="B11" s="10">
        <v>8</v>
      </c>
      <c r="C11" s="10" t="s">
        <v>195</v>
      </c>
      <c r="D11" s="10" t="s">
        <v>75</v>
      </c>
      <c r="E11" s="11">
        <v>0</v>
      </c>
      <c r="F11" s="10">
        <v>1.3</v>
      </c>
      <c r="G11" s="13">
        <f t="shared" si="20"/>
        <v>0</v>
      </c>
      <c r="H11" s="10">
        <v>1</v>
      </c>
      <c r="I11" s="10">
        <v>17</v>
      </c>
      <c r="J11" s="12">
        <f t="shared" ref="J11:J12" si="22">IF(I11&gt;1.7,I11-F11-1.7,0)</f>
        <v>14</v>
      </c>
      <c r="K11" s="23">
        <v>0.6</v>
      </c>
      <c r="L11" s="13">
        <f t="shared" ref="L11:L12" si="23">K11*E11</f>
        <v>0</v>
      </c>
      <c r="M11" s="23">
        <v>0.18</v>
      </c>
      <c r="N11" s="23" t="s">
        <v>196</v>
      </c>
      <c r="O11" s="13">
        <f t="shared" ref="O11:O12" si="24">L11*(1-M11)</f>
        <v>0</v>
      </c>
      <c r="P11" s="13">
        <f t="shared" ref="P11:P12" si="25">O11*J11</f>
        <v>0</v>
      </c>
      <c r="Q11" s="14">
        <v>8.3333333333333297E-3</v>
      </c>
      <c r="R11" s="15">
        <f t="shared" si="21"/>
        <v>0</v>
      </c>
      <c r="S11" s="15">
        <f t="shared" si="4"/>
        <v>0</v>
      </c>
      <c r="T11" s="15">
        <f t="shared" ref="T11:T12" si="26">S11*$J11</f>
        <v>0</v>
      </c>
      <c r="U11" s="15">
        <f t="shared" si="5"/>
        <v>0</v>
      </c>
      <c r="V11" s="15">
        <f t="shared" ref="V11:V12" si="27">U11*$J11</f>
        <v>0</v>
      </c>
      <c r="W11" s="15">
        <f t="shared" si="6"/>
        <v>0</v>
      </c>
      <c r="X11" s="15">
        <f t="shared" ref="X11:X12" si="28">W11*$J11</f>
        <v>0</v>
      </c>
      <c r="Y11" s="15">
        <f t="shared" si="7"/>
        <v>0</v>
      </c>
      <c r="Z11" s="15">
        <f t="shared" ref="Z11:Z12" si="29">Y11*$J11</f>
        <v>0</v>
      </c>
      <c r="AA11" s="40">
        <f t="shared" si="13"/>
        <v>0</v>
      </c>
      <c r="AB11" s="41">
        <f t="shared" si="8"/>
        <v>0</v>
      </c>
      <c r="AC11" s="13">
        <f t="shared" si="9"/>
        <v>0</v>
      </c>
      <c r="AD11" s="13">
        <f t="shared" si="10"/>
        <v>0</v>
      </c>
      <c r="AE11" s="13">
        <f t="shared" si="11"/>
        <v>0</v>
      </c>
      <c r="AF11" s="13">
        <f t="shared" si="12"/>
        <v>0</v>
      </c>
    </row>
    <row r="12" spans="1:32" x14ac:dyDescent="0.45">
      <c r="A12" s="10"/>
      <c r="B12" s="10">
        <v>9</v>
      </c>
      <c r="C12" s="10" t="s">
        <v>195</v>
      </c>
      <c r="D12" s="10" t="s">
        <v>75</v>
      </c>
      <c r="E12" s="11">
        <v>0</v>
      </c>
      <c r="F12" s="10">
        <v>1.3</v>
      </c>
      <c r="G12" s="13">
        <f t="shared" ref="G12" si="30">L12/H12</f>
        <v>0</v>
      </c>
      <c r="H12" s="10">
        <v>1</v>
      </c>
      <c r="I12" s="10">
        <v>17</v>
      </c>
      <c r="J12" s="12">
        <f t="shared" si="22"/>
        <v>14</v>
      </c>
      <c r="K12" s="23">
        <v>0.6</v>
      </c>
      <c r="L12" s="13">
        <f t="shared" si="23"/>
        <v>0</v>
      </c>
      <c r="M12" s="23">
        <v>0.18</v>
      </c>
      <c r="N12" s="23" t="s">
        <v>196</v>
      </c>
      <c r="O12" s="13">
        <f t="shared" si="24"/>
        <v>0</v>
      </c>
      <c r="P12" s="13">
        <f t="shared" si="25"/>
        <v>0</v>
      </c>
      <c r="Q12" s="14">
        <v>8.3333333333333297E-3</v>
      </c>
      <c r="R12" s="15">
        <f t="shared" ref="R12" si="31">Q12*L12</f>
        <v>0</v>
      </c>
      <c r="S12" s="15">
        <f t="shared" si="4"/>
        <v>0</v>
      </c>
      <c r="T12" s="15">
        <f t="shared" si="26"/>
        <v>0</v>
      </c>
      <c r="U12" s="15">
        <f t="shared" si="5"/>
        <v>0</v>
      </c>
      <c r="V12" s="15">
        <f t="shared" si="27"/>
        <v>0</v>
      </c>
      <c r="W12" s="15">
        <f t="shared" si="6"/>
        <v>0</v>
      </c>
      <c r="X12" s="15">
        <f t="shared" si="28"/>
        <v>0</v>
      </c>
      <c r="Y12" s="15">
        <f t="shared" si="7"/>
        <v>0</v>
      </c>
      <c r="Z12" s="15">
        <f t="shared" si="29"/>
        <v>0</v>
      </c>
      <c r="AA12" s="40">
        <f t="shared" si="13"/>
        <v>0</v>
      </c>
      <c r="AB12" s="41">
        <f t="shared" si="8"/>
        <v>0</v>
      </c>
      <c r="AC12" s="13">
        <f t="shared" si="9"/>
        <v>0</v>
      </c>
      <c r="AD12" s="13">
        <f t="shared" si="10"/>
        <v>0</v>
      </c>
      <c r="AE12" s="13">
        <f t="shared" si="11"/>
        <v>0</v>
      </c>
      <c r="AF12" s="13">
        <f t="shared" si="12"/>
        <v>0</v>
      </c>
    </row>
    <row r="13" spans="1:32" x14ac:dyDescent="0.45">
      <c r="A13" s="10" t="s">
        <v>377</v>
      </c>
      <c r="B13" s="10">
        <v>10</v>
      </c>
      <c r="C13" s="10" t="s">
        <v>375</v>
      </c>
      <c r="D13" s="10" t="s">
        <v>75</v>
      </c>
      <c r="E13" s="11">
        <f>12250/0.6</f>
        <v>20416.666666666668</v>
      </c>
      <c r="F13" s="10">
        <v>1.3</v>
      </c>
      <c r="G13" s="13">
        <f t="shared" ref="G13:G14" si="32">L13/H13</f>
        <v>12250</v>
      </c>
      <c r="H13" s="10">
        <v>1</v>
      </c>
      <c r="I13" s="10">
        <v>12</v>
      </c>
      <c r="J13" s="12">
        <f t="shared" ref="J13:J14" si="33">IF(I13&gt;1.7,I13-F13-1.7,0)</f>
        <v>9</v>
      </c>
      <c r="K13" s="23">
        <v>0.6</v>
      </c>
      <c r="L13" s="13">
        <f t="shared" ref="L13:L14" si="34">K13*E13</f>
        <v>12250</v>
      </c>
      <c r="M13" s="23">
        <v>0.18</v>
      </c>
      <c r="N13" s="23" t="s">
        <v>196</v>
      </c>
      <c r="O13" s="13">
        <f t="shared" ref="O13:O14" si="35">L13*(1-M13)</f>
        <v>10045</v>
      </c>
      <c r="P13" s="13">
        <f t="shared" ref="P13:P14" si="36">O13*J13</f>
        <v>90405</v>
      </c>
      <c r="Q13" s="14">
        <v>5.0000000000000001E-3</v>
      </c>
      <c r="R13" s="15">
        <f t="shared" ref="R13:R14" si="37">Q13*L13</f>
        <v>61.25</v>
      </c>
      <c r="S13" s="15">
        <f t="shared" si="4"/>
        <v>0</v>
      </c>
      <c r="T13" s="15">
        <f t="shared" ref="T13:T14" si="38">S13*$J13</f>
        <v>0</v>
      </c>
      <c r="U13" s="15">
        <f t="shared" si="5"/>
        <v>12250</v>
      </c>
      <c r="V13" s="15">
        <f t="shared" ref="V13:V14" si="39">U13*$J13</f>
        <v>110250</v>
      </c>
      <c r="W13" s="15">
        <f t="shared" si="6"/>
        <v>0</v>
      </c>
      <c r="X13" s="15">
        <f t="shared" ref="X13:X14" si="40">W13*$J13</f>
        <v>0</v>
      </c>
      <c r="Y13" s="15">
        <f t="shared" si="7"/>
        <v>0</v>
      </c>
      <c r="Z13" s="15">
        <f t="shared" ref="Z13:Z14" si="41">Y13*$J13</f>
        <v>0</v>
      </c>
      <c r="AA13" s="40">
        <f t="shared" si="13"/>
        <v>2205</v>
      </c>
      <c r="AB13" s="41">
        <f t="shared" si="8"/>
        <v>0</v>
      </c>
      <c r="AC13" s="13">
        <f t="shared" si="9"/>
        <v>33967527.34375</v>
      </c>
      <c r="AD13" s="13">
        <f t="shared" si="10"/>
        <v>0</v>
      </c>
      <c r="AE13" s="13">
        <f t="shared" si="11"/>
        <v>0</v>
      </c>
      <c r="AF13" s="13">
        <f t="shared" si="12"/>
        <v>4024125</v>
      </c>
    </row>
    <row r="14" spans="1:32" x14ac:dyDescent="0.45">
      <c r="A14" s="10"/>
      <c r="B14" s="10">
        <v>10</v>
      </c>
      <c r="C14" s="10" t="s">
        <v>375</v>
      </c>
      <c r="D14" s="10" t="s">
        <v>75</v>
      </c>
      <c r="E14" s="11">
        <v>0</v>
      </c>
      <c r="F14" s="10">
        <v>1.3</v>
      </c>
      <c r="G14" s="13">
        <f t="shared" si="32"/>
        <v>0</v>
      </c>
      <c r="H14" s="10">
        <v>1</v>
      </c>
      <c r="I14" s="10">
        <v>12</v>
      </c>
      <c r="J14" s="12">
        <f t="shared" si="33"/>
        <v>9</v>
      </c>
      <c r="K14" s="23">
        <v>0.6</v>
      </c>
      <c r="L14" s="13">
        <f t="shared" si="34"/>
        <v>0</v>
      </c>
      <c r="M14" s="23">
        <v>0.18</v>
      </c>
      <c r="N14" s="23" t="s">
        <v>196</v>
      </c>
      <c r="O14" s="13">
        <f t="shared" si="35"/>
        <v>0</v>
      </c>
      <c r="P14" s="13">
        <f t="shared" si="36"/>
        <v>0</v>
      </c>
      <c r="Q14" s="14">
        <v>5.0000000000000001E-3</v>
      </c>
      <c r="R14" s="15">
        <f t="shared" si="37"/>
        <v>0</v>
      </c>
      <c r="S14" s="15">
        <f t="shared" si="4"/>
        <v>0</v>
      </c>
      <c r="T14" s="15">
        <f t="shared" si="38"/>
        <v>0</v>
      </c>
      <c r="U14" s="15">
        <f t="shared" si="5"/>
        <v>0</v>
      </c>
      <c r="V14" s="15">
        <f t="shared" si="39"/>
        <v>0</v>
      </c>
      <c r="W14" s="15">
        <f t="shared" si="6"/>
        <v>0</v>
      </c>
      <c r="X14" s="15">
        <f t="shared" si="40"/>
        <v>0</v>
      </c>
      <c r="Y14" s="15">
        <f t="shared" si="7"/>
        <v>0</v>
      </c>
      <c r="Z14" s="15">
        <f t="shared" si="41"/>
        <v>0</v>
      </c>
      <c r="AA14" s="40">
        <f t="shared" si="13"/>
        <v>0</v>
      </c>
      <c r="AB14" s="41">
        <f t="shared" si="8"/>
        <v>0</v>
      </c>
      <c r="AC14" s="13">
        <f t="shared" si="9"/>
        <v>0</v>
      </c>
      <c r="AD14" s="13">
        <f t="shared" si="10"/>
        <v>0</v>
      </c>
      <c r="AE14" s="13">
        <f t="shared" si="11"/>
        <v>0</v>
      </c>
      <c r="AF14" s="13">
        <f t="shared" si="12"/>
        <v>0</v>
      </c>
    </row>
    <row r="15" spans="1:32" x14ac:dyDescent="0.45">
      <c r="A15" s="10"/>
      <c r="B15" s="10">
        <v>10</v>
      </c>
      <c r="C15" s="10" t="s">
        <v>375</v>
      </c>
      <c r="D15" s="10" t="s">
        <v>75</v>
      </c>
      <c r="E15" s="11">
        <v>0</v>
      </c>
      <c r="F15" s="10">
        <v>1.3</v>
      </c>
      <c r="G15" s="13">
        <f t="shared" si="14"/>
        <v>0</v>
      </c>
      <c r="H15" s="10">
        <v>1</v>
      </c>
      <c r="I15" s="10">
        <v>12</v>
      </c>
      <c r="J15" s="12">
        <f t="shared" si="0"/>
        <v>9</v>
      </c>
      <c r="K15" s="23">
        <v>0.6</v>
      </c>
      <c r="L15" s="13">
        <f t="shared" si="1"/>
        <v>0</v>
      </c>
      <c r="M15" s="23">
        <v>0.18</v>
      </c>
      <c r="N15" s="23" t="s">
        <v>196</v>
      </c>
      <c r="O15" s="13">
        <f t="shared" si="2"/>
        <v>0</v>
      </c>
      <c r="P15" s="13">
        <f t="shared" si="3"/>
        <v>0</v>
      </c>
      <c r="Q15" s="14">
        <v>5.0000000000000001E-3</v>
      </c>
      <c r="R15" s="15">
        <f t="shared" si="15"/>
        <v>0</v>
      </c>
      <c r="S15" s="15">
        <f t="shared" si="4"/>
        <v>0</v>
      </c>
      <c r="T15" s="15">
        <f t="shared" si="16"/>
        <v>0</v>
      </c>
      <c r="U15" s="15">
        <f t="shared" si="5"/>
        <v>0</v>
      </c>
      <c r="V15" s="15">
        <f t="shared" si="17"/>
        <v>0</v>
      </c>
      <c r="W15" s="15">
        <f t="shared" si="6"/>
        <v>0</v>
      </c>
      <c r="X15" s="15">
        <f t="shared" si="18"/>
        <v>0</v>
      </c>
      <c r="Y15" s="15">
        <f t="shared" si="7"/>
        <v>0</v>
      </c>
      <c r="Z15" s="15">
        <f t="shared" si="19"/>
        <v>0</v>
      </c>
      <c r="AA15" s="40">
        <f t="shared" si="13"/>
        <v>0</v>
      </c>
      <c r="AB15" s="41">
        <f t="shared" si="8"/>
        <v>0</v>
      </c>
      <c r="AC15" s="13">
        <f t="shared" si="9"/>
        <v>0</v>
      </c>
      <c r="AD15" s="13">
        <f t="shared" si="10"/>
        <v>0</v>
      </c>
      <c r="AE15" s="13">
        <f t="shared" si="11"/>
        <v>0</v>
      </c>
      <c r="AF15" s="13">
        <f t="shared" si="12"/>
        <v>0</v>
      </c>
    </row>
    <row r="16" spans="1:32" x14ac:dyDescent="0.45">
      <c r="A16" s="10"/>
      <c r="B16" s="10">
        <v>10</v>
      </c>
      <c r="C16" s="10" t="s">
        <v>375</v>
      </c>
      <c r="D16" s="10" t="s">
        <v>75</v>
      </c>
      <c r="E16" s="11">
        <v>0</v>
      </c>
      <c r="F16" s="10">
        <v>1.3</v>
      </c>
      <c r="G16" s="13">
        <f t="shared" si="14"/>
        <v>0</v>
      </c>
      <c r="H16" s="10">
        <v>1</v>
      </c>
      <c r="I16" s="10">
        <v>12</v>
      </c>
      <c r="J16" s="12">
        <f t="shared" si="0"/>
        <v>9</v>
      </c>
      <c r="K16" s="23">
        <v>0.6</v>
      </c>
      <c r="L16" s="13">
        <f t="shared" si="1"/>
        <v>0</v>
      </c>
      <c r="M16" s="23">
        <v>0.18</v>
      </c>
      <c r="N16" s="23" t="s">
        <v>196</v>
      </c>
      <c r="O16" s="13">
        <f t="shared" si="2"/>
        <v>0</v>
      </c>
      <c r="P16" s="13">
        <f t="shared" si="3"/>
        <v>0</v>
      </c>
      <c r="Q16" s="14">
        <v>5.0000000000000001E-3</v>
      </c>
      <c r="R16" s="15">
        <f t="shared" si="15"/>
        <v>0</v>
      </c>
      <c r="S16" s="15">
        <f t="shared" si="4"/>
        <v>0</v>
      </c>
      <c r="T16" s="15">
        <f t="shared" si="16"/>
        <v>0</v>
      </c>
      <c r="U16" s="15">
        <f t="shared" si="5"/>
        <v>0</v>
      </c>
      <c r="V16" s="15">
        <f t="shared" si="17"/>
        <v>0</v>
      </c>
      <c r="W16" s="15">
        <f t="shared" si="6"/>
        <v>0</v>
      </c>
      <c r="X16" s="15">
        <f t="shared" si="18"/>
        <v>0</v>
      </c>
      <c r="Y16" s="15">
        <f t="shared" si="7"/>
        <v>0</v>
      </c>
      <c r="Z16" s="15">
        <f t="shared" si="19"/>
        <v>0</v>
      </c>
      <c r="AA16" s="40">
        <f t="shared" si="13"/>
        <v>0</v>
      </c>
      <c r="AB16" s="41">
        <f t="shared" si="8"/>
        <v>0</v>
      </c>
      <c r="AC16" s="13">
        <f t="shared" si="9"/>
        <v>0</v>
      </c>
      <c r="AD16" s="13">
        <f t="shared" si="10"/>
        <v>0</v>
      </c>
      <c r="AE16" s="13">
        <f t="shared" si="11"/>
        <v>0</v>
      </c>
      <c r="AF16" s="13">
        <f t="shared" si="12"/>
        <v>0</v>
      </c>
    </row>
    <row r="17" spans="1:32" x14ac:dyDescent="0.45">
      <c r="A17" s="10" t="s">
        <v>781</v>
      </c>
      <c r="B17" s="10">
        <v>11</v>
      </c>
      <c r="C17" s="10" t="s">
        <v>196</v>
      </c>
      <c r="D17" s="10" t="s">
        <v>176</v>
      </c>
      <c r="E17" s="11">
        <v>13000</v>
      </c>
      <c r="F17" s="10">
        <v>0</v>
      </c>
      <c r="G17" s="13">
        <f t="shared" ref="G17:G18" si="42">L17/H17</f>
        <v>12350</v>
      </c>
      <c r="H17" s="10">
        <v>1</v>
      </c>
      <c r="I17" s="10">
        <v>8</v>
      </c>
      <c r="J17" s="12">
        <f t="shared" ref="J17:J18" si="43">IF(I17&gt;1.7,I17-F17-1.7,0)</f>
        <v>6.3</v>
      </c>
      <c r="K17" s="23">
        <v>0.95</v>
      </c>
      <c r="L17" s="13">
        <f t="shared" si="1"/>
        <v>12350</v>
      </c>
      <c r="M17" s="23">
        <v>0.18</v>
      </c>
      <c r="N17" s="23" t="s">
        <v>748</v>
      </c>
      <c r="O17" s="13">
        <f t="shared" ref="O17:O18" si="44">L17*(1-M17)</f>
        <v>10127</v>
      </c>
      <c r="P17" s="13">
        <f t="shared" ref="P17:P18" si="45">O17*J17</f>
        <v>63800.1</v>
      </c>
      <c r="Q17" s="14">
        <v>1E-3</v>
      </c>
      <c r="R17" s="15">
        <f t="shared" ref="R17:R19" si="46">Q17*L17</f>
        <v>12.35</v>
      </c>
      <c r="S17" s="15">
        <f t="shared" si="4"/>
        <v>12350</v>
      </c>
      <c r="T17" s="15">
        <f t="shared" ref="T17:T19" si="47">S17*$J17</f>
        <v>77805</v>
      </c>
      <c r="U17" s="15">
        <f t="shared" si="5"/>
        <v>0</v>
      </c>
      <c r="V17" s="15">
        <f t="shared" ref="V17:V19" si="48">U17*$J17</f>
        <v>0</v>
      </c>
      <c r="W17" s="15">
        <f t="shared" si="6"/>
        <v>0</v>
      </c>
      <c r="X17" s="15">
        <f t="shared" ref="X17:X19" si="49">W17*$J17</f>
        <v>0</v>
      </c>
      <c r="Y17" s="15">
        <f t="shared" si="7"/>
        <v>0</v>
      </c>
      <c r="Z17" s="15">
        <f t="shared" ref="Z17:Z19" si="50">Y17*$J17</f>
        <v>0</v>
      </c>
      <c r="AA17" s="40">
        <f t="shared" si="13"/>
        <v>0</v>
      </c>
      <c r="AB17" s="41">
        <f>IF(C17="Y",S17*CST_BLD_YARD+S17*CST_BLD_SOLAR_PANELS, IF(C17="L",S17*CST_BLD_DRY,S17*CST_BLD_DRY_M))</f>
        <v>15215200</v>
      </c>
      <c r="AC17" s="13">
        <f t="shared" si="9"/>
        <v>0</v>
      </c>
      <c r="AD17" s="13">
        <f t="shared" si="10"/>
        <v>0</v>
      </c>
      <c r="AE17" s="13">
        <f t="shared" si="11"/>
        <v>0</v>
      </c>
      <c r="AF17" s="13">
        <f t="shared" si="12"/>
        <v>0</v>
      </c>
    </row>
    <row r="18" spans="1:32" x14ac:dyDescent="0.45">
      <c r="A18" s="10" t="s">
        <v>68</v>
      </c>
      <c r="B18" s="10">
        <v>12</v>
      </c>
      <c r="C18" s="10" t="s">
        <v>196</v>
      </c>
      <c r="D18" s="10" t="s">
        <v>176</v>
      </c>
      <c r="E18" s="24">
        <f>CST_YARD_SQM-'WH Schedule'!E17</f>
        <v>44390</v>
      </c>
      <c r="F18" s="10">
        <v>0</v>
      </c>
      <c r="G18" s="13">
        <f t="shared" si="42"/>
        <v>42170.5</v>
      </c>
      <c r="H18" s="10">
        <v>1</v>
      </c>
      <c r="I18" s="10">
        <v>8</v>
      </c>
      <c r="J18" s="12">
        <f t="shared" si="43"/>
        <v>6.3</v>
      </c>
      <c r="K18" s="23">
        <v>0.95</v>
      </c>
      <c r="L18" s="13">
        <f t="shared" si="1"/>
        <v>42170.5</v>
      </c>
      <c r="M18" s="23">
        <v>0.18</v>
      </c>
      <c r="N18" s="23" t="s">
        <v>748</v>
      </c>
      <c r="O18" s="13">
        <f t="shared" si="44"/>
        <v>34579.810000000005</v>
      </c>
      <c r="P18" s="13">
        <f t="shared" si="45"/>
        <v>217852.80300000001</v>
      </c>
      <c r="Q18" s="14">
        <v>1E-3</v>
      </c>
      <c r="R18" s="15">
        <f t="shared" si="46"/>
        <v>42.170500000000004</v>
      </c>
      <c r="S18" s="15">
        <f t="shared" si="4"/>
        <v>42170.5</v>
      </c>
      <c r="T18" s="15">
        <f t="shared" si="47"/>
        <v>265674.14999999997</v>
      </c>
      <c r="U18" s="15">
        <f t="shared" si="5"/>
        <v>0</v>
      </c>
      <c r="V18" s="15">
        <f t="shared" si="48"/>
        <v>0</v>
      </c>
      <c r="W18" s="15">
        <f t="shared" si="6"/>
        <v>0</v>
      </c>
      <c r="X18" s="15">
        <f t="shared" si="49"/>
        <v>0</v>
      </c>
      <c r="Y18" s="15">
        <f t="shared" si="7"/>
        <v>0</v>
      </c>
      <c r="Z18" s="15">
        <f t="shared" si="50"/>
        <v>0</v>
      </c>
      <c r="AA18" s="40">
        <f t="shared" si="13"/>
        <v>0</v>
      </c>
      <c r="AB18" s="41">
        <f t="shared" si="8"/>
        <v>23088348.75</v>
      </c>
      <c r="AC18" s="13">
        <f t="shared" si="9"/>
        <v>0</v>
      </c>
      <c r="AD18" s="13">
        <f t="shared" si="10"/>
        <v>0</v>
      </c>
      <c r="AE18" s="13">
        <f t="shared" si="11"/>
        <v>0</v>
      </c>
      <c r="AF18" s="13">
        <f t="shared" si="12"/>
        <v>0</v>
      </c>
    </row>
    <row r="19" spans="1:32" ht="14.65" thickBot="1" x14ac:dyDescent="0.5">
      <c r="A19" s="10"/>
      <c r="B19" s="10">
        <v>13</v>
      </c>
      <c r="C19" s="10" t="s">
        <v>196</v>
      </c>
      <c r="D19" s="10" t="s">
        <v>176</v>
      </c>
      <c r="E19" s="36">
        <v>0</v>
      </c>
      <c r="F19" s="10">
        <v>0</v>
      </c>
      <c r="G19" s="13">
        <f t="shared" si="14"/>
        <v>0</v>
      </c>
      <c r="H19" s="10">
        <v>1</v>
      </c>
      <c r="I19" s="10">
        <v>8</v>
      </c>
      <c r="J19" s="12">
        <f t="shared" si="0"/>
        <v>6.3</v>
      </c>
      <c r="K19" s="23">
        <v>0.95</v>
      </c>
      <c r="L19" s="41">
        <f t="shared" si="1"/>
        <v>0</v>
      </c>
      <c r="M19" s="23">
        <v>0.18</v>
      </c>
      <c r="N19" s="23" t="s">
        <v>748</v>
      </c>
      <c r="O19" s="13">
        <f t="shared" si="2"/>
        <v>0</v>
      </c>
      <c r="P19" s="38">
        <f t="shared" si="3"/>
        <v>0</v>
      </c>
      <c r="Q19" s="14">
        <v>1E-3</v>
      </c>
      <c r="R19" s="15">
        <f t="shared" si="46"/>
        <v>0</v>
      </c>
      <c r="S19" s="15">
        <f t="shared" si="4"/>
        <v>0</v>
      </c>
      <c r="T19" s="15">
        <f t="shared" si="47"/>
        <v>0</v>
      </c>
      <c r="U19" s="15">
        <f t="shared" si="5"/>
        <v>0</v>
      </c>
      <c r="V19" s="40">
        <f t="shared" si="48"/>
        <v>0</v>
      </c>
      <c r="W19" s="15">
        <f t="shared" si="6"/>
        <v>0</v>
      </c>
      <c r="X19" s="40">
        <f t="shared" si="49"/>
        <v>0</v>
      </c>
      <c r="Y19" s="15">
        <f t="shared" si="7"/>
        <v>0</v>
      </c>
      <c r="Z19" s="40">
        <f t="shared" si="50"/>
        <v>0</v>
      </c>
      <c r="AA19" s="40">
        <f t="shared" si="13"/>
        <v>0</v>
      </c>
      <c r="AB19" s="41">
        <f t="shared" si="8"/>
        <v>0</v>
      </c>
      <c r="AC19" s="13">
        <f t="shared" si="9"/>
        <v>0</v>
      </c>
      <c r="AD19" s="13">
        <f t="shared" si="10"/>
        <v>0</v>
      </c>
      <c r="AE19" s="13">
        <f t="shared" si="11"/>
        <v>0</v>
      </c>
      <c r="AF19" s="13">
        <f t="shared" si="12"/>
        <v>0</v>
      </c>
    </row>
    <row r="20" spans="1:32" ht="14.65" thickBot="1" x14ac:dyDescent="0.5">
      <c r="D20" s="34" t="s">
        <v>78</v>
      </c>
      <c r="E20" s="35">
        <f>SUM(E3:E19)</f>
        <v>428140.66666666669</v>
      </c>
      <c r="F20" s="756"/>
      <c r="G20" s="39">
        <f>SUM(G3:G19)</f>
        <v>276970.90000000002</v>
      </c>
      <c r="H20" s="33"/>
      <c r="I20" s="33"/>
      <c r="J20" s="39">
        <f>SUM(J3:J19)</f>
        <v>194.90000000000003</v>
      </c>
      <c r="K20" s="37"/>
      <c r="L20" s="39">
        <f>SUM(L3:L19)</f>
        <v>276970.90000000002</v>
      </c>
      <c r="M20" s="33"/>
      <c r="N20" s="33"/>
      <c r="O20" s="39">
        <f>SUM(O3:O19)</f>
        <v>227116.13799999998</v>
      </c>
      <c r="P20" s="39">
        <f>SUM(P3:P19)</f>
        <v>2785158.4950000001</v>
      </c>
      <c r="R20" s="33" t="s">
        <v>99</v>
      </c>
      <c r="S20" s="39">
        <f t="shared" ref="S20:AE20" si="51">SUM(S3:S19)</f>
        <v>172232.72400000002</v>
      </c>
      <c r="T20" s="39">
        <f t="shared" si="51"/>
        <v>1991450.2860000001</v>
      </c>
      <c r="U20" s="39">
        <f t="shared" si="51"/>
        <v>71106.112000000008</v>
      </c>
      <c r="V20" s="39">
        <f t="shared" si="51"/>
        <v>934235.56800000009</v>
      </c>
      <c r="W20" s="39">
        <f t="shared" si="51"/>
        <v>23122.044000000002</v>
      </c>
      <c r="X20" s="39">
        <f t="shared" si="51"/>
        <v>323708.61600000004</v>
      </c>
      <c r="Y20" s="39">
        <f t="shared" si="51"/>
        <v>10510.02</v>
      </c>
      <c r="Z20" s="39">
        <f t="shared" si="51"/>
        <v>147140.28000000003</v>
      </c>
      <c r="AA20" s="39">
        <f t="shared" si="51"/>
        <v>33987.300480000005</v>
      </c>
      <c r="AB20" s="42">
        <f t="shared" si="51"/>
        <v>279981458.65000004</v>
      </c>
      <c r="AC20" s="42">
        <f t="shared" si="51"/>
        <v>208512684.49375001</v>
      </c>
      <c r="AD20" s="42">
        <f t="shared" si="51"/>
        <v>89670176.887499988</v>
      </c>
      <c r="AE20" s="42">
        <f t="shared" si="51"/>
        <v>40759171.3125</v>
      </c>
      <c r="AF20" s="42">
        <f t="shared" ref="AF20" si="52">SUM(AF3:AF19)</f>
        <v>62026823.376000009</v>
      </c>
    </row>
    <row r="21" spans="1:32" ht="14.65" thickBot="1" x14ac:dyDescent="0.5">
      <c r="E21" s="827">
        <f>E20/CST_SITE_SQM</f>
        <v>0.82752324550552536</v>
      </c>
      <c r="G21" s="33"/>
      <c r="H21" s="33"/>
      <c r="I21" s="33"/>
      <c r="J21" s="33"/>
      <c r="K21" s="33"/>
      <c r="L21" s="33"/>
      <c r="M21" s="33"/>
      <c r="N21" s="33"/>
      <c r="O21" s="33"/>
      <c r="P21" s="33"/>
      <c r="R21" s="33" t="s">
        <v>206</v>
      </c>
      <c r="S21" s="39">
        <f>SUMIF($C3:$C19, "=L",S3:S19)</f>
        <v>117712.22400000002</v>
      </c>
      <c r="U21" s="39">
        <f>SUMIF($C3:$C19, "=L",U3:U19)</f>
        <v>58856.112000000008</v>
      </c>
      <c r="W21" s="39">
        <f>SUMIF($C3:$C19, "=L",W3:W19)</f>
        <v>23122.044000000002</v>
      </c>
      <c r="Y21" s="39">
        <f>SUMIF($C3:$C19, "=L",Y3:Y19)</f>
        <v>10510.02</v>
      </c>
      <c r="AA21" s="100" t="s">
        <v>156</v>
      </c>
      <c r="AB21" s="43">
        <f>SUM(AB20:AF20)</f>
        <v>680950314.71975005</v>
      </c>
      <c r="AC21" s="33" t="s">
        <v>177</v>
      </c>
      <c r="AD21" s="43">
        <f>AB21/L20</f>
        <v>2458.5626674851042</v>
      </c>
    </row>
    <row r="22" spans="1:32" ht="14.65" thickBot="1" x14ac:dyDescent="0.5">
      <c r="R22" s="33" t="s">
        <v>207</v>
      </c>
      <c r="S22" s="39">
        <f>SUMIF($C3:$C19, "=M",S3:S19)</f>
        <v>0</v>
      </c>
      <c r="U22" s="39">
        <f>SUMIF($C3:$C19, "=M",U3:U19)</f>
        <v>0</v>
      </c>
      <c r="W22" s="39">
        <f>SUMIF($C3:$C19, "=M",W3:W19)</f>
        <v>0</v>
      </c>
      <c r="Y22" s="39">
        <f>SUMIF($C3:$C19, "=M",Y3:Y19)</f>
        <v>0</v>
      </c>
    </row>
    <row r="23" spans="1:32" ht="14.65" thickBot="1" x14ac:dyDescent="0.5">
      <c r="R23" s="33" t="s">
        <v>208</v>
      </c>
      <c r="S23" s="39">
        <f>SUMIF($C3:$C19, "=Y",S3:S19)</f>
        <v>54520.5</v>
      </c>
      <c r="U23" s="39">
        <f>SUMIF($C3:$C19, "=Y",U3:U19)</f>
        <v>0</v>
      </c>
      <c r="W23" s="39">
        <f>SUMIF($C3:$C19, "=Y",W3:W19)</f>
        <v>0</v>
      </c>
      <c r="Y23" s="39">
        <f>SUMIF($C3:$C19, "=Y",Y3:Y19)</f>
        <v>0</v>
      </c>
    </row>
    <row r="24" spans="1:32" ht="14.65" thickBot="1" x14ac:dyDescent="0.5">
      <c r="R24" s="33" t="s">
        <v>374</v>
      </c>
      <c r="S24" s="39">
        <f>SUMIF($C3:$C19, "=D",S3:S19)</f>
        <v>0</v>
      </c>
      <c r="U24" s="39">
        <f>SUMIF($C3:$C19, "=D",U3:U19)</f>
        <v>12250</v>
      </c>
      <c r="W24" s="39">
        <f>SUMIF($C3:$C19, "=D",W3:W19)</f>
        <v>0</v>
      </c>
      <c r="Y24" s="39">
        <f>SUMIF($C3:$C19, "=D",Y3:Y19)</f>
        <v>0</v>
      </c>
    </row>
    <row r="28" spans="1:32" ht="23.25" x14ac:dyDescent="0.7">
      <c r="A28" s="9" t="s">
        <v>157</v>
      </c>
    </row>
    <row r="29" spans="1:32" x14ac:dyDescent="0.45">
      <c r="A29" t="s">
        <v>142</v>
      </c>
    </row>
    <row r="30" spans="1:32" x14ac:dyDescent="0.45">
      <c r="A30" t="s">
        <v>143</v>
      </c>
    </row>
  </sheetData>
  <conditionalFormatting sqref="E20">
    <cfRule type="expression" dxfId="14" priority="22">
      <formula>$F$44&gt;($B$8+$B$16)</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topLeftCell="G1" workbookViewId="0">
      <selection activeCell="N14" sqref="N14:P14"/>
    </sheetView>
  </sheetViews>
  <sheetFormatPr defaultColWidth="9" defaultRowHeight="13.5" x14ac:dyDescent="0.35"/>
  <cols>
    <col min="1" max="1" width="24.86328125" style="828" customWidth="1"/>
    <col min="2" max="9" width="12" style="828" customWidth="1"/>
    <col min="10" max="10" width="9" style="828"/>
    <col min="11" max="11" width="28.796875" style="828" customWidth="1"/>
    <col min="12" max="16" width="18.33203125" style="828" customWidth="1"/>
    <col min="17" max="16384" width="9" style="828"/>
  </cols>
  <sheetData>
    <row r="1" spans="1:16" ht="13.9" thickBot="1" x14ac:dyDescent="0.4"/>
    <row r="2" spans="1:16" ht="26.25" thickTop="1" thickBot="1" x14ac:dyDescent="0.4">
      <c r="A2" s="847"/>
      <c r="B2" s="832" t="s">
        <v>776</v>
      </c>
      <c r="C2" s="832" t="s">
        <v>777</v>
      </c>
      <c r="D2" s="832" t="s">
        <v>751</v>
      </c>
      <c r="E2" s="832" t="s">
        <v>752</v>
      </c>
      <c r="F2" s="832" t="s">
        <v>753</v>
      </c>
      <c r="G2" s="832" t="s">
        <v>754</v>
      </c>
      <c r="H2" s="832" t="s">
        <v>755</v>
      </c>
      <c r="I2" s="832" t="s">
        <v>782</v>
      </c>
      <c r="K2" s="847"/>
      <c r="L2" s="832" t="s">
        <v>54</v>
      </c>
      <c r="M2" s="832" t="s">
        <v>170</v>
      </c>
      <c r="N2" s="832" t="s">
        <v>820</v>
      </c>
      <c r="O2" s="832" t="s">
        <v>821</v>
      </c>
      <c r="P2" s="832" t="s">
        <v>782</v>
      </c>
    </row>
    <row r="3" spans="1:16" ht="15" customHeight="1" thickTop="1" thickBot="1" x14ac:dyDescent="0.4">
      <c r="A3" s="868" t="s">
        <v>805</v>
      </c>
      <c r="B3" s="868"/>
      <c r="C3" s="868"/>
      <c r="D3" s="868"/>
      <c r="E3" s="868"/>
      <c r="F3" s="868"/>
      <c r="G3" s="868"/>
      <c r="H3" s="868"/>
      <c r="I3" s="869"/>
      <c r="K3" s="868" t="s">
        <v>819</v>
      </c>
      <c r="L3" s="868"/>
      <c r="M3" s="868"/>
      <c r="N3" s="868"/>
      <c r="O3" s="868"/>
      <c r="P3" s="869"/>
    </row>
    <row r="4" spans="1:16" ht="14.25" thickTop="1" thickBot="1" x14ac:dyDescent="0.4">
      <c r="A4" s="833" t="str">
        <f>'WH Schedule'!A3</f>
        <v>Large 3PL Warehouses</v>
      </c>
      <c r="B4" s="841">
        <f>'WH Schedule'!E3</f>
        <v>75000</v>
      </c>
      <c r="C4" s="841">
        <f>'WH Schedule'!L3</f>
        <v>45000</v>
      </c>
      <c r="D4" s="841">
        <f>'WH Schedule'!AB3</f>
        <v>51738750.000000007</v>
      </c>
      <c r="E4" s="841">
        <f>'WH Schedule'!AC3</f>
        <v>37366875.000000007</v>
      </c>
      <c r="F4" s="841">
        <f>'WH Schedule'!AD3</f>
        <v>19196718.75</v>
      </c>
      <c r="G4" s="841">
        <f>'WH Schedule'!AE3</f>
        <v>8725781.25</v>
      </c>
      <c r="H4" s="841">
        <f>'WH Schedule'!AF3</f>
        <v>12417300.000000002</v>
      </c>
      <c r="I4" s="848">
        <f>SUM(D4:H4)</f>
        <v>129445425.00000001</v>
      </c>
      <c r="K4" s="833" t="str">
        <f>'Other Schedule'!A3</f>
        <v>Entrance and guardhouse</v>
      </c>
      <c r="L4" s="841">
        <f>'Other Schedule'!D3</f>
        <v>225</v>
      </c>
      <c r="M4" s="841">
        <f>'Other Schedule'!E3</f>
        <v>1</v>
      </c>
      <c r="N4" s="841">
        <f>'Other Schedule'!G3</f>
        <v>135</v>
      </c>
      <c r="O4" s="841">
        <f>'Other Schedule'!J3</f>
        <v>6000</v>
      </c>
      <c r="P4" s="848">
        <f>'Other Schedule'!K3</f>
        <v>810000</v>
      </c>
    </row>
    <row r="5" spans="1:16" ht="14.25" thickTop="1" thickBot="1" x14ac:dyDescent="0.4">
      <c r="A5" s="834" t="str">
        <f>'WH Schedule'!A4</f>
        <v>Large 3PL Warehouses</v>
      </c>
      <c r="B5" s="841">
        <f>'WH Schedule'!E4</f>
        <v>75000</v>
      </c>
      <c r="C5" s="841">
        <f>'WH Schedule'!L4</f>
        <v>45000</v>
      </c>
      <c r="D5" s="841">
        <f>'WH Schedule'!AB4</f>
        <v>51738750.000000007</v>
      </c>
      <c r="E5" s="841">
        <f>'WH Schedule'!AC4</f>
        <v>37366875.000000007</v>
      </c>
      <c r="F5" s="841">
        <f>'WH Schedule'!AD4</f>
        <v>19196718.75</v>
      </c>
      <c r="G5" s="841">
        <f>'WH Schedule'!AE4</f>
        <v>8725781.25</v>
      </c>
      <c r="H5" s="841">
        <f>'WH Schedule'!AF4</f>
        <v>12417300.000000002</v>
      </c>
      <c r="I5" s="848">
        <f t="shared" ref="I5:I13" si="0">SUM(D5:H5)</f>
        <v>129445425.00000001</v>
      </c>
      <c r="K5" s="834" t="str">
        <f>'Other Schedule'!A4</f>
        <v>Property Infrastructure</v>
      </c>
      <c r="L5" s="841">
        <f>'Other Schedule'!D4</f>
        <v>517376</v>
      </c>
      <c r="M5" s="841">
        <f>'Other Schedule'!E4</f>
        <v>0</v>
      </c>
      <c r="N5" s="841">
        <f>'Other Schedule'!G4</f>
        <v>0</v>
      </c>
      <c r="O5" s="841">
        <f>'Other Schedule'!J4</f>
        <v>164.25</v>
      </c>
      <c r="P5" s="848">
        <f>'Other Schedule'!K4</f>
        <v>84979008</v>
      </c>
    </row>
    <row r="6" spans="1:16" ht="14.25" thickTop="1" thickBot="1" x14ac:dyDescent="0.4">
      <c r="A6" s="834" t="str">
        <f>'WH Schedule'!A5</f>
        <v>Modular Warehouses</v>
      </c>
      <c r="B6" s="841">
        <f>'WH Schedule'!E5</f>
        <v>45000</v>
      </c>
      <c r="C6" s="841">
        <f>'WH Schedule'!L5</f>
        <v>27000</v>
      </c>
      <c r="D6" s="841">
        <f>'WH Schedule'!AB5</f>
        <v>31043250.000000004</v>
      </c>
      <c r="E6" s="841">
        <f>'WH Schedule'!AC5</f>
        <v>22420125.000000004</v>
      </c>
      <c r="F6" s="841">
        <f>'WH Schedule'!AD5</f>
        <v>11518031.25</v>
      </c>
      <c r="G6" s="841">
        <f>'WH Schedule'!AE5</f>
        <v>5235468.75</v>
      </c>
      <c r="H6" s="841">
        <f>'WH Schedule'!AF5</f>
        <v>7450380.0000000009</v>
      </c>
      <c r="I6" s="848">
        <f t="shared" si="0"/>
        <v>77667255</v>
      </c>
      <c r="K6" s="834" t="str">
        <f>'Other Schedule'!A5</f>
        <v>Mosque</v>
      </c>
      <c r="L6" s="841">
        <f>'Other Schedule'!D5</f>
        <v>650</v>
      </c>
      <c r="M6" s="841">
        <f>'Other Schedule'!E5</f>
        <v>1</v>
      </c>
      <c r="N6" s="841">
        <f>'Other Schedule'!G5</f>
        <v>390</v>
      </c>
      <c r="O6" s="841">
        <f>'Other Schedule'!J5</f>
        <v>5475</v>
      </c>
      <c r="P6" s="848">
        <f>'Other Schedule'!K5</f>
        <v>2135250</v>
      </c>
    </row>
    <row r="7" spans="1:16" ht="14.25" thickTop="1" thickBot="1" x14ac:dyDescent="0.4">
      <c r="A7" s="834" t="str">
        <f>'WH Schedule'!A6</f>
        <v>Modular Warehouses</v>
      </c>
      <c r="B7" s="841">
        <f>'WH Schedule'!E6</f>
        <v>45000</v>
      </c>
      <c r="C7" s="841">
        <f>'WH Schedule'!L6</f>
        <v>27000</v>
      </c>
      <c r="D7" s="841">
        <f>'WH Schedule'!AB6</f>
        <v>31043250.000000004</v>
      </c>
      <c r="E7" s="841">
        <f>'WH Schedule'!AC6</f>
        <v>22420125.000000004</v>
      </c>
      <c r="F7" s="841">
        <f>'WH Schedule'!AD6</f>
        <v>11518031.25</v>
      </c>
      <c r="G7" s="841">
        <f>'WH Schedule'!AE6</f>
        <v>5235468.75</v>
      </c>
      <c r="H7" s="841">
        <f>'WH Schedule'!AF6</f>
        <v>7450380.0000000009</v>
      </c>
      <c r="I7" s="848">
        <f t="shared" si="0"/>
        <v>77667255</v>
      </c>
      <c r="K7" s="834" t="str">
        <f>'Other Schedule'!A6</f>
        <v>Administrative / Commercial</v>
      </c>
      <c r="L7" s="841">
        <f>'Other Schedule'!D6</f>
        <v>2800</v>
      </c>
      <c r="M7" s="841">
        <f>'Other Schedule'!E6</f>
        <v>3</v>
      </c>
      <c r="N7" s="841">
        <f>'Other Schedule'!G6</f>
        <v>5040</v>
      </c>
      <c r="O7" s="841">
        <f>'Other Schedule'!J6</f>
        <v>4500</v>
      </c>
      <c r="P7" s="848">
        <f>'Other Schedule'!K6</f>
        <v>22680000</v>
      </c>
    </row>
    <row r="8" spans="1:16" ht="14.25" thickTop="1" thickBot="1" x14ac:dyDescent="0.4">
      <c r="A8" s="834" t="str">
        <f>'WH Schedule'!A7</f>
        <v>Modular Warehouses</v>
      </c>
      <c r="B8" s="841">
        <f>'WH Schedule'!E7</f>
        <v>45000</v>
      </c>
      <c r="C8" s="841">
        <f>'WH Schedule'!L7</f>
        <v>27000</v>
      </c>
      <c r="D8" s="841">
        <f>'WH Schedule'!AB7</f>
        <v>31043250.000000004</v>
      </c>
      <c r="E8" s="841">
        <f>'WH Schedule'!AC7</f>
        <v>22420125.000000004</v>
      </c>
      <c r="F8" s="841">
        <f>'WH Schedule'!AD7</f>
        <v>11518031.25</v>
      </c>
      <c r="G8" s="841">
        <f>'WH Schedule'!AE7</f>
        <v>5235468.75</v>
      </c>
      <c r="H8" s="841">
        <f>'WH Schedule'!AF7</f>
        <v>7450380.0000000009</v>
      </c>
      <c r="I8" s="848">
        <f t="shared" si="0"/>
        <v>77667255</v>
      </c>
      <c r="K8" s="834" t="str">
        <f>'Other Schedule'!A7</f>
        <v>Petrol Station</v>
      </c>
      <c r="L8" s="841">
        <f>'Other Schedule'!D7</f>
        <v>3800</v>
      </c>
      <c r="M8" s="841">
        <f>'Other Schedule'!E7</f>
        <v>1</v>
      </c>
      <c r="N8" s="841">
        <f>'Other Schedule'!G7</f>
        <v>2280</v>
      </c>
      <c r="O8" s="841">
        <f>'Other Schedule'!J7</f>
        <v>2920</v>
      </c>
      <c r="P8" s="848">
        <f>'Other Schedule'!K7</f>
        <v>6657600</v>
      </c>
    </row>
    <row r="9" spans="1:16" ht="14.25" thickTop="1" thickBot="1" x14ac:dyDescent="0.4">
      <c r="A9" s="834" t="str">
        <f>'WH Schedule'!A8</f>
        <v>Small Modular Warehouses</v>
      </c>
      <c r="B9" s="841">
        <f>'WH Schedule'!E8</f>
        <v>32667</v>
      </c>
      <c r="C9" s="841">
        <f>'WH Schedule'!L8</f>
        <v>19600.2</v>
      </c>
      <c r="D9" s="841">
        <f>'WH Schedule'!AB8</f>
        <v>22535329.950000003</v>
      </c>
      <c r="E9" s="841">
        <f>'WH Schedule'!AC8</f>
        <v>16275516.075000001</v>
      </c>
      <c r="F9" s="841">
        <f>'WH Schedule'!AD8</f>
        <v>8361322.8187499996</v>
      </c>
      <c r="G9" s="841">
        <f>'WH Schedule'!AE8</f>
        <v>3800601.2812500005</v>
      </c>
      <c r="H9" s="841">
        <f>'WH Schedule'!AF8</f>
        <v>5408479.1880000001</v>
      </c>
      <c r="I9" s="848">
        <f t="shared" si="0"/>
        <v>56381249.313000008</v>
      </c>
      <c r="K9" s="834" t="str">
        <f>'Other Schedule'!A8</f>
        <v>Vehicle Maintenance Workshop</v>
      </c>
      <c r="L9" s="841">
        <f>'Other Schedule'!D8</f>
        <v>15590</v>
      </c>
      <c r="M9" s="841">
        <f>'Other Schedule'!E8</f>
        <v>1</v>
      </c>
      <c r="N9" s="841">
        <f>'Other Schedule'!G8</f>
        <v>9354</v>
      </c>
      <c r="O9" s="841">
        <f>'Other Schedule'!J8</f>
        <v>2920</v>
      </c>
      <c r="P9" s="848">
        <f>'Other Schedule'!K8</f>
        <v>27313680</v>
      </c>
    </row>
    <row r="10" spans="1:16" ht="14.25" thickTop="1" thickBot="1" x14ac:dyDescent="0.4">
      <c r="A10" s="839" t="str">
        <f>'WH Schedule'!A9</f>
        <v>Small Modular Warehouses</v>
      </c>
      <c r="B10" s="841">
        <f>'WH Schedule'!E9</f>
        <v>32667</v>
      </c>
      <c r="C10" s="841">
        <f>'WH Schedule'!L9</f>
        <v>19600.2</v>
      </c>
      <c r="D10" s="841">
        <f>'WH Schedule'!AB9</f>
        <v>22535329.950000003</v>
      </c>
      <c r="E10" s="841">
        <f>'WH Schedule'!AC9</f>
        <v>16275516.075000001</v>
      </c>
      <c r="F10" s="841">
        <f>'WH Schedule'!AD9</f>
        <v>8361322.8187499996</v>
      </c>
      <c r="G10" s="841">
        <f>'WH Schedule'!AE9</f>
        <v>3800601.2812500005</v>
      </c>
      <c r="H10" s="841">
        <f>'WH Schedule'!AF9</f>
        <v>5408479.1880000001</v>
      </c>
      <c r="I10" s="848">
        <f t="shared" si="0"/>
        <v>56381249.313000008</v>
      </c>
      <c r="K10" s="834" t="str">
        <f>'Other Schedule'!A9</f>
        <v>Labour accommodation</v>
      </c>
      <c r="L10" s="841">
        <f>'Other Schedule'!D9</f>
        <v>18580</v>
      </c>
      <c r="M10" s="841">
        <f>'Other Schedule'!E9</f>
        <v>3</v>
      </c>
      <c r="N10" s="841">
        <f>'Other Schedule'!G9</f>
        <v>22440</v>
      </c>
      <c r="O10" s="841">
        <f>'Other Schedule'!J9</f>
        <v>3375</v>
      </c>
      <c r="P10" s="848">
        <f>'Other Schedule'!K9</f>
        <v>75735000</v>
      </c>
    </row>
    <row r="11" spans="1:16" ht="14.25" thickTop="1" thickBot="1" x14ac:dyDescent="0.4">
      <c r="A11" s="839" t="str">
        <f>'WH Schedule'!A13</f>
        <v>Specialised warehouses</v>
      </c>
      <c r="B11" s="841">
        <f>'WH Schedule'!E13</f>
        <v>20416.666666666668</v>
      </c>
      <c r="C11" s="841">
        <f>'WH Schedule'!L13</f>
        <v>12250</v>
      </c>
      <c r="D11" s="841">
        <f>'WH Schedule'!AB13</f>
        <v>0</v>
      </c>
      <c r="E11" s="841">
        <f>'WH Schedule'!AC13</f>
        <v>33967527.34375</v>
      </c>
      <c r="F11" s="841">
        <f>'WH Schedule'!AD13</f>
        <v>0</v>
      </c>
      <c r="G11" s="841">
        <f>'WH Schedule'!AE13</f>
        <v>0</v>
      </c>
      <c r="H11" s="841">
        <f>'WH Schedule'!AF13</f>
        <v>4024125</v>
      </c>
      <c r="I11" s="848">
        <f t="shared" si="0"/>
        <v>37991652.34375</v>
      </c>
      <c r="K11" s="834" t="str">
        <f>'Other Schedule'!A10</f>
        <v>Light and heavy vehicle parking</v>
      </c>
      <c r="L11" s="841">
        <f>'Other Schedule'!D10</f>
        <v>9185</v>
      </c>
      <c r="M11" s="841">
        <f>'Other Schedule'!E10</f>
        <v>1</v>
      </c>
      <c r="N11" s="841">
        <f>'Other Schedule'!G10</f>
        <v>5511</v>
      </c>
      <c r="O11" s="841">
        <f>'Other Schedule'!J10</f>
        <v>511</v>
      </c>
      <c r="P11" s="848">
        <f>'Other Schedule'!K10</f>
        <v>2816121</v>
      </c>
    </row>
    <row r="12" spans="1:16" ht="14.25" thickTop="1" thickBot="1" x14ac:dyDescent="0.4">
      <c r="A12" s="839" t="str">
        <f>'WH Schedule'!A17</f>
        <v>Covered Yard</v>
      </c>
      <c r="B12" s="841">
        <f>'WH Schedule'!E17</f>
        <v>13000</v>
      </c>
      <c r="C12" s="841">
        <f>'WH Schedule'!L17</f>
        <v>12350</v>
      </c>
      <c r="D12" s="841">
        <f>'WH Schedule'!AB17</f>
        <v>15215200</v>
      </c>
      <c r="E12" s="841">
        <f>'WH Schedule'!AC17</f>
        <v>0</v>
      </c>
      <c r="F12" s="841">
        <f>'WH Schedule'!AD17</f>
        <v>0</v>
      </c>
      <c r="G12" s="841">
        <f>'WH Schedule'!AE17</f>
        <v>0</v>
      </c>
      <c r="H12" s="841">
        <f>'WH Schedule'!AF17</f>
        <v>0</v>
      </c>
      <c r="I12" s="848">
        <f t="shared" si="0"/>
        <v>15215200</v>
      </c>
      <c r="K12" s="850" t="s">
        <v>803</v>
      </c>
      <c r="L12" s="849">
        <f>SUM(L4:L11)-L5</f>
        <v>50830</v>
      </c>
      <c r="M12" s="849">
        <f>SUM(M4:M11)</f>
        <v>11</v>
      </c>
      <c r="N12" s="849">
        <f>SUM(N4:N11)</f>
        <v>45150</v>
      </c>
      <c r="O12" s="849">
        <f>AVERAGE(O4:O11)</f>
        <v>3233.15625</v>
      </c>
      <c r="P12" s="849">
        <f>SUM(P4:P11)</f>
        <v>223126659</v>
      </c>
    </row>
    <row r="13" spans="1:16" ht="14.25" thickTop="1" thickBot="1" x14ac:dyDescent="0.4">
      <c r="A13" s="839" t="str">
        <f>'WH Schedule'!A18</f>
        <v>Open Yard</v>
      </c>
      <c r="B13" s="841">
        <f>'WH Schedule'!E18</f>
        <v>44390</v>
      </c>
      <c r="C13" s="841">
        <f>'WH Schedule'!L18</f>
        <v>42170.5</v>
      </c>
      <c r="D13" s="841">
        <f>'WH Schedule'!AB18</f>
        <v>23088348.75</v>
      </c>
      <c r="E13" s="841">
        <f>'WH Schedule'!AC18</f>
        <v>0</v>
      </c>
      <c r="F13" s="841">
        <f>'WH Schedule'!AD18</f>
        <v>0</v>
      </c>
      <c r="G13" s="841">
        <f>'WH Schedule'!AE18</f>
        <v>0</v>
      </c>
      <c r="H13" s="841">
        <f>'WH Schedule'!AF18</f>
        <v>0</v>
      </c>
      <c r="I13" s="848">
        <f t="shared" si="0"/>
        <v>23088348.75</v>
      </c>
    </row>
    <row r="14" spans="1:16" ht="15" customHeight="1" thickTop="1" thickBot="1" x14ac:dyDescent="0.4">
      <c r="A14" s="850" t="s">
        <v>803</v>
      </c>
      <c r="B14" s="849">
        <f>SUM(B4:B13)</f>
        <v>428140.66666666669</v>
      </c>
      <c r="C14" s="849">
        <f>SUM(C4:C13)</f>
        <v>276970.90000000002</v>
      </c>
      <c r="D14" s="849">
        <f>SUM(D4:D13)</f>
        <v>279981458.65000004</v>
      </c>
      <c r="E14" s="849">
        <f t="shared" ref="E14:I14" si="1">SUM(E4:E13)</f>
        <v>208512684.49375001</v>
      </c>
      <c r="F14" s="849">
        <f t="shared" si="1"/>
        <v>89670176.887499988</v>
      </c>
      <c r="G14" s="849">
        <f t="shared" si="1"/>
        <v>40759171.3125</v>
      </c>
      <c r="H14" s="849">
        <f t="shared" si="1"/>
        <v>62026823.376000009</v>
      </c>
      <c r="I14" s="849">
        <f t="shared" si="1"/>
        <v>680950314.71974993</v>
      </c>
      <c r="N14" s="870" t="s">
        <v>822</v>
      </c>
      <c r="O14" s="871"/>
      <c r="P14" s="849">
        <f>P12+I14</f>
        <v>904076973.71974993</v>
      </c>
    </row>
    <row r="15" spans="1:16" ht="13.9" thickTop="1" x14ac:dyDescent="0.35"/>
  </sheetData>
  <mergeCells count="3">
    <mergeCell ref="A3:I3"/>
    <mergeCell ref="K3:P3"/>
    <mergeCell ref="N14:O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showGridLines="0" workbookViewId="0">
      <selection activeCell="G9" sqref="A2:G9"/>
    </sheetView>
  </sheetViews>
  <sheetFormatPr defaultColWidth="9" defaultRowHeight="13.5" x14ac:dyDescent="0.35"/>
  <cols>
    <col min="1" max="1" width="24.86328125" style="828" customWidth="1"/>
    <col min="2" max="2" width="9" style="828"/>
    <col min="3" max="3" width="9.86328125" style="828" bestFit="1" customWidth="1"/>
    <col min="4" max="4" width="9" style="828"/>
    <col min="5" max="5" width="9.86328125" style="828" bestFit="1" customWidth="1"/>
    <col min="6" max="6" width="10.86328125" style="828" bestFit="1" customWidth="1"/>
    <col min="7" max="7" width="9.86328125" style="828" bestFit="1" customWidth="1"/>
    <col min="8" max="16384" width="9" style="828"/>
  </cols>
  <sheetData>
    <row r="2" spans="1:7" ht="14.65" customHeight="1" thickBot="1" x14ac:dyDescent="0.4">
      <c r="A2" s="829"/>
      <c r="B2" s="830"/>
      <c r="C2" s="872" t="s">
        <v>813</v>
      </c>
      <c r="D2" s="873"/>
      <c r="E2" s="873"/>
      <c r="F2" s="873"/>
      <c r="G2" s="874"/>
    </row>
    <row r="3" spans="1:7" ht="26.25" thickTop="1" thickBot="1" x14ac:dyDescent="0.4">
      <c r="A3" s="831" t="s">
        <v>796</v>
      </c>
      <c r="B3" s="832" t="s">
        <v>797</v>
      </c>
      <c r="C3" s="832" t="s">
        <v>773</v>
      </c>
      <c r="D3" s="832" t="s">
        <v>69</v>
      </c>
      <c r="E3" s="832" t="s">
        <v>774</v>
      </c>
      <c r="F3" s="832" t="s">
        <v>775</v>
      </c>
      <c r="G3" s="832" t="s">
        <v>812</v>
      </c>
    </row>
    <row r="4" spans="1:7" ht="14.25" thickTop="1" thickBot="1" x14ac:dyDescent="0.4">
      <c r="A4" s="869" t="s">
        <v>805</v>
      </c>
      <c r="B4" s="877"/>
      <c r="C4" s="877"/>
      <c r="D4" s="877"/>
      <c r="E4" s="877"/>
      <c r="F4" s="877"/>
      <c r="G4" s="877"/>
    </row>
    <row r="5" spans="1:7" ht="13.9" thickTop="1" x14ac:dyDescent="0.35">
      <c r="A5" s="833" t="str">
        <f>'WH Schedule'!A3</f>
        <v>Large 3PL Warehouses</v>
      </c>
      <c r="B5" s="837">
        <v>2</v>
      </c>
      <c r="C5" s="841">
        <v>54000</v>
      </c>
      <c r="D5" s="841">
        <v>22500</v>
      </c>
      <c r="E5" s="841">
        <v>9000</v>
      </c>
      <c r="F5" s="841">
        <v>4500</v>
      </c>
      <c r="G5" s="841">
        <v>6900</v>
      </c>
    </row>
    <row r="6" spans="1:7" x14ac:dyDescent="0.35">
      <c r="A6" s="834" t="str">
        <f>'WH Schedule'!A5</f>
        <v>Modular Warehouses</v>
      </c>
      <c r="B6" s="838">
        <v>3</v>
      </c>
      <c r="C6" s="841">
        <v>48600</v>
      </c>
      <c r="D6" s="841">
        <v>18225</v>
      </c>
      <c r="E6" s="841">
        <v>10125</v>
      </c>
      <c r="F6" s="841">
        <v>4050</v>
      </c>
      <c r="G6" s="841">
        <v>6000</v>
      </c>
    </row>
    <row r="7" spans="1:7" x14ac:dyDescent="0.35">
      <c r="A7" s="834" t="str">
        <f>'WH Schedule'!A8</f>
        <v>Small Modular Warehouses</v>
      </c>
      <c r="B7" s="838">
        <v>2</v>
      </c>
      <c r="C7" s="841">
        <v>22344</v>
      </c>
      <c r="D7" s="841">
        <v>9800</v>
      </c>
      <c r="E7" s="841">
        <v>4704</v>
      </c>
      <c r="F7" s="841">
        <v>2352</v>
      </c>
      <c r="G7" s="841">
        <v>2900</v>
      </c>
    </row>
    <row r="8" spans="1:7" ht="13.9" thickBot="1" x14ac:dyDescent="0.4">
      <c r="A8" s="834" t="str">
        <f>'WH Schedule'!A13</f>
        <v>Specialised warehouses</v>
      </c>
      <c r="B8" s="838">
        <v>1</v>
      </c>
      <c r="C8" s="841" t="s">
        <v>783</v>
      </c>
      <c r="D8" s="841">
        <v>12250</v>
      </c>
      <c r="E8" s="841" t="s">
        <v>783</v>
      </c>
      <c r="F8" s="841" t="s">
        <v>783</v>
      </c>
      <c r="G8" s="841">
        <v>1750</v>
      </c>
    </row>
    <row r="9" spans="1:7" ht="15" customHeight="1" thickTop="1" thickBot="1" x14ac:dyDescent="0.4">
      <c r="A9" s="875" t="s">
        <v>803</v>
      </c>
      <c r="B9" s="876"/>
      <c r="C9" s="842">
        <f t="shared" ref="C9:E9" si="0">SUM(C5:C8)</f>
        <v>124944</v>
      </c>
      <c r="D9" s="842">
        <f t="shared" si="0"/>
        <v>62775</v>
      </c>
      <c r="E9" s="842">
        <f t="shared" si="0"/>
        <v>23829</v>
      </c>
      <c r="F9" s="842">
        <f>SUM(F5:F8)</f>
        <v>10902</v>
      </c>
      <c r="G9" s="842">
        <f>SUM(G5:G8)</f>
        <v>17550</v>
      </c>
    </row>
    <row r="10" spans="1:7" ht="13.9" thickTop="1" x14ac:dyDescent="0.35"/>
  </sheetData>
  <mergeCells count="3">
    <mergeCell ref="C2:G2"/>
    <mergeCell ref="A9:B9"/>
    <mergeCell ref="A4:G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showGridLines="0" workbookViewId="0">
      <selection activeCell="E17" sqref="E17"/>
    </sheetView>
  </sheetViews>
  <sheetFormatPr defaultColWidth="9" defaultRowHeight="13.5" x14ac:dyDescent="0.35"/>
  <cols>
    <col min="1" max="1" width="24.86328125" style="828" customWidth="1"/>
    <col min="2" max="2" width="9" style="828"/>
    <col min="3" max="3" width="9.86328125" style="828" bestFit="1" customWidth="1"/>
    <col min="4" max="4" width="9" style="828"/>
    <col min="5" max="5" width="9.86328125" style="828" bestFit="1" customWidth="1"/>
    <col min="6" max="6" width="10.86328125" style="828" bestFit="1" customWidth="1"/>
    <col min="7" max="7" width="9.86328125" style="828" bestFit="1" customWidth="1"/>
    <col min="8" max="8" width="10.86328125" style="828" bestFit="1" customWidth="1"/>
    <col min="9" max="16384" width="9" style="828"/>
  </cols>
  <sheetData>
    <row r="2" spans="1:8" ht="13.9" thickBot="1" x14ac:dyDescent="0.4">
      <c r="A2" s="829"/>
      <c r="B2" s="830"/>
      <c r="C2" s="880" t="s">
        <v>801</v>
      </c>
      <c r="D2" s="880"/>
      <c r="E2" s="880"/>
      <c r="F2" s="880" t="s">
        <v>802</v>
      </c>
      <c r="G2" s="880"/>
      <c r="H2" s="880"/>
    </row>
    <row r="3" spans="1:8" ht="26.25" thickTop="1" thickBot="1" x14ac:dyDescent="0.4">
      <c r="A3" s="831" t="s">
        <v>796</v>
      </c>
      <c r="B3" s="832" t="s">
        <v>797</v>
      </c>
      <c r="C3" s="832" t="s">
        <v>799</v>
      </c>
      <c r="D3" s="832" t="s">
        <v>798</v>
      </c>
      <c r="E3" s="832" t="s">
        <v>800</v>
      </c>
      <c r="F3" s="832" t="s">
        <v>799</v>
      </c>
      <c r="G3" s="832" t="s">
        <v>798</v>
      </c>
      <c r="H3" s="832" t="s">
        <v>800</v>
      </c>
    </row>
    <row r="4" spans="1:8" ht="14.25" thickTop="1" thickBot="1" x14ac:dyDescent="0.4">
      <c r="A4" s="869" t="s">
        <v>805</v>
      </c>
      <c r="B4" s="877"/>
      <c r="C4" s="877"/>
      <c r="D4" s="877"/>
      <c r="E4" s="877"/>
      <c r="F4" s="877"/>
      <c r="G4" s="877"/>
      <c r="H4" s="877"/>
    </row>
    <row r="5" spans="1:8" ht="13.9" thickTop="1" x14ac:dyDescent="0.35">
      <c r="A5" s="833" t="str">
        <f>'WH Schedule'!A3</f>
        <v>Large 3PL Warehouses</v>
      </c>
      <c r="B5" s="837">
        <v>2</v>
      </c>
      <c r="C5" s="840">
        <v>45000</v>
      </c>
      <c r="D5" s="840">
        <v>6900</v>
      </c>
      <c r="E5" s="840">
        <v>51900</v>
      </c>
      <c r="F5" s="840">
        <v>90000</v>
      </c>
      <c r="G5" s="840">
        <v>13800</v>
      </c>
      <c r="H5" s="840">
        <v>103800</v>
      </c>
    </row>
    <row r="6" spans="1:8" x14ac:dyDescent="0.35">
      <c r="A6" s="834" t="str">
        <f>'WH Schedule'!A5</f>
        <v>Modular Warehouses</v>
      </c>
      <c r="B6" s="838">
        <v>3</v>
      </c>
      <c r="C6" s="841">
        <v>27000</v>
      </c>
      <c r="D6" s="841">
        <v>4000</v>
      </c>
      <c r="E6" s="841">
        <v>31000</v>
      </c>
      <c r="F6" s="841">
        <v>81000</v>
      </c>
      <c r="G6" s="841">
        <v>12000</v>
      </c>
      <c r="H6" s="841">
        <v>93000</v>
      </c>
    </row>
    <row r="7" spans="1:8" x14ac:dyDescent="0.35">
      <c r="A7" s="834" t="str">
        <f>'WH Schedule'!A8</f>
        <v>Small Modular Warehouses</v>
      </c>
      <c r="B7" s="838">
        <v>2</v>
      </c>
      <c r="C7" s="841">
        <v>19600</v>
      </c>
      <c r="D7" s="841">
        <v>2900</v>
      </c>
      <c r="E7" s="841">
        <v>22500</v>
      </c>
      <c r="F7" s="841">
        <v>39200</v>
      </c>
      <c r="G7" s="841">
        <v>5800</v>
      </c>
      <c r="H7" s="841">
        <v>45000</v>
      </c>
    </row>
    <row r="8" spans="1:8" ht="13.9" thickBot="1" x14ac:dyDescent="0.4">
      <c r="A8" s="834" t="str">
        <f>'WH Schedule'!A13</f>
        <v>Specialised warehouses</v>
      </c>
      <c r="B8" s="838">
        <v>1</v>
      </c>
      <c r="C8" s="841">
        <v>12250</v>
      </c>
      <c r="D8" s="841">
        <v>1750</v>
      </c>
      <c r="E8" s="841">
        <v>14000</v>
      </c>
      <c r="F8" s="841">
        <v>12250</v>
      </c>
      <c r="G8" s="841">
        <v>1750</v>
      </c>
      <c r="H8" s="841">
        <v>14000</v>
      </c>
    </row>
    <row r="9" spans="1:8" ht="14.25" thickTop="1" thickBot="1" x14ac:dyDescent="0.4">
      <c r="B9" s="876" t="s">
        <v>803</v>
      </c>
      <c r="C9" s="878"/>
      <c r="D9" s="878"/>
      <c r="E9" s="878"/>
      <c r="F9" s="842">
        <f>SUM(F5:F8)</f>
        <v>222450</v>
      </c>
      <c r="G9" s="842">
        <f t="shared" ref="G9:H9" si="0">SUM(G5:G8)</f>
        <v>33350</v>
      </c>
      <c r="H9" s="842">
        <f t="shared" si="0"/>
        <v>255800</v>
      </c>
    </row>
    <row r="10" spans="1:8" ht="14.25" thickTop="1" thickBot="1" x14ac:dyDescent="0.4">
      <c r="A10" s="869" t="s">
        <v>804</v>
      </c>
      <c r="B10" s="877"/>
      <c r="C10" s="877"/>
      <c r="D10" s="877"/>
      <c r="E10" s="877"/>
      <c r="F10" s="877"/>
      <c r="G10" s="877"/>
      <c r="H10" s="877"/>
    </row>
    <row r="11" spans="1:8" ht="14.25" thickTop="1" thickBot="1" x14ac:dyDescent="0.4">
      <c r="A11" s="833" t="s">
        <v>781</v>
      </c>
      <c r="B11" s="835">
        <v>1</v>
      </c>
      <c r="C11" s="840">
        <v>10000</v>
      </c>
      <c r="D11" s="840" t="s">
        <v>783</v>
      </c>
      <c r="E11" s="840">
        <v>10000</v>
      </c>
      <c r="F11" s="840">
        <v>10000</v>
      </c>
      <c r="G11" s="840" t="s">
        <v>783</v>
      </c>
      <c r="H11" s="840">
        <v>10000</v>
      </c>
    </row>
    <row r="12" spans="1:8" ht="14.25" thickTop="1" thickBot="1" x14ac:dyDescent="0.4">
      <c r="A12" s="833" t="s">
        <v>68</v>
      </c>
      <c r="B12" s="836">
        <v>1</v>
      </c>
      <c r="C12" s="841">
        <v>62000</v>
      </c>
      <c r="D12" s="841" t="s">
        <v>783</v>
      </c>
      <c r="E12" s="841">
        <v>62000</v>
      </c>
      <c r="F12" s="841">
        <v>62000</v>
      </c>
      <c r="G12" s="841" t="s">
        <v>783</v>
      </c>
      <c r="H12" s="841">
        <v>62000</v>
      </c>
    </row>
    <row r="13" spans="1:8" ht="14.25" thickTop="1" thickBot="1" x14ac:dyDescent="0.4">
      <c r="B13" s="876" t="s">
        <v>803</v>
      </c>
      <c r="C13" s="878"/>
      <c r="D13" s="878"/>
      <c r="E13" s="878"/>
      <c r="F13" s="842">
        <f>SUM(F11:F12)</f>
        <v>72000</v>
      </c>
      <c r="G13" s="842">
        <f t="shared" ref="G13:H13" si="1">SUM(G11:G12)</f>
        <v>0</v>
      </c>
      <c r="H13" s="842">
        <f t="shared" si="1"/>
        <v>72000</v>
      </c>
    </row>
    <row r="14" spans="1:8" ht="14.25" thickTop="1" thickBot="1" x14ac:dyDescent="0.4">
      <c r="A14" s="869" t="s">
        <v>810</v>
      </c>
      <c r="B14" s="877"/>
      <c r="C14" s="877"/>
      <c r="D14" s="877"/>
      <c r="E14" s="877"/>
      <c r="F14" s="877"/>
      <c r="G14" s="877"/>
      <c r="H14" s="877"/>
    </row>
    <row r="15" spans="1:8" ht="13.9" thickTop="1" x14ac:dyDescent="0.35">
      <c r="A15" s="833" t="s">
        <v>806</v>
      </c>
      <c r="B15" s="835">
        <v>3</v>
      </c>
      <c r="C15" s="841">
        <v>45</v>
      </c>
      <c r="D15" s="841" t="s">
        <v>783</v>
      </c>
      <c r="E15" s="841">
        <v>45</v>
      </c>
      <c r="F15" s="841">
        <v>135</v>
      </c>
      <c r="G15" s="841" t="s">
        <v>783</v>
      </c>
      <c r="H15" s="841">
        <v>135</v>
      </c>
    </row>
    <row r="16" spans="1:8" x14ac:dyDescent="0.35">
      <c r="A16" s="839" t="s">
        <v>90</v>
      </c>
      <c r="B16" s="836">
        <v>1</v>
      </c>
      <c r="C16" s="841">
        <v>385</v>
      </c>
      <c r="D16" s="841" t="s">
        <v>783</v>
      </c>
      <c r="E16" s="841">
        <v>385</v>
      </c>
      <c r="F16" s="841">
        <v>385</v>
      </c>
      <c r="G16" s="841" t="s">
        <v>783</v>
      </c>
      <c r="H16" s="841">
        <v>385</v>
      </c>
    </row>
    <row r="17" spans="1:8" x14ac:dyDescent="0.35">
      <c r="A17" s="839" t="s">
        <v>807</v>
      </c>
      <c r="B17" s="836">
        <v>1</v>
      </c>
      <c r="C17" s="841">
        <v>6800</v>
      </c>
      <c r="D17" s="841" t="s">
        <v>783</v>
      </c>
      <c r="E17" s="841">
        <v>6800</v>
      </c>
      <c r="F17" s="841">
        <v>6800</v>
      </c>
      <c r="G17" s="841" t="s">
        <v>783</v>
      </c>
      <c r="H17" s="841">
        <v>6800</v>
      </c>
    </row>
    <row r="18" spans="1:8" x14ac:dyDescent="0.35">
      <c r="A18" s="834" t="s">
        <v>104</v>
      </c>
      <c r="B18" s="836">
        <v>1</v>
      </c>
      <c r="C18" s="841">
        <v>1600</v>
      </c>
      <c r="D18" s="841" t="s">
        <v>783</v>
      </c>
      <c r="E18" s="841">
        <v>1600</v>
      </c>
      <c r="F18" s="841">
        <v>1600</v>
      </c>
      <c r="G18" s="841" t="s">
        <v>783</v>
      </c>
      <c r="H18" s="841">
        <v>1600</v>
      </c>
    </row>
    <row r="19" spans="1:8" x14ac:dyDescent="0.35">
      <c r="A19" s="834" t="s">
        <v>809</v>
      </c>
      <c r="B19" s="836">
        <v>1</v>
      </c>
      <c r="C19" s="841">
        <v>4700</v>
      </c>
      <c r="D19" s="841" t="s">
        <v>783</v>
      </c>
      <c r="E19" s="841">
        <v>4700</v>
      </c>
      <c r="F19" s="841">
        <v>4700</v>
      </c>
      <c r="G19" s="841" t="s">
        <v>783</v>
      </c>
      <c r="H19" s="841">
        <v>4700</v>
      </c>
    </row>
    <row r="20" spans="1:8" ht="13.9" thickBot="1" x14ac:dyDescent="0.4">
      <c r="A20" s="834" t="s">
        <v>808</v>
      </c>
      <c r="B20" s="836">
        <v>1</v>
      </c>
      <c r="C20" s="841">
        <v>21560</v>
      </c>
      <c r="D20" s="841" t="s">
        <v>783</v>
      </c>
      <c r="E20" s="841">
        <v>21560</v>
      </c>
      <c r="F20" s="841">
        <v>21560</v>
      </c>
      <c r="G20" s="841" t="s">
        <v>783</v>
      </c>
      <c r="H20" s="841">
        <v>21560</v>
      </c>
    </row>
    <row r="21" spans="1:8" ht="14.25" thickTop="1" thickBot="1" x14ac:dyDescent="0.4">
      <c r="B21" s="876" t="s">
        <v>803</v>
      </c>
      <c r="C21" s="878"/>
      <c r="D21" s="878"/>
      <c r="E21" s="878"/>
      <c r="F21" s="842">
        <f>SUM(F15:F20)</f>
        <v>35180</v>
      </c>
      <c r="G21" s="842">
        <f t="shared" ref="G21" si="2">SUM(G15:G20)</f>
        <v>0</v>
      </c>
      <c r="H21" s="842">
        <f t="shared" ref="H21" si="3">SUM(H15:H20)</f>
        <v>35180</v>
      </c>
    </row>
    <row r="22" spans="1:8" ht="15" customHeight="1" thickTop="1" thickBot="1" x14ac:dyDescent="0.45">
      <c r="A22" s="879" t="s">
        <v>803</v>
      </c>
      <c r="B22" s="879"/>
      <c r="C22" s="879"/>
      <c r="D22" s="879"/>
      <c r="E22" s="879"/>
      <c r="F22" s="843">
        <f>F21+F13+F9</f>
        <v>329630</v>
      </c>
      <c r="G22" s="843">
        <f t="shared" ref="G22:H22" si="4">G21+G13+G9</f>
        <v>33350</v>
      </c>
      <c r="H22" s="843">
        <f t="shared" si="4"/>
        <v>362980</v>
      </c>
    </row>
    <row r="23" spans="1:8" ht="13.9" thickTop="1" x14ac:dyDescent="0.35"/>
  </sheetData>
  <mergeCells count="9">
    <mergeCell ref="A14:H14"/>
    <mergeCell ref="B21:E21"/>
    <mergeCell ref="A22:E22"/>
    <mergeCell ref="C2:E2"/>
    <mergeCell ref="F2:H2"/>
    <mergeCell ref="A4:H4"/>
    <mergeCell ref="A10:H10"/>
    <mergeCell ref="B9:E9"/>
    <mergeCell ref="B13:E1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election activeCell="E19" sqref="A4:E19"/>
    </sheetView>
  </sheetViews>
  <sheetFormatPr defaultColWidth="9" defaultRowHeight="12.75" x14ac:dyDescent="0.35"/>
  <cols>
    <col min="1" max="1" width="9" style="845"/>
    <col min="2" max="4" width="14.1328125" style="845" customWidth="1"/>
    <col min="5" max="5" width="10" style="845" customWidth="1"/>
    <col min="6" max="7" width="9" style="845"/>
    <col min="8" max="8" width="11" style="845" bestFit="1" customWidth="1"/>
    <col min="9" max="16384" width="9" style="845"/>
  </cols>
  <sheetData>
    <row r="1" spans="1:5" ht="22.5" x14ac:dyDescent="0.6">
      <c r="A1" s="844" t="s">
        <v>795</v>
      </c>
    </row>
    <row r="3" spans="1:5" ht="13.15" thickBot="1" x14ac:dyDescent="0.4"/>
    <row r="4" spans="1:5" ht="13.5" thickTop="1" thickBot="1" x14ac:dyDescent="0.4">
      <c r="B4" s="832" t="s">
        <v>815</v>
      </c>
      <c r="C4" s="832" t="s">
        <v>814</v>
      </c>
      <c r="D4" s="832" t="s">
        <v>816</v>
      </c>
    </row>
    <row r="5" spans="1:5" ht="13.15" thickTop="1" x14ac:dyDescent="0.35">
      <c r="A5" s="834" t="s">
        <v>141</v>
      </c>
      <c r="B5" s="841">
        <f>1575+273</f>
        <v>1848</v>
      </c>
      <c r="C5" s="841">
        <v>6</v>
      </c>
      <c r="D5" s="841">
        <f>C5*B5</f>
        <v>11088</v>
      </c>
      <c r="E5" s="881">
        <f>SUM(D5:D8)</f>
        <v>124944.01000000001</v>
      </c>
    </row>
    <row r="6" spans="1:5" x14ac:dyDescent="0.35">
      <c r="A6" s="834" t="s">
        <v>141</v>
      </c>
      <c r="B6" s="841">
        <f>1040+181</f>
        <v>1221</v>
      </c>
      <c r="C6" s="841">
        <v>42</v>
      </c>
      <c r="D6" s="841">
        <f t="shared" ref="D6:D18" si="0">C6*B6</f>
        <v>51282</v>
      </c>
      <c r="E6" s="882"/>
    </row>
    <row r="7" spans="1:5" x14ac:dyDescent="0.35">
      <c r="A7" s="834" t="s">
        <v>141</v>
      </c>
      <c r="B7" s="841">
        <f>1054+183</f>
        <v>1237</v>
      </c>
      <c r="C7" s="841">
        <v>4</v>
      </c>
      <c r="D7" s="841">
        <f t="shared" si="0"/>
        <v>4948</v>
      </c>
      <c r="E7" s="882"/>
    </row>
    <row r="8" spans="1:5" ht="13.15" thickBot="1" x14ac:dyDescent="0.4">
      <c r="A8" s="834" t="s">
        <v>141</v>
      </c>
      <c r="B8" s="841">
        <v>1920.867</v>
      </c>
      <c r="C8" s="841">
        <v>30</v>
      </c>
      <c r="D8" s="841">
        <f t="shared" si="0"/>
        <v>57626.01</v>
      </c>
      <c r="E8" s="882"/>
    </row>
    <row r="9" spans="1:5" ht="13.15" thickTop="1" x14ac:dyDescent="0.35">
      <c r="A9" s="834" t="s">
        <v>69</v>
      </c>
      <c r="B9" s="841">
        <f>2081+361</f>
        <v>2442</v>
      </c>
      <c r="C9" s="841">
        <v>2</v>
      </c>
      <c r="D9" s="841">
        <f t="shared" si="0"/>
        <v>4884</v>
      </c>
      <c r="E9" s="881">
        <f>SUM(D9:D14)</f>
        <v>62775</v>
      </c>
    </row>
    <row r="10" spans="1:5" x14ac:dyDescent="0.35">
      <c r="A10" s="834" t="s">
        <v>69</v>
      </c>
      <c r="B10" s="841">
        <f>1571+273</f>
        <v>1844</v>
      </c>
      <c r="C10" s="841">
        <v>4</v>
      </c>
      <c r="D10" s="841">
        <f t="shared" si="0"/>
        <v>7376</v>
      </c>
      <c r="E10" s="882"/>
    </row>
    <row r="11" spans="1:5" x14ac:dyDescent="0.35">
      <c r="A11" s="834" t="s">
        <v>69</v>
      </c>
      <c r="B11" s="841">
        <f>1575+273</f>
        <v>1848</v>
      </c>
      <c r="C11" s="841">
        <v>6</v>
      </c>
      <c r="D11" s="841">
        <f t="shared" si="0"/>
        <v>11088</v>
      </c>
      <c r="E11" s="882"/>
    </row>
    <row r="12" spans="1:5" x14ac:dyDescent="0.35">
      <c r="A12" s="834" t="s">
        <v>69</v>
      </c>
      <c r="B12" s="841">
        <f>1054+183</f>
        <v>1237</v>
      </c>
      <c r="C12" s="841">
        <v>4</v>
      </c>
      <c r="D12" s="841">
        <f t="shared" si="0"/>
        <v>4948</v>
      </c>
      <c r="E12" s="882"/>
    </row>
    <row r="13" spans="1:5" x14ac:dyDescent="0.35">
      <c r="A13" s="834" t="s">
        <v>69</v>
      </c>
      <c r="B13" s="841">
        <f>1040+181</f>
        <v>1221</v>
      </c>
      <c r="C13" s="841">
        <v>10</v>
      </c>
      <c r="D13" s="841">
        <f t="shared" si="0"/>
        <v>12210</v>
      </c>
      <c r="E13" s="882"/>
    </row>
    <row r="14" spans="1:5" ht="13.15" thickBot="1" x14ac:dyDescent="0.4">
      <c r="A14" s="834" t="s">
        <v>69</v>
      </c>
      <c r="B14" s="841">
        <v>2226.9</v>
      </c>
      <c r="C14" s="841">
        <v>10</v>
      </c>
      <c r="D14" s="841">
        <f t="shared" si="0"/>
        <v>22269</v>
      </c>
      <c r="E14" s="883"/>
    </row>
    <row r="15" spans="1:5" ht="13.15" thickTop="1" x14ac:dyDescent="0.35">
      <c r="A15" s="834" t="s">
        <v>118</v>
      </c>
      <c r="B15" s="841">
        <f>1040+181</f>
        <v>1221</v>
      </c>
      <c r="C15" s="841">
        <v>15</v>
      </c>
      <c r="D15" s="841">
        <f t="shared" si="0"/>
        <v>18315</v>
      </c>
      <c r="E15" s="881">
        <f>SUM(D15:D16)</f>
        <v>23829</v>
      </c>
    </row>
    <row r="16" spans="1:5" ht="13.15" thickBot="1" x14ac:dyDescent="0.4">
      <c r="A16" s="834" t="s">
        <v>118</v>
      </c>
      <c r="B16" s="841">
        <v>1378.5</v>
      </c>
      <c r="C16" s="841">
        <v>4</v>
      </c>
      <c r="D16" s="841">
        <f t="shared" si="0"/>
        <v>5514</v>
      </c>
      <c r="E16" s="883"/>
    </row>
    <row r="17" spans="1:5" ht="13.15" thickTop="1" x14ac:dyDescent="0.35">
      <c r="A17" s="834" t="s">
        <v>59</v>
      </c>
      <c r="B17" s="841">
        <f>1040+181</f>
        <v>1221</v>
      </c>
      <c r="C17" s="841">
        <v>5</v>
      </c>
      <c r="D17" s="841">
        <f t="shared" si="0"/>
        <v>6105</v>
      </c>
      <c r="E17" s="881">
        <f>SUM(D17:D18)</f>
        <v>10902</v>
      </c>
    </row>
    <row r="18" spans="1:5" ht="13.15" thickBot="1" x14ac:dyDescent="0.4">
      <c r="A18" s="834" t="s">
        <v>59</v>
      </c>
      <c r="B18" s="841">
        <v>1199.25</v>
      </c>
      <c r="C18" s="841">
        <v>4</v>
      </c>
      <c r="D18" s="841">
        <f t="shared" si="0"/>
        <v>4797</v>
      </c>
      <c r="E18" s="883"/>
    </row>
    <row r="19" spans="1:5" ht="15" customHeight="1" thickTop="1" thickBot="1" x14ac:dyDescent="0.4">
      <c r="B19" s="846" t="s">
        <v>817</v>
      </c>
      <c r="C19" s="843">
        <f>SUM(C5:C18)</f>
        <v>146</v>
      </c>
      <c r="D19" s="846" t="s">
        <v>816</v>
      </c>
      <c r="E19" s="843">
        <f>SUM(E5:E18)</f>
        <v>222450.01</v>
      </c>
    </row>
    <row r="20" spans="1:5" ht="13.15" thickTop="1" x14ac:dyDescent="0.35"/>
  </sheetData>
  <mergeCells count="4">
    <mergeCell ref="E5:E8"/>
    <mergeCell ref="E17:E18"/>
    <mergeCell ref="E15:E16"/>
    <mergeCell ref="E9:E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79998168889431442"/>
  </sheetPr>
  <dimension ref="A1:K12"/>
  <sheetViews>
    <sheetView zoomScaleNormal="100" workbookViewId="0">
      <pane xSplit="1" ySplit="2" topLeftCell="C4" activePane="bottomRight" state="frozen"/>
      <selection pane="topRight" activeCell="B1" sqref="B1"/>
      <selection pane="bottomLeft" activeCell="A3" sqref="A3"/>
      <selection pane="bottomRight" activeCell="F10" sqref="F10"/>
    </sheetView>
  </sheetViews>
  <sheetFormatPr defaultRowHeight="14.25" x14ac:dyDescent="0.45"/>
  <cols>
    <col min="1" max="1" width="32.86328125" customWidth="1"/>
    <col min="2" max="2" width="17.1328125" customWidth="1"/>
    <col min="3" max="3" width="18.3984375" customWidth="1"/>
    <col min="4" max="7" width="18.265625" customWidth="1"/>
    <col min="8" max="8" width="21.265625" customWidth="1"/>
    <col min="9" max="9" width="39.73046875" customWidth="1"/>
    <col min="10" max="10" width="14" customWidth="1"/>
    <col min="11" max="11" width="21.73046875" customWidth="1"/>
    <col min="12" max="12" width="16.265625" customWidth="1"/>
    <col min="13" max="13" width="18.86328125" bestFit="1" customWidth="1"/>
    <col min="14" max="14" width="13.59765625" bestFit="1" customWidth="1"/>
    <col min="15" max="15" width="13.59765625" customWidth="1"/>
    <col min="16" max="18" width="16.73046875" customWidth="1"/>
    <col min="19" max="19" width="11.3984375" customWidth="1"/>
    <col min="20" max="20" width="10.59765625" bestFit="1" customWidth="1"/>
    <col min="26" max="26" width="10.86328125" customWidth="1"/>
    <col min="27" max="27" width="10.59765625" bestFit="1" customWidth="1"/>
    <col min="30" max="33" width="13.73046875" customWidth="1"/>
    <col min="34" max="34" width="17.59765625" customWidth="1"/>
    <col min="35" max="35" width="13.73046875" customWidth="1"/>
    <col min="36" max="37" width="11.59765625" bestFit="1" customWidth="1"/>
  </cols>
  <sheetData>
    <row r="1" spans="1:11" ht="23.25" x14ac:dyDescent="0.7">
      <c r="A1" s="9" t="s">
        <v>171</v>
      </c>
    </row>
    <row r="2" spans="1:11" ht="28.5" x14ac:dyDescent="0.45">
      <c r="A2" s="21" t="s">
        <v>71</v>
      </c>
      <c r="B2" s="21" t="s">
        <v>76</v>
      </c>
      <c r="C2" s="21" t="s">
        <v>96</v>
      </c>
      <c r="D2" s="21" t="s">
        <v>54</v>
      </c>
      <c r="E2" s="21" t="s">
        <v>170</v>
      </c>
      <c r="F2" s="21" t="s">
        <v>356</v>
      </c>
      <c r="G2" s="21" t="s">
        <v>760</v>
      </c>
      <c r="H2" s="21" t="s">
        <v>92</v>
      </c>
      <c r="I2" s="21" t="s">
        <v>87</v>
      </c>
      <c r="J2" s="21" t="s">
        <v>756</v>
      </c>
      <c r="K2" s="21" t="s">
        <v>757</v>
      </c>
    </row>
    <row r="3" spans="1:11" ht="57" x14ac:dyDescent="0.45">
      <c r="A3" s="16" t="s">
        <v>89</v>
      </c>
      <c r="B3" s="18">
        <v>4</v>
      </c>
      <c r="C3" s="44">
        <f>CST_ENTRANCE_SQM/B3</f>
        <v>56.25</v>
      </c>
      <c r="D3" s="44">
        <f t="shared" ref="D3:D10" si="0">C3*B3</f>
        <v>225</v>
      </c>
      <c r="E3" s="18">
        <v>1</v>
      </c>
      <c r="F3" s="48">
        <v>0.6</v>
      </c>
      <c r="G3" s="44">
        <f>E3*D3*F3</f>
        <v>135</v>
      </c>
      <c r="H3" s="17" t="s">
        <v>93</v>
      </c>
      <c r="I3" s="17" t="s">
        <v>88</v>
      </c>
      <c r="J3" s="24">
        <f>CST_BLD_GUARDHS</f>
        <v>6000</v>
      </c>
      <c r="K3" s="24">
        <f>J3*G3</f>
        <v>810000</v>
      </c>
    </row>
    <row r="4" spans="1:11" ht="28.5" x14ac:dyDescent="0.45">
      <c r="A4" s="16" t="s">
        <v>342</v>
      </c>
      <c r="B4" s="18">
        <v>1</v>
      </c>
      <c r="C4" s="44">
        <f>CST_SITE_SQM</f>
        <v>517376</v>
      </c>
      <c r="D4" s="44">
        <f t="shared" si="0"/>
        <v>517376</v>
      </c>
      <c r="E4" s="18">
        <v>0</v>
      </c>
      <c r="F4" s="48">
        <v>0.6</v>
      </c>
      <c r="G4" s="44">
        <f t="shared" ref="G4:G10" si="1">E4*D4*F4</f>
        <v>0</v>
      </c>
      <c r="H4" s="17"/>
      <c r="I4" s="17" t="s">
        <v>352</v>
      </c>
      <c r="J4" s="24">
        <f>CST_BLD_PLTINFRA</f>
        <v>164.25</v>
      </c>
      <c r="K4" s="24">
        <f>J4*D4</f>
        <v>84979008</v>
      </c>
    </row>
    <row r="5" spans="1:11" ht="28.5" x14ac:dyDescent="0.45">
      <c r="A5" s="16" t="s">
        <v>90</v>
      </c>
      <c r="B5" s="18">
        <v>1</v>
      </c>
      <c r="C5" s="44">
        <f>CST_MOSQUE_SQM/B5</f>
        <v>650</v>
      </c>
      <c r="D5" s="44">
        <f t="shared" si="0"/>
        <v>650</v>
      </c>
      <c r="E5" s="18">
        <v>1</v>
      </c>
      <c r="F5" s="48">
        <v>0.6</v>
      </c>
      <c r="G5" s="44">
        <f t="shared" si="1"/>
        <v>390</v>
      </c>
      <c r="H5" s="17" t="s">
        <v>91</v>
      </c>
      <c r="I5" s="17" t="s">
        <v>94</v>
      </c>
      <c r="J5" s="24">
        <f>CST_BLD_MOSQUE</f>
        <v>5475</v>
      </c>
      <c r="K5" s="24">
        <f t="shared" ref="K5:K10" si="2">J5*G5</f>
        <v>2135250</v>
      </c>
    </row>
    <row r="6" spans="1:11" ht="42.75" x14ac:dyDescent="0.45">
      <c r="A6" s="16" t="s">
        <v>346</v>
      </c>
      <c r="B6" s="18">
        <v>1</v>
      </c>
      <c r="C6" s="44">
        <f>CST_COMMERCIAL_SQM/B6</f>
        <v>2800</v>
      </c>
      <c r="D6" s="44">
        <f t="shared" si="0"/>
        <v>2800</v>
      </c>
      <c r="E6" s="18">
        <v>3</v>
      </c>
      <c r="F6" s="48">
        <v>0.6</v>
      </c>
      <c r="G6" s="44">
        <f t="shared" si="1"/>
        <v>5040</v>
      </c>
      <c r="H6" s="17" t="s">
        <v>91</v>
      </c>
      <c r="I6" s="17" t="s">
        <v>102</v>
      </c>
      <c r="J6" s="24">
        <f>CST_BLD_COMMERCIAL</f>
        <v>4500</v>
      </c>
      <c r="K6" s="24">
        <f t="shared" si="2"/>
        <v>22680000</v>
      </c>
    </row>
    <row r="7" spans="1:11" ht="42.75" x14ac:dyDescent="0.45">
      <c r="A7" s="16" t="s">
        <v>104</v>
      </c>
      <c r="B7" s="18">
        <v>1</v>
      </c>
      <c r="C7" s="44">
        <f>CST_PETROL_SQM/B7</f>
        <v>3800</v>
      </c>
      <c r="D7" s="44">
        <f t="shared" si="0"/>
        <v>3800</v>
      </c>
      <c r="E7" s="18">
        <v>1</v>
      </c>
      <c r="F7" s="48">
        <v>0.6</v>
      </c>
      <c r="G7" s="44">
        <f t="shared" si="1"/>
        <v>2280</v>
      </c>
      <c r="H7" s="17" t="s">
        <v>101</v>
      </c>
      <c r="I7" s="17" t="s">
        <v>103</v>
      </c>
      <c r="J7" s="24">
        <f>CST_BLD_PETROL</f>
        <v>2920</v>
      </c>
      <c r="K7" s="24">
        <f t="shared" si="2"/>
        <v>6657600</v>
      </c>
    </row>
    <row r="8" spans="1:11" ht="28.5" x14ac:dyDescent="0.45">
      <c r="A8" s="16" t="s">
        <v>108</v>
      </c>
      <c r="B8" s="18">
        <v>1</v>
      </c>
      <c r="C8" s="44">
        <f>CST_VMAINT_SQM/B8</f>
        <v>15590</v>
      </c>
      <c r="D8" s="44">
        <f t="shared" si="0"/>
        <v>15590</v>
      </c>
      <c r="E8" s="18">
        <v>1</v>
      </c>
      <c r="F8" s="48">
        <v>0.6</v>
      </c>
      <c r="G8" s="44">
        <f t="shared" si="1"/>
        <v>9354</v>
      </c>
      <c r="H8" s="17" t="s">
        <v>109</v>
      </c>
      <c r="I8" s="17" t="s">
        <v>107</v>
      </c>
      <c r="J8" s="24">
        <f>CST_BLD_VMAINT</f>
        <v>2920</v>
      </c>
      <c r="K8" s="24">
        <f t="shared" si="2"/>
        <v>27313680</v>
      </c>
    </row>
    <row r="9" spans="1:11" ht="42.75" x14ac:dyDescent="0.45">
      <c r="A9" s="16" t="s">
        <v>98</v>
      </c>
      <c r="B9" s="18">
        <v>1</v>
      </c>
      <c r="C9" s="44">
        <f>CST_ACC_SQM/B9</f>
        <v>18580</v>
      </c>
      <c r="D9" s="44">
        <f>C9*B9</f>
        <v>18580</v>
      </c>
      <c r="E9" s="18">
        <v>3</v>
      </c>
      <c r="F9" s="48">
        <f>22440/3/C9</f>
        <v>0.40258342303552208</v>
      </c>
      <c r="G9" s="44">
        <f t="shared" si="1"/>
        <v>22440</v>
      </c>
      <c r="H9" s="17" t="s">
        <v>91</v>
      </c>
      <c r="I9" s="17" t="s">
        <v>761</v>
      </c>
      <c r="J9" s="24">
        <f>CST_BLD_ACCOM</f>
        <v>3375</v>
      </c>
      <c r="K9" s="24">
        <f t="shared" si="2"/>
        <v>75735000</v>
      </c>
    </row>
    <row r="10" spans="1:11" ht="43.15" thickBot="1" x14ac:dyDescent="0.5">
      <c r="A10" s="16" t="s">
        <v>97</v>
      </c>
      <c r="B10" s="18">
        <v>2</v>
      </c>
      <c r="C10" s="44">
        <f>CST_PARKING_SQM/B10</f>
        <v>4592.5</v>
      </c>
      <c r="D10" s="45">
        <f t="shared" si="0"/>
        <v>9185</v>
      </c>
      <c r="E10" s="18">
        <v>1</v>
      </c>
      <c r="F10" s="48">
        <v>0.6</v>
      </c>
      <c r="G10" s="44">
        <f t="shared" si="1"/>
        <v>5511</v>
      </c>
      <c r="H10" s="17" t="s">
        <v>174</v>
      </c>
      <c r="I10" s="17" t="s">
        <v>175</v>
      </c>
      <c r="J10" s="24">
        <f>CST_BLD_PARKING</f>
        <v>511</v>
      </c>
      <c r="K10" s="24">
        <f t="shared" si="2"/>
        <v>2816121</v>
      </c>
    </row>
    <row r="11" spans="1:11" ht="14.65" thickBot="1" x14ac:dyDescent="0.5">
      <c r="C11" s="1" t="s">
        <v>99</v>
      </c>
      <c r="D11" s="50">
        <f>SUM(D3:D10)-D4</f>
        <v>50830</v>
      </c>
      <c r="E11" s="1" t="s">
        <v>172</v>
      </c>
      <c r="F11" s="1"/>
      <c r="G11" s="50">
        <f>SUM(G3:G10)</f>
        <v>45150</v>
      </c>
      <c r="J11" s="1" t="s">
        <v>758</v>
      </c>
      <c r="K11" s="50">
        <f>SUM(K3:K10)</f>
        <v>223126659</v>
      </c>
    </row>
    <row r="12" spans="1:11" ht="14.65" thickBot="1" x14ac:dyDescent="0.5">
      <c r="C12" s="1" t="s">
        <v>100</v>
      </c>
      <c r="D12" s="51">
        <f>SUM(Input!B21:B27)-D11</f>
        <v>0</v>
      </c>
      <c r="J12" s="1" t="s">
        <v>759</v>
      </c>
      <c r="K12" s="51">
        <f>K11/D11</f>
        <v>4389.6647452291954</v>
      </c>
    </row>
  </sheetData>
  <conditionalFormatting sqref="G11">
    <cfRule type="expression" dxfId="13" priority="2">
      <formula>$D$38&gt;($B$16+$B$17+$B$18+$B$19)</formula>
    </cfRule>
  </conditionalFormatting>
  <conditionalFormatting sqref="D12">
    <cfRule type="expression" dxfId="12" priority="1">
      <formula>$D$12&lt;&gt;0</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3" id="{99AD70E1-3CA7-4186-802E-1C626FC097C7}">
            <xm:f>D11&lt;&gt;SUM(Input!$B$21:$B$27)</xm:f>
            <x14:dxf>
              <font>
                <color theme="0"/>
              </font>
              <fill>
                <patternFill>
                  <bgColor rgb="FFFF0000"/>
                </patternFill>
              </fill>
            </x14:dxf>
          </x14:cfRule>
          <xm:sqref>D11</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V29"/>
  <sheetViews>
    <sheetView showGridLines="0" zoomScale="85" zoomScaleNormal="85" workbookViewId="0">
      <selection activeCell="V12" sqref="V12"/>
    </sheetView>
  </sheetViews>
  <sheetFormatPr defaultRowHeight="19.5" customHeight="1" x14ac:dyDescent="0.45"/>
  <cols>
    <col min="1" max="1" width="33.86328125" customWidth="1"/>
    <col min="2" max="2" width="11.3984375" bestFit="1" customWidth="1"/>
    <col min="3" max="3" width="14" bestFit="1" customWidth="1"/>
    <col min="4" max="4" width="14.86328125" hidden="1" customWidth="1"/>
    <col min="5" max="5" width="18.265625" hidden="1" customWidth="1"/>
    <col min="6" max="6" width="29.265625" hidden="1" customWidth="1"/>
    <col min="7" max="7" width="10.1328125" hidden="1" customWidth="1"/>
    <col min="8" max="8" width="12.86328125" hidden="1" customWidth="1"/>
    <col min="9" max="9" width="9.73046875" hidden="1" customWidth="1"/>
    <col min="10" max="10" width="11.3984375" hidden="1" customWidth="1"/>
    <col min="11" max="11" width="11" hidden="1" customWidth="1"/>
    <col min="12" max="12" width="11.3984375" hidden="1" customWidth="1"/>
    <col min="13" max="14" width="11.1328125" hidden="1" customWidth="1"/>
    <col min="15" max="15" width="14.86328125" bestFit="1" customWidth="1"/>
    <col min="16" max="16" width="15.73046875" bestFit="1" customWidth="1"/>
    <col min="17" max="17" width="14" bestFit="1" customWidth="1"/>
    <col min="18" max="18" width="13.59765625" bestFit="1" customWidth="1"/>
    <col min="19" max="19" width="16.73046875" bestFit="1" customWidth="1"/>
    <col min="20" max="20" width="15.73046875" bestFit="1" customWidth="1"/>
    <col min="22" max="22" width="12.59765625" bestFit="1" customWidth="1"/>
  </cols>
  <sheetData>
    <row r="1" spans="1:20" ht="19.5" customHeight="1" thickBot="1" x14ac:dyDescent="0.5">
      <c r="A1" s="772"/>
      <c r="B1" s="773" t="s">
        <v>776</v>
      </c>
      <c r="C1" s="774" t="s">
        <v>777</v>
      </c>
      <c r="D1" s="774" t="str">
        <f>'WH Schedule'!AA2</f>
        <v>Mezzanine m2</v>
      </c>
      <c r="E1" s="774" t="str">
        <f>'WH Schedule'!O2</f>
        <v>Storage area (m2)</v>
      </c>
      <c r="F1" s="774" t="str">
        <f>'WH Schedule'!P2</f>
        <v>Storage (m3), including aisles</v>
      </c>
      <c r="G1" s="774" t="str">
        <f>'WH Schedule'!S2</f>
        <v>Dry m2</v>
      </c>
      <c r="H1" s="774" t="str">
        <f>'WH Schedule'!T2</f>
        <v>Dry m3</v>
      </c>
      <c r="I1" s="774" t="str">
        <f>'WH Schedule'!U2</f>
        <v>AC m2</v>
      </c>
      <c r="J1" s="774" t="str">
        <f>'WH Schedule'!V2</f>
        <v>AC m3</v>
      </c>
      <c r="K1" s="774" t="str">
        <f>'WH Schedule'!W2</f>
        <v>Chilled m2</v>
      </c>
      <c r="L1" s="774" t="str">
        <f>'WH Schedule'!X2</f>
        <v>Chilled m3</v>
      </c>
      <c r="M1" s="774" t="str">
        <f>'WH Schedule'!Y2</f>
        <v>Frozen m2</v>
      </c>
      <c r="N1" s="774" t="str">
        <f>'WH Schedule'!Z2</f>
        <v>Frozen m3</v>
      </c>
      <c r="O1" s="774" t="str">
        <f>'WH Schedule'!AB2</f>
        <v>Dry QAR</v>
      </c>
      <c r="P1" s="774" t="str">
        <f>'WH Schedule'!AC2</f>
        <v>AC QAR</v>
      </c>
      <c r="Q1" s="774" t="str">
        <f>'WH Schedule'!AD2</f>
        <v>Chilled QAR</v>
      </c>
      <c r="R1" s="774" t="str">
        <f>'WH Schedule'!AE2</f>
        <v>Frozen QAR</v>
      </c>
      <c r="S1" s="774" t="str">
        <f>'WH Schedule'!AF2</f>
        <v>Mezzanine QAR</v>
      </c>
      <c r="T1" s="774" t="s">
        <v>782</v>
      </c>
    </row>
    <row r="2" spans="1:20" ht="19.5" customHeight="1" thickTop="1" x14ac:dyDescent="0.45">
      <c r="A2" s="775" t="str">
        <f>'WH Schedule'!A3</f>
        <v>Large 3PL Warehouses</v>
      </c>
      <c r="B2" s="776">
        <f>'WH Schedule'!E3</f>
        <v>75000</v>
      </c>
      <c r="C2" s="776">
        <f>'WH Schedule'!G3</f>
        <v>45000</v>
      </c>
      <c r="D2" s="776">
        <f>'WH Schedule'!AA3</f>
        <v>6804.0000000000009</v>
      </c>
      <c r="E2" s="776">
        <f>'WH Schedule'!O3</f>
        <v>36900</v>
      </c>
      <c r="F2" s="776">
        <f>'WH Schedule'!P3</f>
        <v>516600</v>
      </c>
      <c r="G2" s="776">
        <f>'WH Schedule'!S3</f>
        <v>25200.000000000004</v>
      </c>
      <c r="H2" s="776">
        <f>'WH Schedule'!T3</f>
        <v>352800.00000000006</v>
      </c>
      <c r="I2" s="776">
        <f>'WH Schedule'!U3</f>
        <v>12600.000000000002</v>
      </c>
      <c r="J2" s="776">
        <f>'WH Schedule'!V3</f>
        <v>176400.00000000003</v>
      </c>
      <c r="K2" s="776">
        <f>'WH Schedule'!W3</f>
        <v>4950</v>
      </c>
      <c r="L2" s="776">
        <f>'WH Schedule'!X3</f>
        <v>69300</v>
      </c>
      <c r="M2" s="776">
        <f>'WH Schedule'!Y3</f>
        <v>2250</v>
      </c>
      <c r="N2" s="776">
        <f>'WH Schedule'!Z3</f>
        <v>31500</v>
      </c>
      <c r="O2" s="776">
        <f>'WH Schedule'!AB3</f>
        <v>51738750.000000007</v>
      </c>
      <c r="P2" s="776">
        <f>'WH Schedule'!AC3</f>
        <v>37366875.000000007</v>
      </c>
      <c r="Q2" s="776">
        <f>'WH Schedule'!AD3</f>
        <v>19196718.75</v>
      </c>
      <c r="R2" s="776">
        <f>'WH Schedule'!AE3</f>
        <v>8725781.25</v>
      </c>
      <c r="S2" s="776">
        <f>'WH Schedule'!AF3</f>
        <v>12417300.000000002</v>
      </c>
      <c r="T2" s="777">
        <f>'WH Cost PPT'!S2+'WH Cost PPT'!R2+'WH Cost PPT'!Q2+'WH Cost PPT'!P2+'WH Cost PPT'!O2</f>
        <v>129445425</v>
      </c>
    </row>
    <row r="3" spans="1:20" ht="19.5" customHeight="1" x14ac:dyDescent="0.45">
      <c r="A3" s="778" t="str">
        <f>'WH Schedule'!A4</f>
        <v>Large 3PL Warehouses</v>
      </c>
      <c r="B3" s="779">
        <f>'WH Schedule'!E4</f>
        <v>75000</v>
      </c>
      <c r="C3" s="779">
        <f>'WH Schedule'!G4</f>
        <v>45000</v>
      </c>
      <c r="D3" s="779">
        <f>'WH Schedule'!AA4</f>
        <v>6804.0000000000009</v>
      </c>
      <c r="E3" s="779">
        <f>'WH Schedule'!O4</f>
        <v>36900</v>
      </c>
      <c r="F3" s="779">
        <f>'WH Schedule'!P4</f>
        <v>516600</v>
      </c>
      <c r="G3" s="779">
        <f>'WH Schedule'!S4</f>
        <v>25200.000000000004</v>
      </c>
      <c r="H3" s="779">
        <f>'WH Schedule'!T4</f>
        <v>352800.00000000006</v>
      </c>
      <c r="I3" s="779">
        <f>'WH Schedule'!U4</f>
        <v>12600.000000000002</v>
      </c>
      <c r="J3" s="779">
        <f>'WH Schedule'!V4</f>
        <v>176400.00000000003</v>
      </c>
      <c r="K3" s="779">
        <f>'WH Schedule'!W4</f>
        <v>4950</v>
      </c>
      <c r="L3" s="779">
        <f>'WH Schedule'!X4</f>
        <v>69300</v>
      </c>
      <c r="M3" s="779">
        <f>'WH Schedule'!Y4</f>
        <v>2250</v>
      </c>
      <c r="N3" s="779">
        <f>'WH Schedule'!Z4</f>
        <v>31500</v>
      </c>
      <c r="O3" s="779">
        <f>'WH Schedule'!AB4</f>
        <v>51738750.000000007</v>
      </c>
      <c r="P3" s="779">
        <f>'WH Schedule'!AC4</f>
        <v>37366875.000000007</v>
      </c>
      <c r="Q3" s="779">
        <f>'WH Schedule'!AD4</f>
        <v>19196718.75</v>
      </c>
      <c r="R3" s="779">
        <f>'WH Schedule'!AE4</f>
        <v>8725781.25</v>
      </c>
      <c r="S3" s="779">
        <f>'WH Schedule'!AF4</f>
        <v>12417300.000000002</v>
      </c>
      <c r="T3" s="780">
        <f>'WH Cost PPT'!S3+'WH Cost PPT'!R3+'WH Cost PPT'!Q3+'WH Cost PPT'!P3+'WH Cost PPT'!O3</f>
        <v>129445425</v>
      </c>
    </row>
    <row r="4" spans="1:20" ht="19.5" customHeight="1" x14ac:dyDescent="0.45">
      <c r="A4" s="778" t="str">
        <f>'WH Schedule'!A5</f>
        <v>Modular Warehouses</v>
      </c>
      <c r="B4" s="779">
        <f>'WH Schedule'!E5</f>
        <v>45000</v>
      </c>
      <c r="C4" s="779">
        <f>'WH Schedule'!G5</f>
        <v>27000</v>
      </c>
      <c r="D4" s="779">
        <f>'WH Schedule'!AA5</f>
        <v>4082.4000000000005</v>
      </c>
      <c r="E4" s="779">
        <f>'WH Schedule'!O5</f>
        <v>22140</v>
      </c>
      <c r="F4" s="779">
        <f>'WH Schedule'!P5</f>
        <v>309960</v>
      </c>
      <c r="G4" s="779">
        <f>'WH Schedule'!S5</f>
        <v>15120.000000000002</v>
      </c>
      <c r="H4" s="779">
        <f>'WH Schedule'!T5</f>
        <v>211680.00000000003</v>
      </c>
      <c r="I4" s="779">
        <f>'WH Schedule'!U5</f>
        <v>7560.0000000000009</v>
      </c>
      <c r="J4" s="779">
        <f>'WH Schedule'!V5</f>
        <v>105840.00000000001</v>
      </c>
      <c r="K4" s="779">
        <f>'WH Schedule'!W5</f>
        <v>2970</v>
      </c>
      <c r="L4" s="779">
        <f>'WH Schedule'!X5</f>
        <v>41580</v>
      </c>
      <c r="M4" s="779">
        <f>'WH Schedule'!Y5</f>
        <v>1350</v>
      </c>
      <c r="N4" s="779">
        <f>'WH Schedule'!Z5</f>
        <v>18900</v>
      </c>
      <c r="O4" s="779">
        <f>'WH Schedule'!AB5</f>
        <v>31043250.000000004</v>
      </c>
      <c r="P4" s="779">
        <f>'WH Schedule'!AC5</f>
        <v>22420125.000000004</v>
      </c>
      <c r="Q4" s="779">
        <f>'WH Schedule'!AD5</f>
        <v>11518031.25</v>
      </c>
      <c r="R4" s="779">
        <f>'WH Schedule'!AE5</f>
        <v>5235468.75</v>
      </c>
      <c r="S4" s="779">
        <f>'WH Schedule'!AF5</f>
        <v>7450380.0000000009</v>
      </c>
      <c r="T4" s="780">
        <f>'WH Cost PPT'!S4+'WH Cost PPT'!R4+'WH Cost PPT'!Q4+'WH Cost PPT'!P4+'WH Cost PPT'!O4</f>
        <v>77667255</v>
      </c>
    </row>
    <row r="5" spans="1:20" ht="19.5" customHeight="1" x14ac:dyDescent="0.45">
      <c r="A5" s="778" t="str">
        <f>'WH Schedule'!A6</f>
        <v>Modular Warehouses</v>
      </c>
      <c r="B5" s="779">
        <f>'WH Schedule'!E6</f>
        <v>45000</v>
      </c>
      <c r="C5" s="779">
        <f>'WH Schedule'!G6</f>
        <v>27000</v>
      </c>
      <c r="D5" s="779">
        <f>'WH Schedule'!AA6</f>
        <v>4082.4000000000005</v>
      </c>
      <c r="E5" s="779">
        <f>'WH Schedule'!O6</f>
        <v>22140</v>
      </c>
      <c r="F5" s="779">
        <f>'WH Schedule'!P6</f>
        <v>309960</v>
      </c>
      <c r="G5" s="779">
        <f>'WH Schedule'!S6</f>
        <v>15120.000000000002</v>
      </c>
      <c r="H5" s="779">
        <f>'WH Schedule'!T6</f>
        <v>211680.00000000003</v>
      </c>
      <c r="I5" s="779">
        <f>'WH Schedule'!U6</f>
        <v>7560.0000000000009</v>
      </c>
      <c r="J5" s="779">
        <f>'WH Schedule'!V6</f>
        <v>105840.00000000001</v>
      </c>
      <c r="K5" s="779">
        <f>'WH Schedule'!W6</f>
        <v>2970</v>
      </c>
      <c r="L5" s="779">
        <f>'WH Schedule'!X6</f>
        <v>41580</v>
      </c>
      <c r="M5" s="779">
        <f>'WH Schedule'!Y6</f>
        <v>1350</v>
      </c>
      <c r="N5" s="779">
        <f>'WH Schedule'!Z6</f>
        <v>18900</v>
      </c>
      <c r="O5" s="779">
        <f>'WH Schedule'!AB6</f>
        <v>31043250.000000004</v>
      </c>
      <c r="P5" s="779">
        <f>'WH Schedule'!AC6</f>
        <v>22420125.000000004</v>
      </c>
      <c r="Q5" s="779">
        <f>'WH Schedule'!AD6</f>
        <v>11518031.25</v>
      </c>
      <c r="R5" s="779">
        <f>'WH Schedule'!AE6</f>
        <v>5235468.75</v>
      </c>
      <c r="S5" s="779">
        <f>'WH Schedule'!AF6</f>
        <v>7450380.0000000009</v>
      </c>
      <c r="T5" s="780">
        <f>'WH Cost PPT'!S5+'WH Cost PPT'!R5+'WH Cost PPT'!Q5+'WH Cost PPT'!P5+'WH Cost PPT'!O5</f>
        <v>77667255</v>
      </c>
    </row>
    <row r="6" spans="1:20" ht="19.5" customHeight="1" x14ac:dyDescent="0.45">
      <c r="A6" s="778" t="str">
        <f>'WH Schedule'!A7</f>
        <v>Modular Warehouses</v>
      </c>
      <c r="B6" s="779">
        <f>'WH Schedule'!E7</f>
        <v>45000</v>
      </c>
      <c r="C6" s="779">
        <f>'WH Schedule'!G7</f>
        <v>27000</v>
      </c>
      <c r="D6" s="779">
        <f>'WH Schedule'!AA7</f>
        <v>4082.4000000000005</v>
      </c>
      <c r="E6" s="779">
        <f>'WH Schedule'!O7</f>
        <v>22140</v>
      </c>
      <c r="F6" s="779">
        <f>'WH Schedule'!P7</f>
        <v>309960</v>
      </c>
      <c r="G6" s="779">
        <f>'WH Schedule'!S7</f>
        <v>15120.000000000002</v>
      </c>
      <c r="H6" s="779">
        <f>'WH Schedule'!T7</f>
        <v>211680.00000000003</v>
      </c>
      <c r="I6" s="779">
        <f>'WH Schedule'!U7</f>
        <v>7560.0000000000009</v>
      </c>
      <c r="J6" s="779">
        <f>'WH Schedule'!V7</f>
        <v>105840.00000000001</v>
      </c>
      <c r="K6" s="779">
        <f>'WH Schedule'!W7</f>
        <v>2970</v>
      </c>
      <c r="L6" s="779">
        <f>'WH Schedule'!X7</f>
        <v>41580</v>
      </c>
      <c r="M6" s="779">
        <f>'WH Schedule'!Y7</f>
        <v>1350</v>
      </c>
      <c r="N6" s="779">
        <f>'WH Schedule'!Z7</f>
        <v>18900</v>
      </c>
      <c r="O6" s="779">
        <f>'WH Schedule'!AB7</f>
        <v>31043250.000000004</v>
      </c>
      <c r="P6" s="779">
        <f>'WH Schedule'!AC7</f>
        <v>22420125.000000004</v>
      </c>
      <c r="Q6" s="779">
        <f>'WH Schedule'!AD7</f>
        <v>11518031.25</v>
      </c>
      <c r="R6" s="779">
        <f>'WH Schedule'!AE7</f>
        <v>5235468.75</v>
      </c>
      <c r="S6" s="779">
        <f>'WH Schedule'!AF7</f>
        <v>7450380.0000000009</v>
      </c>
      <c r="T6" s="780">
        <f>'WH Cost PPT'!S6+'WH Cost PPT'!R6+'WH Cost PPT'!Q6+'WH Cost PPT'!P6+'WH Cost PPT'!O6</f>
        <v>77667255</v>
      </c>
    </row>
    <row r="7" spans="1:20" ht="19.5" customHeight="1" x14ac:dyDescent="0.45">
      <c r="A7" s="778" t="str">
        <f>'WH Schedule'!A8</f>
        <v>Small Modular Warehouses</v>
      </c>
      <c r="B7" s="779">
        <f>'WH Schedule'!E8</f>
        <v>32667</v>
      </c>
      <c r="C7" s="779">
        <f>'WH Schedule'!G8</f>
        <v>19600.2</v>
      </c>
      <c r="D7" s="779">
        <f>'WH Schedule'!AA8</f>
        <v>2963.55024</v>
      </c>
      <c r="E7" s="779">
        <f>'WH Schedule'!O8</f>
        <v>16072.164000000002</v>
      </c>
      <c r="F7" s="779">
        <f>'WH Schedule'!P8</f>
        <v>225010.29600000003</v>
      </c>
      <c r="G7" s="779">
        <f>'WH Schedule'!S8</f>
        <v>10976.112000000001</v>
      </c>
      <c r="H7" s="779">
        <f>'WH Schedule'!T8</f>
        <v>153665.56800000003</v>
      </c>
      <c r="I7" s="779">
        <f>'WH Schedule'!U8</f>
        <v>5488.0560000000005</v>
      </c>
      <c r="J7" s="779">
        <f>'WH Schedule'!V8</f>
        <v>76832.784000000014</v>
      </c>
      <c r="K7" s="779">
        <f>'WH Schedule'!W8</f>
        <v>2156.0219999999999</v>
      </c>
      <c r="L7" s="779">
        <f>'WH Schedule'!X8</f>
        <v>30184.307999999997</v>
      </c>
      <c r="M7" s="779">
        <f>'WH Schedule'!Y8</f>
        <v>980.0100000000001</v>
      </c>
      <c r="N7" s="779">
        <f>'WH Schedule'!Z8</f>
        <v>13720.140000000001</v>
      </c>
      <c r="O7" s="779">
        <f>'WH Schedule'!AB8</f>
        <v>22535329.950000003</v>
      </c>
      <c r="P7" s="779">
        <f>'WH Schedule'!AC8</f>
        <v>16275516.075000001</v>
      </c>
      <c r="Q7" s="779">
        <f>'WH Schedule'!AD8</f>
        <v>8361322.8187499996</v>
      </c>
      <c r="R7" s="779">
        <f>'WH Schedule'!AE8</f>
        <v>3800601.2812500005</v>
      </c>
      <c r="S7" s="779">
        <f>'WH Schedule'!AF8</f>
        <v>5408479.1880000001</v>
      </c>
      <c r="T7" s="780">
        <f>'WH Cost PPT'!S7+'WH Cost PPT'!R7+'WH Cost PPT'!Q7+'WH Cost PPT'!P7+'WH Cost PPT'!O7</f>
        <v>56381249.313000008</v>
      </c>
    </row>
    <row r="8" spans="1:20" ht="19.5" customHeight="1" x14ac:dyDescent="0.45">
      <c r="A8" s="778" t="str">
        <f>'WH Schedule'!A9</f>
        <v>Small Modular Warehouses</v>
      </c>
      <c r="B8" s="779">
        <f>'WH Schedule'!E9</f>
        <v>32667</v>
      </c>
      <c r="C8" s="779">
        <f>'WH Schedule'!G9</f>
        <v>19600.2</v>
      </c>
      <c r="D8" s="779">
        <f>'WH Schedule'!AA9</f>
        <v>2963.55024</v>
      </c>
      <c r="E8" s="779">
        <f>'WH Schedule'!O9</f>
        <v>16072.164000000002</v>
      </c>
      <c r="F8" s="779">
        <f>'WH Schedule'!P9</f>
        <v>225010.29600000003</v>
      </c>
      <c r="G8" s="779">
        <f>'WH Schedule'!S9</f>
        <v>10976.112000000001</v>
      </c>
      <c r="H8" s="779">
        <f>'WH Schedule'!T9</f>
        <v>153665.56800000003</v>
      </c>
      <c r="I8" s="779">
        <f>'WH Schedule'!U9</f>
        <v>5488.0560000000005</v>
      </c>
      <c r="J8" s="779">
        <f>'WH Schedule'!V9</f>
        <v>76832.784000000014</v>
      </c>
      <c r="K8" s="779">
        <f>'WH Schedule'!W9</f>
        <v>2156.0219999999999</v>
      </c>
      <c r="L8" s="779">
        <f>'WH Schedule'!X9</f>
        <v>30184.307999999997</v>
      </c>
      <c r="M8" s="779">
        <f>'WH Schedule'!Y9</f>
        <v>980.0100000000001</v>
      </c>
      <c r="N8" s="779">
        <f>'WH Schedule'!Z9</f>
        <v>13720.140000000001</v>
      </c>
      <c r="O8" s="779">
        <f>'WH Schedule'!AB9</f>
        <v>22535329.950000003</v>
      </c>
      <c r="P8" s="779">
        <f>'WH Schedule'!AC9</f>
        <v>16275516.075000001</v>
      </c>
      <c r="Q8" s="779">
        <f>'WH Schedule'!AD9</f>
        <v>8361322.8187499996</v>
      </c>
      <c r="R8" s="779">
        <f>'WH Schedule'!AE9</f>
        <v>3800601.2812500005</v>
      </c>
      <c r="S8" s="779">
        <f>'WH Schedule'!AF9</f>
        <v>5408479.1880000001</v>
      </c>
      <c r="T8" s="780">
        <f>'WH Cost PPT'!S8+'WH Cost PPT'!R8+'WH Cost PPT'!Q8+'WH Cost PPT'!P8+'WH Cost PPT'!O8</f>
        <v>56381249.313000008</v>
      </c>
    </row>
    <row r="9" spans="1:20" ht="19.5" hidden="1" customHeight="1" x14ac:dyDescent="0.45">
      <c r="A9" s="778">
        <f>'WH Schedule'!A10</f>
        <v>0</v>
      </c>
      <c r="B9" s="779">
        <f>'WH Schedule'!E10</f>
        <v>0</v>
      </c>
      <c r="C9" s="779">
        <f>'WH Schedule'!G10</f>
        <v>0</v>
      </c>
      <c r="D9" s="779">
        <f>'WH Schedule'!AA10</f>
        <v>0</v>
      </c>
      <c r="E9" s="779">
        <f>'WH Schedule'!O10</f>
        <v>0</v>
      </c>
      <c r="F9" s="779">
        <f>'WH Schedule'!P10</f>
        <v>0</v>
      </c>
      <c r="G9" s="779">
        <f>'WH Schedule'!S10</f>
        <v>0</v>
      </c>
      <c r="H9" s="779">
        <f>'WH Schedule'!T10</f>
        <v>0</v>
      </c>
      <c r="I9" s="779">
        <f>'WH Schedule'!U10</f>
        <v>0</v>
      </c>
      <c r="J9" s="779">
        <f>'WH Schedule'!V10</f>
        <v>0</v>
      </c>
      <c r="K9" s="779">
        <f>'WH Schedule'!W10</f>
        <v>0</v>
      </c>
      <c r="L9" s="779">
        <f>'WH Schedule'!X10</f>
        <v>0</v>
      </c>
      <c r="M9" s="779">
        <f>'WH Schedule'!Y10</f>
        <v>0</v>
      </c>
      <c r="N9" s="779">
        <f>'WH Schedule'!Z10</f>
        <v>0</v>
      </c>
      <c r="O9" s="779">
        <f>'WH Schedule'!AB10</f>
        <v>0</v>
      </c>
      <c r="P9" s="779">
        <f>'WH Schedule'!AC10</f>
        <v>0</v>
      </c>
      <c r="Q9" s="779">
        <f>'WH Schedule'!AD10</f>
        <v>0</v>
      </c>
      <c r="R9" s="779">
        <f>'WH Schedule'!AE10</f>
        <v>0</v>
      </c>
      <c r="S9" s="779">
        <f>'WH Schedule'!AF10</f>
        <v>0</v>
      </c>
      <c r="T9" s="780">
        <f>'WH Cost PPT'!S9+'WH Cost PPT'!R9+'WH Cost PPT'!Q9+'WH Cost PPT'!P9+'WH Cost PPT'!O9</f>
        <v>0</v>
      </c>
    </row>
    <row r="10" spans="1:20" ht="19.5" hidden="1" customHeight="1" x14ac:dyDescent="0.45">
      <c r="A10" s="778">
        <f>'WH Schedule'!A11</f>
        <v>0</v>
      </c>
      <c r="B10" s="779">
        <f>'WH Schedule'!E11</f>
        <v>0</v>
      </c>
      <c r="C10" s="779">
        <f>'WH Schedule'!G11</f>
        <v>0</v>
      </c>
      <c r="D10" s="779">
        <f>'WH Schedule'!AA11</f>
        <v>0</v>
      </c>
      <c r="E10" s="779">
        <f>'WH Schedule'!O11</f>
        <v>0</v>
      </c>
      <c r="F10" s="779">
        <f>'WH Schedule'!P11</f>
        <v>0</v>
      </c>
      <c r="G10" s="779">
        <f>'WH Schedule'!S11</f>
        <v>0</v>
      </c>
      <c r="H10" s="779">
        <f>'WH Schedule'!T11</f>
        <v>0</v>
      </c>
      <c r="I10" s="779">
        <f>'WH Schedule'!U11</f>
        <v>0</v>
      </c>
      <c r="J10" s="779">
        <f>'WH Schedule'!V11</f>
        <v>0</v>
      </c>
      <c r="K10" s="779">
        <f>'WH Schedule'!W11</f>
        <v>0</v>
      </c>
      <c r="L10" s="779">
        <f>'WH Schedule'!X11</f>
        <v>0</v>
      </c>
      <c r="M10" s="779">
        <f>'WH Schedule'!Y11</f>
        <v>0</v>
      </c>
      <c r="N10" s="779">
        <f>'WH Schedule'!Z11</f>
        <v>0</v>
      </c>
      <c r="O10" s="779">
        <f>'WH Schedule'!AB11</f>
        <v>0</v>
      </c>
      <c r="P10" s="779">
        <f>'WH Schedule'!AC11</f>
        <v>0</v>
      </c>
      <c r="Q10" s="779">
        <f>'WH Schedule'!AD11</f>
        <v>0</v>
      </c>
      <c r="R10" s="779">
        <f>'WH Schedule'!AE11</f>
        <v>0</v>
      </c>
      <c r="S10" s="779">
        <f>'WH Schedule'!AF11</f>
        <v>0</v>
      </c>
      <c r="T10" s="780">
        <f>'WH Cost PPT'!S10+'WH Cost PPT'!R10+'WH Cost PPT'!Q10+'WH Cost PPT'!P10+'WH Cost PPT'!O10</f>
        <v>0</v>
      </c>
    </row>
    <row r="11" spans="1:20" ht="19.5" hidden="1" customHeight="1" x14ac:dyDescent="0.45">
      <c r="A11" s="778">
        <f>'WH Schedule'!A12</f>
        <v>0</v>
      </c>
      <c r="B11" s="779">
        <f>'WH Schedule'!E12</f>
        <v>0</v>
      </c>
      <c r="C11" s="779">
        <f>'WH Schedule'!G12</f>
        <v>0</v>
      </c>
      <c r="D11" s="779">
        <f>'WH Schedule'!AA12</f>
        <v>0</v>
      </c>
      <c r="E11" s="779">
        <f>'WH Schedule'!O12</f>
        <v>0</v>
      </c>
      <c r="F11" s="779">
        <f>'WH Schedule'!P12</f>
        <v>0</v>
      </c>
      <c r="G11" s="779">
        <f>'WH Schedule'!S12</f>
        <v>0</v>
      </c>
      <c r="H11" s="779">
        <f>'WH Schedule'!T12</f>
        <v>0</v>
      </c>
      <c r="I11" s="779">
        <f>'WH Schedule'!U12</f>
        <v>0</v>
      </c>
      <c r="J11" s="779">
        <f>'WH Schedule'!V12</f>
        <v>0</v>
      </c>
      <c r="K11" s="779">
        <f>'WH Schedule'!W12</f>
        <v>0</v>
      </c>
      <c r="L11" s="779">
        <f>'WH Schedule'!X12</f>
        <v>0</v>
      </c>
      <c r="M11" s="779">
        <f>'WH Schedule'!Y12</f>
        <v>0</v>
      </c>
      <c r="N11" s="779">
        <f>'WH Schedule'!Z12</f>
        <v>0</v>
      </c>
      <c r="O11" s="779">
        <f>'WH Schedule'!AB12</f>
        <v>0</v>
      </c>
      <c r="P11" s="779">
        <f>'WH Schedule'!AC12</f>
        <v>0</v>
      </c>
      <c r="Q11" s="779">
        <f>'WH Schedule'!AD12</f>
        <v>0</v>
      </c>
      <c r="R11" s="779">
        <f>'WH Schedule'!AE12</f>
        <v>0</v>
      </c>
      <c r="S11" s="779">
        <f>'WH Schedule'!AF12</f>
        <v>0</v>
      </c>
      <c r="T11" s="780">
        <f>'WH Cost PPT'!S11+'WH Cost PPT'!R11+'WH Cost PPT'!Q11+'WH Cost PPT'!P11+'WH Cost PPT'!O11</f>
        <v>0</v>
      </c>
    </row>
    <row r="12" spans="1:20" ht="19.5" customHeight="1" x14ac:dyDescent="0.45">
      <c r="A12" s="778" t="str">
        <f>'WH Schedule'!A13</f>
        <v>Specialised warehouses</v>
      </c>
      <c r="B12" s="779">
        <f>'WH Schedule'!E13</f>
        <v>20416.666666666668</v>
      </c>
      <c r="C12" s="779">
        <f>'WH Schedule'!G13</f>
        <v>12250</v>
      </c>
      <c r="D12" s="779">
        <f>'WH Schedule'!AA13</f>
        <v>2205</v>
      </c>
      <c r="E12" s="779">
        <f>'WH Schedule'!O13</f>
        <v>10045</v>
      </c>
      <c r="F12" s="779">
        <f>'WH Schedule'!P13</f>
        <v>90405</v>
      </c>
      <c r="G12" s="779">
        <f>'WH Schedule'!S13</f>
        <v>0</v>
      </c>
      <c r="H12" s="779">
        <f>'WH Schedule'!T13</f>
        <v>0</v>
      </c>
      <c r="I12" s="779">
        <f>'WH Schedule'!U13</f>
        <v>12250</v>
      </c>
      <c r="J12" s="779">
        <f>'WH Schedule'!V13</f>
        <v>110250</v>
      </c>
      <c r="K12" s="779">
        <f>'WH Schedule'!W13</f>
        <v>0</v>
      </c>
      <c r="L12" s="779">
        <f>'WH Schedule'!X13</f>
        <v>0</v>
      </c>
      <c r="M12" s="779">
        <f>'WH Schedule'!Y13</f>
        <v>0</v>
      </c>
      <c r="N12" s="779">
        <f>'WH Schedule'!Z13</f>
        <v>0</v>
      </c>
      <c r="O12" s="779">
        <f>'WH Schedule'!AB13</f>
        <v>0</v>
      </c>
      <c r="P12" s="779">
        <f>'WH Schedule'!AC13</f>
        <v>33967527.34375</v>
      </c>
      <c r="Q12" s="779">
        <f>'WH Schedule'!AD13</f>
        <v>0</v>
      </c>
      <c r="R12" s="779">
        <f>'WH Schedule'!AE13</f>
        <v>0</v>
      </c>
      <c r="S12" s="779">
        <f>'WH Schedule'!AF13</f>
        <v>4024125</v>
      </c>
      <c r="T12" s="780">
        <f>'WH Cost PPT'!S12+'WH Cost PPT'!R12+'WH Cost PPT'!Q12+'WH Cost PPT'!P12+'WH Cost PPT'!O12</f>
        <v>37991652.34375</v>
      </c>
    </row>
    <row r="13" spans="1:20" ht="19.5" hidden="1" customHeight="1" x14ac:dyDescent="0.45">
      <c r="A13" s="778">
        <f>'WH Schedule'!A14</f>
        <v>0</v>
      </c>
      <c r="B13" s="779">
        <f>'WH Schedule'!E14</f>
        <v>0</v>
      </c>
      <c r="C13" s="779">
        <f>'WH Schedule'!G14</f>
        <v>0</v>
      </c>
      <c r="D13" s="779">
        <f>'WH Schedule'!AA14</f>
        <v>0</v>
      </c>
      <c r="E13" s="779">
        <f>'WH Schedule'!O14</f>
        <v>0</v>
      </c>
      <c r="F13" s="779">
        <f>'WH Schedule'!P14</f>
        <v>0</v>
      </c>
      <c r="G13" s="779">
        <f>'WH Schedule'!S14</f>
        <v>0</v>
      </c>
      <c r="H13" s="779">
        <f>'WH Schedule'!T14</f>
        <v>0</v>
      </c>
      <c r="I13" s="779">
        <f>'WH Schedule'!U14</f>
        <v>0</v>
      </c>
      <c r="J13" s="779">
        <f>'WH Schedule'!V14</f>
        <v>0</v>
      </c>
      <c r="K13" s="779">
        <f>'WH Schedule'!W14</f>
        <v>0</v>
      </c>
      <c r="L13" s="779">
        <f>'WH Schedule'!X14</f>
        <v>0</v>
      </c>
      <c r="M13" s="779">
        <f>'WH Schedule'!Y14</f>
        <v>0</v>
      </c>
      <c r="N13" s="779">
        <f>'WH Schedule'!Z14</f>
        <v>0</v>
      </c>
      <c r="O13" s="779">
        <f>'WH Schedule'!AB14</f>
        <v>0</v>
      </c>
      <c r="P13" s="779">
        <f>'WH Schedule'!AC14</f>
        <v>0</v>
      </c>
      <c r="Q13" s="779">
        <f>'WH Schedule'!AD14</f>
        <v>0</v>
      </c>
      <c r="R13" s="779">
        <f>'WH Schedule'!AE14</f>
        <v>0</v>
      </c>
      <c r="S13" s="779">
        <f>'WH Schedule'!AF14</f>
        <v>0</v>
      </c>
      <c r="T13" s="780">
        <f>'WH Cost PPT'!S13+'WH Cost PPT'!R13+'WH Cost PPT'!Q13+'WH Cost PPT'!P13+'WH Cost PPT'!O13</f>
        <v>0</v>
      </c>
    </row>
    <row r="14" spans="1:20" ht="19.5" hidden="1" customHeight="1" x14ac:dyDescent="0.45">
      <c r="A14" s="778">
        <f>'WH Schedule'!A15</f>
        <v>0</v>
      </c>
      <c r="B14" s="779">
        <f>'WH Schedule'!E15</f>
        <v>0</v>
      </c>
      <c r="C14" s="779">
        <f>'WH Schedule'!G15</f>
        <v>0</v>
      </c>
      <c r="D14" s="779">
        <f>'WH Schedule'!AA15</f>
        <v>0</v>
      </c>
      <c r="E14" s="779">
        <f>'WH Schedule'!O15</f>
        <v>0</v>
      </c>
      <c r="F14" s="779">
        <f>'WH Schedule'!P15</f>
        <v>0</v>
      </c>
      <c r="G14" s="779">
        <f>'WH Schedule'!S15</f>
        <v>0</v>
      </c>
      <c r="H14" s="779">
        <f>'WH Schedule'!T15</f>
        <v>0</v>
      </c>
      <c r="I14" s="779">
        <f>'WH Schedule'!U15</f>
        <v>0</v>
      </c>
      <c r="J14" s="779">
        <f>'WH Schedule'!V15</f>
        <v>0</v>
      </c>
      <c r="K14" s="779">
        <f>'WH Schedule'!W15</f>
        <v>0</v>
      </c>
      <c r="L14" s="779">
        <f>'WH Schedule'!X15</f>
        <v>0</v>
      </c>
      <c r="M14" s="779">
        <f>'WH Schedule'!Y15</f>
        <v>0</v>
      </c>
      <c r="N14" s="779">
        <f>'WH Schedule'!Z15</f>
        <v>0</v>
      </c>
      <c r="O14" s="779">
        <f>'WH Schedule'!AB15</f>
        <v>0</v>
      </c>
      <c r="P14" s="779">
        <f>'WH Schedule'!AC15</f>
        <v>0</v>
      </c>
      <c r="Q14" s="779">
        <f>'WH Schedule'!AD15</f>
        <v>0</v>
      </c>
      <c r="R14" s="779">
        <f>'WH Schedule'!AE15</f>
        <v>0</v>
      </c>
      <c r="S14" s="779">
        <f>'WH Schedule'!AF15</f>
        <v>0</v>
      </c>
      <c r="T14" s="780">
        <f>'WH Cost PPT'!S14+'WH Cost PPT'!R14+'WH Cost PPT'!Q14+'WH Cost PPT'!P14+'WH Cost PPT'!O14</f>
        <v>0</v>
      </c>
    </row>
    <row r="15" spans="1:20" ht="19.5" hidden="1" customHeight="1" x14ac:dyDescent="0.45">
      <c r="A15" s="778">
        <f>'WH Schedule'!A16</f>
        <v>0</v>
      </c>
      <c r="B15" s="779">
        <f>'WH Schedule'!E16</f>
        <v>0</v>
      </c>
      <c r="C15" s="779">
        <f>'WH Schedule'!G16</f>
        <v>0</v>
      </c>
      <c r="D15" s="779">
        <f>'WH Schedule'!AA16</f>
        <v>0</v>
      </c>
      <c r="E15" s="779">
        <f>'WH Schedule'!O16</f>
        <v>0</v>
      </c>
      <c r="F15" s="779">
        <f>'WH Schedule'!P16</f>
        <v>0</v>
      </c>
      <c r="G15" s="779">
        <f>'WH Schedule'!S16</f>
        <v>0</v>
      </c>
      <c r="H15" s="779">
        <f>'WH Schedule'!T16</f>
        <v>0</v>
      </c>
      <c r="I15" s="779">
        <f>'WH Schedule'!U16</f>
        <v>0</v>
      </c>
      <c r="J15" s="779">
        <f>'WH Schedule'!V16</f>
        <v>0</v>
      </c>
      <c r="K15" s="779">
        <f>'WH Schedule'!W16</f>
        <v>0</v>
      </c>
      <c r="L15" s="779">
        <f>'WH Schedule'!X16</f>
        <v>0</v>
      </c>
      <c r="M15" s="779">
        <f>'WH Schedule'!Y16</f>
        <v>0</v>
      </c>
      <c r="N15" s="779">
        <f>'WH Schedule'!Z16</f>
        <v>0</v>
      </c>
      <c r="O15" s="779">
        <f>'WH Schedule'!AB16</f>
        <v>0</v>
      </c>
      <c r="P15" s="779">
        <f>'WH Schedule'!AC16</f>
        <v>0</v>
      </c>
      <c r="Q15" s="779">
        <f>'WH Schedule'!AD16</f>
        <v>0</v>
      </c>
      <c r="R15" s="779">
        <f>'WH Schedule'!AE16</f>
        <v>0</v>
      </c>
      <c r="S15" s="779">
        <f>'WH Schedule'!AF16</f>
        <v>0</v>
      </c>
      <c r="T15" s="780">
        <f>'WH Cost PPT'!S15+'WH Cost PPT'!R15+'WH Cost PPT'!Q15+'WH Cost PPT'!P15+'WH Cost PPT'!O15</f>
        <v>0</v>
      </c>
    </row>
    <row r="16" spans="1:20" ht="19.5" customHeight="1" x14ac:dyDescent="0.45">
      <c r="A16" s="778" t="str">
        <f>'WH Schedule'!A17</f>
        <v>Covered Yard</v>
      </c>
      <c r="B16" s="779">
        <f>'WH Schedule'!E17</f>
        <v>13000</v>
      </c>
      <c r="C16" s="779">
        <f>'WH Schedule'!G17</f>
        <v>12350</v>
      </c>
      <c r="D16" s="779">
        <f>'WH Schedule'!AA17</f>
        <v>0</v>
      </c>
      <c r="E16" s="779">
        <f>'WH Schedule'!O17</f>
        <v>10127</v>
      </c>
      <c r="F16" s="779">
        <f>'WH Schedule'!P17</f>
        <v>63800.1</v>
      </c>
      <c r="G16" s="779">
        <f>'WH Schedule'!S17</f>
        <v>12350</v>
      </c>
      <c r="H16" s="779">
        <f>'WH Schedule'!T17</f>
        <v>77805</v>
      </c>
      <c r="I16" s="779">
        <f>'WH Schedule'!U17</f>
        <v>0</v>
      </c>
      <c r="J16" s="779">
        <f>'WH Schedule'!V17</f>
        <v>0</v>
      </c>
      <c r="K16" s="779">
        <f>'WH Schedule'!W17</f>
        <v>0</v>
      </c>
      <c r="L16" s="779">
        <f>'WH Schedule'!X17</f>
        <v>0</v>
      </c>
      <c r="M16" s="779">
        <f>'WH Schedule'!Y17</f>
        <v>0</v>
      </c>
      <c r="N16" s="779">
        <f>'WH Schedule'!Z17</f>
        <v>0</v>
      </c>
      <c r="O16" s="779">
        <f>'WH Schedule'!AB17</f>
        <v>15215200</v>
      </c>
      <c r="P16" s="779">
        <f>'WH Schedule'!AC17</f>
        <v>0</v>
      </c>
      <c r="Q16" s="779">
        <f>'WH Schedule'!AD17</f>
        <v>0</v>
      </c>
      <c r="R16" s="779">
        <f>'WH Schedule'!AE17</f>
        <v>0</v>
      </c>
      <c r="S16" s="779">
        <f>'WH Schedule'!AF17</f>
        <v>0</v>
      </c>
      <c r="T16" s="780">
        <f>'WH Cost PPT'!S16+'WH Cost PPT'!R16+'WH Cost PPT'!Q16+'WH Cost PPT'!P16+'WH Cost PPT'!O16</f>
        <v>15215200</v>
      </c>
    </row>
    <row r="17" spans="1:22" ht="19.5" customHeight="1" thickBot="1" x14ac:dyDescent="0.5">
      <c r="A17" s="781" t="str">
        <f>'WH Schedule'!A18</f>
        <v>Open Yard</v>
      </c>
      <c r="B17" s="782">
        <f>'WH Schedule'!E18</f>
        <v>44390</v>
      </c>
      <c r="C17" s="782">
        <f>'WH Schedule'!G18</f>
        <v>42170.5</v>
      </c>
      <c r="D17" s="782">
        <f>'WH Schedule'!AA18</f>
        <v>0</v>
      </c>
      <c r="E17" s="782">
        <f>'WH Schedule'!O18</f>
        <v>34579.810000000005</v>
      </c>
      <c r="F17" s="782">
        <f>'WH Schedule'!P18</f>
        <v>217852.80300000001</v>
      </c>
      <c r="G17" s="782">
        <f>'WH Schedule'!S18</f>
        <v>42170.5</v>
      </c>
      <c r="H17" s="782">
        <f>'WH Schedule'!T18</f>
        <v>265674.14999999997</v>
      </c>
      <c r="I17" s="782">
        <f>'WH Schedule'!U18</f>
        <v>0</v>
      </c>
      <c r="J17" s="782">
        <f>'WH Schedule'!V18</f>
        <v>0</v>
      </c>
      <c r="K17" s="782">
        <f>'WH Schedule'!W18</f>
        <v>0</v>
      </c>
      <c r="L17" s="782">
        <f>'WH Schedule'!X18</f>
        <v>0</v>
      </c>
      <c r="M17" s="782">
        <f>'WH Schedule'!Y18</f>
        <v>0</v>
      </c>
      <c r="N17" s="782">
        <f>'WH Schedule'!Z18</f>
        <v>0</v>
      </c>
      <c r="O17" s="782">
        <f>'WH Schedule'!AB18</f>
        <v>23088348.75</v>
      </c>
      <c r="P17" s="782">
        <f>'WH Schedule'!AC18</f>
        <v>0</v>
      </c>
      <c r="Q17" s="782">
        <f>'WH Schedule'!AD18</f>
        <v>0</v>
      </c>
      <c r="R17" s="782">
        <f>'WH Schedule'!AE18</f>
        <v>0</v>
      </c>
      <c r="S17" s="782">
        <f>'WH Schedule'!AF18</f>
        <v>0</v>
      </c>
      <c r="T17" s="783">
        <f>'WH Cost PPT'!S17+'WH Cost PPT'!R17+'WH Cost PPT'!Q17+'WH Cost PPT'!P17+'WH Cost PPT'!O17</f>
        <v>23088348.75</v>
      </c>
    </row>
    <row r="18" spans="1:22" ht="19.5" hidden="1" customHeight="1" x14ac:dyDescent="0.45">
      <c r="A18" s="784"/>
      <c r="B18" s="785">
        <f>'WH Schedule'!E19</f>
        <v>0</v>
      </c>
      <c r="C18" s="785">
        <f>'WH Schedule'!G19</f>
        <v>0</v>
      </c>
      <c r="D18" s="785">
        <f>'WH Schedule'!AA19</f>
        <v>0</v>
      </c>
      <c r="E18" s="785">
        <f>'WH Schedule'!O19</f>
        <v>0</v>
      </c>
      <c r="F18" s="785">
        <f>'WH Schedule'!P19</f>
        <v>0</v>
      </c>
      <c r="G18" s="785">
        <f>'WH Schedule'!S19</f>
        <v>0</v>
      </c>
      <c r="H18" s="785">
        <f>'WH Schedule'!T19</f>
        <v>0</v>
      </c>
      <c r="I18" s="785">
        <f>'WH Schedule'!U19</f>
        <v>0</v>
      </c>
      <c r="J18" s="785">
        <f>'WH Schedule'!V19</f>
        <v>0</v>
      </c>
      <c r="K18" s="785">
        <f>'WH Schedule'!W19</f>
        <v>0</v>
      </c>
      <c r="L18" s="785">
        <f>'WH Schedule'!X19</f>
        <v>0</v>
      </c>
      <c r="M18" s="785">
        <f>'WH Schedule'!Y19</f>
        <v>0</v>
      </c>
      <c r="N18" s="785">
        <f>'WH Schedule'!Z19</f>
        <v>0</v>
      </c>
      <c r="O18" s="785">
        <f>'WH Schedule'!AB19</f>
        <v>0</v>
      </c>
      <c r="P18" s="785">
        <f>'WH Schedule'!AC19</f>
        <v>0</v>
      </c>
      <c r="Q18" s="785">
        <f>'WH Schedule'!AD19</f>
        <v>0</v>
      </c>
      <c r="R18" s="785">
        <f>'WH Schedule'!AE19</f>
        <v>0</v>
      </c>
      <c r="S18" s="785">
        <f>'WH Schedule'!AF19</f>
        <v>0</v>
      </c>
      <c r="T18" s="786">
        <f>'WH Cost PPT'!S18+'WH Cost PPT'!R18+'WH Cost PPT'!Q18+'WH Cost PPT'!P18+'WH Cost PPT'!O18</f>
        <v>0</v>
      </c>
    </row>
    <row r="19" spans="1:22" ht="19.5" customHeight="1" thickTop="1" x14ac:dyDescent="0.45">
      <c r="A19" s="784"/>
      <c r="B19" s="787">
        <f>'WH Schedule'!E20</f>
        <v>428140.66666666669</v>
      </c>
      <c r="C19" s="788">
        <f>'WH Schedule'!G20</f>
        <v>276970.90000000002</v>
      </c>
      <c r="D19" s="788">
        <f>'WH Schedule'!AA20</f>
        <v>33987.300480000005</v>
      </c>
      <c r="E19" s="788">
        <f>'WH Schedule'!O20</f>
        <v>227116.13799999998</v>
      </c>
      <c r="F19" s="788">
        <f>'WH Schedule'!P20</f>
        <v>2785158.4950000001</v>
      </c>
      <c r="G19" s="788">
        <f>'WH Schedule'!S20</f>
        <v>172232.72400000002</v>
      </c>
      <c r="H19" s="788">
        <f>'WH Schedule'!T20</f>
        <v>1991450.2860000001</v>
      </c>
      <c r="I19" s="788">
        <f>'WH Schedule'!U20</f>
        <v>71106.112000000008</v>
      </c>
      <c r="J19" s="788">
        <f>'WH Schedule'!V20</f>
        <v>934235.56800000009</v>
      </c>
      <c r="K19" s="788">
        <f>'WH Schedule'!W20</f>
        <v>23122.044000000002</v>
      </c>
      <c r="L19" s="788">
        <f>'WH Schedule'!X20</f>
        <v>323708.61600000004</v>
      </c>
      <c r="M19" s="788">
        <f>'WH Schedule'!Y20</f>
        <v>10510.02</v>
      </c>
      <c r="N19" s="788">
        <f>'WH Schedule'!Z20</f>
        <v>147140.28000000003</v>
      </c>
      <c r="O19" s="788">
        <f>'WH Schedule'!AB20</f>
        <v>279981458.65000004</v>
      </c>
      <c r="P19" s="788">
        <f>'WH Schedule'!AC20</f>
        <v>208512684.49375001</v>
      </c>
      <c r="Q19" s="788">
        <f>'WH Schedule'!AD20</f>
        <v>89670176.887499988</v>
      </c>
      <c r="R19" s="788">
        <f>'WH Schedule'!AE20</f>
        <v>40759171.3125</v>
      </c>
      <c r="S19" s="788">
        <f>'WH Schedule'!AF20</f>
        <v>62026823.376000009</v>
      </c>
      <c r="T19" s="789">
        <f>'WH Cost PPT'!S19+'WH Cost PPT'!R19+'WH Cost PPT'!Q19+'WH Cost PPT'!P19+'WH Cost PPT'!O19</f>
        <v>680950314.71975005</v>
      </c>
      <c r="V19" s="63"/>
    </row>
    <row r="20" spans="1:22" ht="19.5" customHeight="1" x14ac:dyDescent="0.45">
      <c r="B20" s="1"/>
      <c r="C20" s="1"/>
      <c r="D20" s="1"/>
      <c r="E20" s="1"/>
      <c r="F20" s="1"/>
      <c r="G20" s="1"/>
      <c r="H20" s="1"/>
      <c r="I20" s="1"/>
      <c r="J20" s="1"/>
      <c r="K20" s="1"/>
      <c r="L20" s="1"/>
      <c r="M20" s="1"/>
      <c r="N20" s="1"/>
      <c r="O20" s="1"/>
      <c r="P20" s="1"/>
      <c r="Q20" s="1"/>
      <c r="R20" s="1"/>
      <c r="S20" s="1"/>
    </row>
    <row r="21" spans="1:22" ht="19.5" customHeight="1" x14ac:dyDescent="0.45">
      <c r="B21" s="1"/>
      <c r="C21" s="1"/>
      <c r="D21" s="1"/>
      <c r="E21" s="1"/>
      <c r="F21" s="1"/>
      <c r="G21" s="1"/>
      <c r="H21" s="1"/>
      <c r="I21" s="1"/>
      <c r="J21" s="1"/>
      <c r="K21" s="1"/>
      <c r="L21" s="1"/>
      <c r="M21" s="1"/>
      <c r="N21" s="1"/>
      <c r="O21" s="1"/>
      <c r="P21" s="1"/>
      <c r="Q21" s="1"/>
      <c r="R21" s="1"/>
      <c r="S21" s="1"/>
    </row>
    <row r="22" spans="1:22" ht="19.5" customHeight="1" x14ac:dyDescent="0.45">
      <c r="B22" s="1"/>
      <c r="C22" s="1"/>
      <c r="D22" s="1"/>
      <c r="E22" s="1"/>
      <c r="F22" s="1"/>
      <c r="G22" s="1"/>
      <c r="H22" s="1"/>
      <c r="I22" s="1"/>
      <c r="J22" s="1"/>
      <c r="K22" s="1"/>
      <c r="L22" s="1"/>
      <c r="M22" s="1"/>
      <c r="N22" s="1"/>
      <c r="O22" s="1"/>
      <c r="P22" s="1"/>
      <c r="Q22" s="1"/>
      <c r="R22" s="1"/>
      <c r="S22" s="1"/>
    </row>
    <row r="23" spans="1:22" ht="19.5" customHeight="1" x14ac:dyDescent="0.45">
      <c r="B23" t="s">
        <v>475</v>
      </c>
    </row>
    <row r="24" spans="1:22" ht="19.5" customHeight="1" x14ac:dyDescent="0.45">
      <c r="A24" t="s">
        <v>141</v>
      </c>
      <c r="B24">
        <f>SUM('WH Schedule'!AB3:AB13)</f>
        <v>241677909.90000004</v>
      </c>
    </row>
    <row r="25" spans="1:22" ht="19.5" customHeight="1" x14ac:dyDescent="0.45">
      <c r="A25" t="s">
        <v>69</v>
      </c>
      <c r="B25">
        <f>SUM('WH Schedule'!AC3:AC13)</f>
        <v>208512684.49375001</v>
      </c>
    </row>
    <row r="26" spans="1:22" ht="19.5" customHeight="1" x14ac:dyDescent="0.45">
      <c r="A26" t="s">
        <v>118</v>
      </c>
      <c r="B26">
        <f>SUM('WH Schedule'!AD3:AD13)</f>
        <v>89670176.887499988</v>
      </c>
    </row>
    <row r="27" spans="1:22" ht="19.5" customHeight="1" x14ac:dyDescent="0.45">
      <c r="A27" t="s">
        <v>784</v>
      </c>
      <c r="B27">
        <f>SUM('WH Schedule'!AE3:AE13)</f>
        <v>40759171.3125</v>
      </c>
    </row>
    <row r="28" spans="1:22" ht="19.5" customHeight="1" x14ac:dyDescent="0.45">
      <c r="A28" t="s">
        <v>345</v>
      </c>
      <c r="B28">
        <f>SUM('WH Schedule'!AF3:AF13)</f>
        <v>62026823.376000009</v>
      </c>
    </row>
    <row r="29" spans="1:22" ht="19.5" customHeight="1" x14ac:dyDescent="0.45">
      <c r="A29" t="s">
        <v>56</v>
      </c>
      <c r="B29">
        <f>SUM('WH Schedule'!AB17:AB18)</f>
        <v>38303548.75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V19"/>
  <sheetViews>
    <sheetView showGridLines="0" workbookViewId="0">
      <selection activeCell="D11" sqref="D11"/>
    </sheetView>
  </sheetViews>
  <sheetFormatPr defaultRowHeight="14.25" x14ac:dyDescent="0.45"/>
  <cols>
    <col min="1" max="1" width="30.86328125" bestFit="1" customWidth="1"/>
    <col min="2" max="6" width="18.59765625" customWidth="1"/>
    <col min="22" max="22" width="12.59765625" bestFit="1" customWidth="1"/>
  </cols>
  <sheetData>
    <row r="1" spans="1:6" ht="27.4" thickBot="1" x14ac:dyDescent="0.5">
      <c r="A1" s="772"/>
      <c r="B1" s="790" t="str">
        <f>'Other Schedule'!D2</f>
        <v>SQM</v>
      </c>
      <c r="C1" s="790" t="str">
        <f>'Other Schedule'!E2</f>
        <v>Floors</v>
      </c>
      <c r="D1" s="790" t="str">
        <f>'Other Schedule'!G2</f>
        <v>Built up / Rentable SQM</v>
      </c>
      <c r="E1" s="790" t="str">
        <f>'Other Schedule'!J2</f>
        <v>Cost QAR/SQM</v>
      </c>
      <c r="F1" s="790" t="str">
        <f>'Other Schedule'!K2</f>
        <v>Cost QAR</v>
      </c>
    </row>
    <row r="2" spans="1:6" ht="14.65" thickTop="1" x14ac:dyDescent="0.45">
      <c r="A2" s="775" t="str">
        <f>'Other Schedule'!A3</f>
        <v>Entrance and guardhouse</v>
      </c>
      <c r="B2" s="776">
        <f>'Other Schedule'!D3</f>
        <v>225</v>
      </c>
      <c r="C2" s="776">
        <f>'Other Schedule'!E3</f>
        <v>1</v>
      </c>
      <c r="D2" s="776">
        <f>'Other Schedule'!G3</f>
        <v>135</v>
      </c>
      <c r="E2" s="776">
        <f>'Other Schedule'!J3</f>
        <v>6000</v>
      </c>
      <c r="F2" s="776">
        <f>'Other Schedule'!K3</f>
        <v>810000</v>
      </c>
    </row>
    <row r="3" spans="1:6" x14ac:dyDescent="0.45">
      <c r="A3" s="775" t="str">
        <f>'Other Schedule'!A4</f>
        <v>Property Infrastructure</v>
      </c>
      <c r="B3" s="776">
        <f>'Other Schedule'!D4</f>
        <v>517376</v>
      </c>
      <c r="C3" s="776">
        <f>'Other Schedule'!E4</f>
        <v>0</v>
      </c>
      <c r="D3" s="776">
        <f>'Other Schedule'!G4</f>
        <v>0</v>
      </c>
      <c r="E3" s="776">
        <f>'Other Schedule'!J4</f>
        <v>164.25</v>
      </c>
      <c r="F3" s="776">
        <f>'Other Schedule'!K4</f>
        <v>84979008</v>
      </c>
    </row>
    <row r="4" spans="1:6" x14ac:dyDescent="0.45">
      <c r="A4" s="775" t="str">
        <f>'Other Schedule'!A5</f>
        <v>Mosque</v>
      </c>
      <c r="B4" s="776">
        <f>'Other Schedule'!D5</f>
        <v>650</v>
      </c>
      <c r="C4" s="776">
        <f>'Other Schedule'!E5</f>
        <v>1</v>
      </c>
      <c r="D4" s="776">
        <f>'Other Schedule'!G5</f>
        <v>390</v>
      </c>
      <c r="E4" s="776">
        <f>'Other Schedule'!J5</f>
        <v>5475</v>
      </c>
      <c r="F4" s="776">
        <f>'Other Schedule'!K5</f>
        <v>2135250</v>
      </c>
    </row>
    <row r="5" spans="1:6" x14ac:dyDescent="0.45">
      <c r="A5" s="775" t="str">
        <f>'Other Schedule'!A6</f>
        <v>Administrative / Commercial</v>
      </c>
      <c r="B5" s="776">
        <f>'Other Schedule'!D6</f>
        <v>2800</v>
      </c>
      <c r="C5" s="776">
        <f>'Other Schedule'!E6</f>
        <v>3</v>
      </c>
      <c r="D5" s="776">
        <f>'Other Schedule'!G6</f>
        <v>5040</v>
      </c>
      <c r="E5" s="776">
        <f>'Other Schedule'!J6</f>
        <v>4500</v>
      </c>
      <c r="F5" s="776">
        <f>'Other Schedule'!K6</f>
        <v>22680000</v>
      </c>
    </row>
    <row r="6" spans="1:6" x14ac:dyDescent="0.45">
      <c r="A6" s="775" t="str">
        <f>'Other Schedule'!A7</f>
        <v>Petrol Station</v>
      </c>
      <c r="B6" s="776">
        <f>'Other Schedule'!D7</f>
        <v>3800</v>
      </c>
      <c r="C6" s="776">
        <f>'Other Schedule'!E7</f>
        <v>1</v>
      </c>
      <c r="D6" s="776">
        <f>'Other Schedule'!G7</f>
        <v>2280</v>
      </c>
      <c r="E6" s="776">
        <f>'Other Schedule'!J7</f>
        <v>2920</v>
      </c>
      <c r="F6" s="776">
        <f>'Other Schedule'!K7</f>
        <v>6657600</v>
      </c>
    </row>
    <row r="7" spans="1:6" x14ac:dyDescent="0.45">
      <c r="A7" s="775" t="str">
        <f>'Other Schedule'!A8</f>
        <v>Vehicle Maintenance Workshop</v>
      </c>
      <c r="B7" s="776">
        <f>'Other Schedule'!D8</f>
        <v>15590</v>
      </c>
      <c r="C7" s="776">
        <f>'Other Schedule'!E8</f>
        <v>1</v>
      </c>
      <c r="D7" s="776">
        <f>'Other Schedule'!G8</f>
        <v>9354</v>
      </c>
      <c r="E7" s="776">
        <f>'Other Schedule'!J8</f>
        <v>2920</v>
      </c>
      <c r="F7" s="776">
        <f>'Other Schedule'!K8</f>
        <v>27313680</v>
      </c>
    </row>
    <row r="8" spans="1:6" x14ac:dyDescent="0.45">
      <c r="A8" s="775" t="str">
        <f>'Other Schedule'!A9</f>
        <v>Labour accommodation</v>
      </c>
      <c r="B8" s="776">
        <f>'Other Schedule'!D9</f>
        <v>18580</v>
      </c>
      <c r="C8" s="776">
        <f>'Other Schedule'!E9</f>
        <v>3</v>
      </c>
      <c r="D8" s="776">
        <f>'Other Schedule'!G9</f>
        <v>22440</v>
      </c>
      <c r="E8" s="776">
        <f>'Other Schedule'!J9</f>
        <v>3375</v>
      </c>
      <c r="F8" s="776">
        <f>'Other Schedule'!K9</f>
        <v>75735000</v>
      </c>
    </row>
    <row r="9" spans="1:6" ht="14.65" thickBot="1" x14ac:dyDescent="0.5">
      <c r="A9" s="775" t="str">
        <f>'Other Schedule'!A10</f>
        <v>Light and heavy vehicle parking</v>
      </c>
      <c r="B9" s="776">
        <f>'Other Schedule'!D10</f>
        <v>9185</v>
      </c>
      <c r="C9" s="776">
        <f>'Other Schedule'!E10</f>
        <v>1</v>
      </c>
      <c r="D9" s="776">
        <f>'Other Schedule'!G10</f>
        <v>5511</v>
      </c>
      <c r="E9" s="776">
        <f>'Other Schedule'!J10</f>
        <v>511</v>
      </c>
      <c r="F9" s="776">
        <f>'Other Schedule'!K10</f>
        <v>2816121</v>
      </c>
    </row>
    <row r="10" spans="1:6" ht="14.65" thickTop="1" x14ac:dyDescent="0.45">
      <c r="A10" s="784"/>
      <c r="B10" s="788">
        <f>SUM(B2:B9)</f>
        <v>568206</v>
      </c>
      <c r="C10" s="791" t="s">
        <v>783</v>
      </c>
      <c r="D10" s="788">
        <f>SUM(D2:D9)</f>
        <v>45150</v>
      </c>
      <c r="E10" s="788">
        <f>SUM(E2:E9)</f>
        <v>25865.25</v>
      </c>
      <c r="F10" s="788">
        <f>SUM(F2:F9)</f>
        <v>223126659</v>
      </c>
    </row>
    <row r="19" spans="22:22" x14ac:dyDescent="0.45">
      <c r="V19" s="63">
        <f>T19+'Other Cost PPT'!F10</f>
        <v>223126659</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3" tint="0.59999389629810485"/>
  </sheetPr>
  <dimension ref="A1:E15"/>
  <sheetViews>
    <sheetView workbookViewId="0">
      <selection activeCell="G15" sqref="G15"/>
    </sheetView>
  </sheetViews>
  <sheetFormatPr defaultRowHeight="14.25" x14ac:dyDescent="0.45"/>
  <cols>
    <col min="1" max="1" width="34" customWidth="1"/>
    <col min="2" max="2" width="11.59765625" bestFit="1" customWidth="1"/>
    <col min="3" max="3" width="11.73046875" customWidth="1"/>
    <col min="4" max="4" width="10.59765625" customWidth="1"/>
    <col min="5" max="5" width="14.1328125" customWidth="1"/>
  </cols>
  <sheetData>
    <row r="1" spans="1:5" ht="23.25" x14ac:dyDescent="0.7">
      <c r="A1" s="9" t="s">
        <v>428</v>
      </c>
      <c r="B1" s="9"/>
    </row>
    <row r="2" spans="1:5" x14ac:dyDescent="0.45">
      <c r="A2" t="s">
        <v>793</v>
      </c>
    </row>
    <row r="3" spans="1:5" ht="28.5" x14ac:dyDescent="0.45">
      <c r="B3" s="123" t="s">
        <v>429</v>
      </c>
      <c r="C3" s="123" t="s">
        <v>430</v>
      </c>
      <c r="D3" s="123" t="s">
        <v>432</v>
      </c>
      <c r="E3" s="123" t="s">
        <v>431</v>
      </c>
    </row>
    <row r="4" spans="1:5" x14ac:dyDescent="0.45">
      <c r="A4" s="120" t="s">
        <v>69</v>
      </c>
      <c r="B4" s="3">
        <f>'WH Schedule'!V20</f>
        <v>934235.56800000009</v>
      </c>
      <c r="C4" s="127">
        <v>70</v>
      </c>
      <c r="D4" s="127">
        <f>0.24*3.75</f>
        <v>0.89999999999999991</v>
      </c>
      <c r="E4" s="116">
        <f>B4*C4*D4</f>
        <v>58856840.784000002</v>
      </c>
    </row>
    <row r="5" spans="1:5" x14ac:dyDescent="0.45">
      <c r="A5" s="126" t="s">
        <v>118</v>
      </c>
      <c r="B5" s="3">
        <f>'WH Schedule'!X20</f>
        <v>323708.61600000004</v>
      </c>
      <c r="C5" s="127">
        <v>30</v>
      </c>
      <c r="D5" s="127">
        <f t="shared" ref="D5:D6" si="0">0.24*3.75</f>
        <v>0.89999999999999991</v>
      </c>
      <c r="E5" s="116">
        <f>B5*C5*D5</f>
        <v>8740132.6319999993</v>
      </c>
    </row>
    <row r="6" spans="1:5" x14ac:dyDescent="0.45">
      <c r="A6" s="126" t="s">
        <v>59</v>
      </c>
      <c r="B6" s="3">
        <f>'WH Schedule'!Z20</f>
        <v>147140.28000000003</v>
      </c>
      <c r="C6" s="127">
        <v>30</v>
      </c>
      <c r="D6" s="127">
        <f t="shared" si="0"/>
        <v>0.89999999999999991</v>
      </c>
      <c r="E6" s="116">
        <f>B6*C6*D6</f>
        <v>3972787.56</v>
      </c>
    </row>
    <row r="7" spans="1:5" x14ac:dyDescent="0.45">
      <c r="E7" s="119">
        <f>SUM(E4:E6)</f>
        <v>71569760.976000011</v>
      </c>
    </row>
    <row r="10" spans="1:5" x14ac:dyDescent="0.45">
      <c r="A10" t="s">
        <v>792</v>
      </c>
    </row>
    <row r="11" spans="1:5" ht="28.5" x14ac:dyDescent="0.45">
      <c r="B11" s="123" t="s">
        <v>429</v>
      </c>
      <c r="C11" s="123" t="s">
        <v>430</v>
      </c>
      <c r="D11" s="123" t="s">
        <v>432</v>
      </c>
      <c r="E11" s="123" t="s">
        <v>431</v>
      </c>
    </row>
    <row r="12" spans="1:5" x14ac:dyDescent="0.45">
      <c r="A12" s="120" t="s">
        <v>69</v>
      </c>
      <c r="B12" s="3">
        <v>934235.56800000009</v>
      </c>
      <c r="C12" s="127">
        <v>11.810788888888888</v>
      </c>
      <c r="D12" s="127">
        <v>1.125</v>
      </c>
      <c r="E12" s="116">
        <v>12413316.449406601</v>
      </c>
    </row>
    <row r="13" spans="1:5" x14ac:dyDescent="0.45">
      <c r="A13" s="126" t="s">
        <v>118</v>
      </c>
      <c r="B13" s="3">
        <v>323708.61600000004</v>
      </c>
      <c r="C13" s="127">
        <v>17.160977777777777</v>
      </c>
      <c r="D13" s="127">
        <v>1.125</v>
      </c>
      <c r="E13" s="116">
        <v>6249550.9113576002</v>
      </c>
    </row>
    <row r="14" spans="1:5" x14ac:dyDescent="0.45">
      <c r="A14" s="126" t="s">
        <v>59</v>
      </c>
      <c r="B14" s="3">
        <v>147140.28000000003</v>
      </c>
      <c r="C14" s="127">
        <v>22.3</v>
      </c>
      <c r="D14" s="127">
        <v>1.125</v>
      </c>
      <c r="E14" s="116">
        <v>3691381.7745000012</v>
      </c>
    </row>
    <row r="15" spans="1:5" x14ac:dyDescent="0.45">
      <c r="E15" s="119">
        <v>22354249.135264203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3" tint="0.59999389629810485"/>
  </sheetPr>
  <dimension ref="A1:D13"/>
  <sheetViews>
    <sheetView workbookViewId="0"/>
  </sheetViews>
  <sheetFormatPr defaultRowHeight="14.25" x14ac:dyDescent="0.45"/>
  <cols>
    <col min="1" max="1" width="34" customWidth="1"/>
    <col min="3" max="3" width="10.59765625" bestFit="1" customWidth="1"/>
  </cols>
  <sheetData>
    <row r="1" spans="1:4" ht="23.25" x14ac:dyDescent="0.7">
      <c r="A1" s="9" t="s">
        <v>427</v>
      </c>
      <c r="B1" s="9"/>
    </row>
    <row r="3" spans="1:4" ht="28.5" x14ac:dyDescent="0.45">
      <c r="B3" s="123" t="s">
        <v>420</v>
      </c>
      <c r="C3" s="123" t="s">
        <v>419</v>
      </c>
      <c r="D3" s="123" t="s">
        <v>421</v>
      </c>
    </row>
    <row r="4" spans="1:4" x14ac:dyDescent="0.45">
      <c r="A4" s="120" t="s">
        <v>400</v>
      </c>
      <c r="B4" s="117">
        <v>1</v>
      </c>
      <c r="C4" s="118">
        <f>35000</f>
        <v>35000</v>
      </c>
      <c r="D4" s="116">
        <f>C4*B4</f>
        <v>35000</v>
      </c>
    </row>
    <row r="5" spans="1:4" x14ac:dyDescent="0.45">
      <c r="A5" s="121" t="s">
        <v>399</v>
      </c>
      <c r="B5" s="117">
        <v>1</v>
      </c>
      <c r="C5" s="118">
        <v>20000</v>
      </c>
      <c r="D5" s="116">
        <f t="shared" ref="D5:D12" si="0">C5*B5</f>
        <v>20000</v>
      </c>
    </row>
    <row r="6" spans="1:4" x14ac:dyDescent="0.45">
      <c r="A6" s="122" t="s">
        <v>394</v>
      </c>
      <c r="B6" s="117">
        <v>2</v>
      </c>
      <c r="C6" s="118">
        <v>6000</v>
      </c>
      <c r="D6" s="116">
        <f t="shared" si="0"/>
        <v>12000</v>
      </c>
    </row>
    <row r="7" spans="1:4" x14ac:dyDescent="0.45">
      <c r="A7" s="122" t="s">
        <v>397</v>
      </c>
      <c r="B7" s="117">
        <v>1</v>
      </c>
      <c r="C7" s="118">
        <v>12000</v>
      </c>
      <c r="D7" s="116">
        <f>C7*B7</f>
        <v>12000</v>
      </c>
    </row>
    <row r="8" spans="1:4" x14ac:dyDescent="0.45">
      <c r="A8" s="122" t="s">
        <v>398</v>
      </c>
      <c r="B8" s="117">
        <v>4</v>
      </c>
      <c r="C8" s="118">
        <v>15000</v>
      </c>
      <c r="D8" s="116">
        <f>C8*B8</f>
        <v>60000</v>
      </c>
    </row>
    <row r="9" spans="1:4" x14ac:dyDescent="0.45">
      <c r="A9" s="122" t="s">
        <v>221</v>
      </c>
      <c r="B9" s="117">
        <v>2</v>
      </c>
      <c r="C9" s="118">
        <v>5000</v>
      </c>
      <c r="D9" s="116">
        <f>C9*B9</f>
        <v>10000</v>
      </c>
    </row>
    <row r="10" spans="1:4" x14ac:dyDescent="0.45">
      <c r="A10" s="122" t="s">
        <v>418</v>
      </c>
      <c r="B10" s="117">
        <v>1</v>
      </c>
      <c r="C10" s="118">
        <v>20000</v>
      </c>
      <c r="D10" s="116">
        <f>C10*B10</f>
        <v>20000</v>
      </c>
    </row>
    <row r="11" spans="1:4" x14ac:dyDescent="0.45">
      <c r="A11" s="121" t="s">
        <v>395</v>
      </c>
      <c r="B11" s="117">
        <v>1</v>
      </c>
      <c r="C11" s="118">
        <v>20000</v>
      </c>
      <c r="D11" s="116">
        <f t="shared" si="0"/>
        <v>20000</v>
      </c>
    </row>
    <row r="12" spans="1:4" x14ac:dyDescent="0.45">
      <c r="A12" s="122" t="s">
        <v>396</v>
      </c>
      <c r="B12" s="117">
        <v>4</v>
      </c>
      <c r="C12" s="118">
        <v>7000</v>
      </c>
      <c r="D12" s="116">
        <f t="shared" si="0"/>
        <v>28000</v>
      </c>
    </row>
    <row r="13" spans="1:4" x14ac:dyDescent="0.45">
      <c r="D13" s="119">
        <f>SUM(D4:D12)</f>
        <v>217000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theme="6" tint="0.39997558519241921"/>
  </sheetPr>
  <dimension ref="A1:II38"/>
  <sheetViews>
    <sheetView zoomScale="55" zoomScaleNormal="55" workbookViewId="0">
      <pane xSplit="1" ySplit="4" topLeftCell="B5" activePane="bottomRight" state="frozen"/>
      <selection activeCell="C22" sqref="C22"/>
      <selection pane="topRight" activeCell="C22" sqref="C22"/>
      <selection pane="bottomLeft" activeCell="C22" sqref="C22"/>
      <selection pane="bottomRight" activeCell="C38" sqref="C38:N38"/>
    </sheetView>
  </sheetViews>
  <sheetFormatPr defaultRowHeight="14.25" x14ac:dyDescent="0.45"/>
  <cols>
    <col min="1" max="1" width="42.265625" bestFit="1" customWidth="1"/>
    <col min="2" max="2" width="13.1328125" customWidth="1"/>
    <col min="3" max="182" width="11.3984375" customWidth="1"/>
    <col min="183" max="183" width="12.59765625" bestFit="1" customWidth="1"/>
    <col min="184" max="242" width="11.3984375" customWidth="1"/>
    <col min="243" max="243" width="14.73046875" customWidth="1"/>
  </cols>
  <sheetData>
    <row r="1" spans="1:243" ht="23.25" x14ac:dyDescent="0.7">
      <c r="A1" s="9" t="s">
        <v>178</v>
      </c>
      <c r="B1" s="9"/>
    </row>
    <row r="3" spans="1:243" x14ac:dyDescent="0.45">
      <c r="A3" s="46" t="s">
        <v>166</v>
      </c>
      <c r="B3" s="46"/>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c r="II3" s="21" t="s">
        <v>245</v>
      </c>
    </row>
    <row r="4" spans="1:243" x14ac:dyDescent="0.45">
      <c r="A4" s="46" t="s">
        <v>167</v>
      </c>
      <c r="B4" s="101"/>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3" x14ac:dyDescent="0.45">
      <c r="A5" s="46" t="s">
        <v>165</v>
      </c>
      <c r="B5" s="46"/>
      <c r="C5" s="56">
        <f>AVERAGE(Revenue!C5:C18)</f>
        <v>0</v>
      </c>
      <c r="D5" s="56">
        <f>AVERAGE(Revenue!D5:D18)</f>
        <v>0</v>
      </c>
      <c r="E5" s="56">
        <f>AVERAGE(Revenue!E5:E18)</f>
        <v>0</v>
      </c>
      <c r="F5" s="56">
        <f>AVERAGE(Revenue!F5:F18)</f>
        <v>0</v>
      </c>
      <c r="G5" s="56">
        <f>AVERAGE(Revenue!G5:G18)</f>
        <v>0</v>
      </c>
      <c r="H5" s="56">
        <f>AVERAGE(Revenue!H5:H18)</f>
        <v>0</v>
      </c>
      <c r="I5" s="56">
        <f>AVERAGE(Revenue!I5:I18)</f>
        <v>0</v>
      </c>
      <c r="J5" s="56">
        <f>AVERAGE(Revenue!J5:J18)</f>
        <v>0</v>
      </c>
      <c r="K5" s="56">
        <f>AVERAGE(Revenue!K5:K18)</f>
        <v>0</v>
      </c>
      <c r="L5" s="56">
        <f>AVERAGE(Revenue!L5:L18)</f>
        <v>0</v>
      </c>
      <c r="M5" s="56">
        <f>AVERAGE(Revenue!M5:M18)</f>
        <v>0</v>
      </c>
      <c r="N5" s="56">
        <f>AVERAGE(Revenue!N5:N18)</f>
        <v>0</v>
      </c>
      <c r="O5" s="56">
        <f>AVERAGE(Revenue!O5:O18)</f>
        <v>0</v>
      </c>
      <c r="P5" s="56">
        <f>AVERAGE(Revenue!P5:P18)</f>
        <v>0</v>
      </c>
      <c r="Q5" s="56">
        <f>AVERAGE(Revenue!Q5:Q18)</f>
        <v>0</v>
      </c>
      <c r="R5" s="56">
        <f>AVERAGE(Revenue!R5:R18)</f>
        <v>0</v>
      </c>
      <c r="S5" s="56">
        <f>AVERAGE(Revenue!S5:S18)</f>
        <v>0</v>
      </c>
      <c r="T5" s="56">
        <f>AVERAGE(Revenue!T5:T18)</f>
        <v>0</v>
      </c>
      <c r="U5" s="56">
        <f>AVERAGE(Revenue!U5:U18)</f>
        <v>0</v>
      </c>
      <c r="V5" s="56">
        <f>AVERAGE(Revenue!V5:V18)</f>
        <v>0</v>
      </c>
      <c r="W5" s="56">
        <f>AVERAGE(Revenue!W5:W18)</f>
        <v>0</v>
      </c>
      <c r="X5" s="56">
        <f>AVERAGE(Revenue!X5:X18)</f>
        <v>0</v>
      </c>
      <c r="Y5" s="56">
        <f>AVERAGE(Revenue!Y5:Y18)</f>
        <v>0</v>
      </c>
      <c r="Z5" s="56">
        <f>AVERAGE(Revenue!Z5:Z18)</f>
        <v>0</v>
      </c>
      <c r="AA5" s="56">
        <f>AVERAGE(Revenue!AA5:AA18)</f>
        <v>0.34999999999999992</v>
      </c>
      <c r="AB5" s="56">
        <f>AVERAGE(Revenue!AB5:AB18)</f>
        <v>0.34999999999999992</v>
      </c>
      <c r="AC5" s="56">
        <f>AVERAGE(Revenue!AC5:AC18)</f>
        <v>0.34999999999999992</v>
      </c>
      <c r="AD5" s="56">
        <f>AVERAGE(Revenue!AD5:AD18)</f>
        <v>0.34999999999999992</v>
      </c>
      <c r="AE5" s="56">
        <f>AVERAGE(Revenue!AE5:AE18)</f>
        <v>0.34999999999999992</v>
      </c>
      <c r="AF5" s="56">
        <f>AVERAGE(Revenue!AF5:AF18)</f>
        <v>0.34999999999999992</v>
      </c>
      <c r="AG5" s="56">
        <f>AVERAGE(Revenue!AG5:AG18)</f>
        <v>0.34999999999999992</v>
      </c>
      <c r="AH5" s="56">
        <f>AVERAGE(Revenue!AH5:AH18)</f>
        <v>0.34999999999999992</v>
      </c>
      <c r="AI5" s="56">
        <f>AVERAGE(Revenue!AI5:AI18)</f>
        <v>0.34999999999999992</v>
      </c>
      <c r="AJ5" s="56">
        <f>AVERAGE(Revenue!AJ5:AJ18)</f>
        <v>0.34999999999999992</v>
      </c>
      <c r="AK5" s="56">
        <f>AVERAGE(Revenue!AK5:AK18)</f>
        <v>0.34999999999999992</v>
      </c>
      <c r="AL5" s="56">
        <f>AVERAGE(Revenue!AL5:AL18)</f>
        <v>0.34999999999999992</v>
      </c>
      <c r="AM5" s="56">
        <f>AVERAGE(Revenue!AM5:AM18)</f>
        <v>0.5357142857142857</v>
      </c>
      <c r="AN5" s="56">
        <f>AVERAGE(Revenue!AN5:AN18)</f>
        <v>0.5357142857142857</v>
      </c>
      <c r="AO5" s="56">
        <f>AVERAGE(Revenue!AO5:AO18)</f>
        <v>0.5357142857142857</v>
      </c>
      <c r="AP5" s="56">
        <f>AVERAGE(Revenue!AP5:AP18)</f>
        <v>0.5357142857142857</v>
      </c>
      <c r="AQ5" s="56">
        <f>AVERAGE(Revenue!AQ5:AQ18)</f>
        <v>0.5357142857142857</v>
      </c>
      <c r="AR5" s="56">
        <f>AVERAGE(Revenue!AR5:AR18)</f>
        <v>0.5357142857142857</v>
      </c>
      <c r="AS5" s="56">
        <f>AVERAGE(Revenue!AS5:AS18)</f>
        <v>0.5357142857142857</v>
      </c>
      <c r="AT5" s="56">
        <f>AVERAGE(Revenue!AT5:AT18)</f>
        <v>0.5357142857142857</v>
      </c>
      <c r="AU5" s="56">
        <f>AVERAGE(Revenue!AU5:AU18)</f>
        <v>0.5357142857142857</v>
      </c>
      <c r="AV5" s="56">
        <f>AVERAGE(Revenue!AV5:AV18)</f>
        <v>0.5357142857142857</v>
      </c>
      <c r="AW5" s="56">
        <f>AVERAGE(Revenue!AW5:AW18)</f>
        <v>0.5357142857142857</v>
      </c>
      <c r="AX5" s="56">
        <f>AVERAGE(Revenue!AX5:AX18)</f>
        <v>0.5357142857142857</v>
      </c>
      <c r="AY5" s="56">
        <f>AVERAGE(Revenue!AY5:AY18)</f>
        <v>0.72142857142857142</v>
      </c>
      <c r="AZ5" s="56">
        <f>AVERAGE(Revenue!AZ5:AZ18)</f>
        <v>0.72142857142857142</v>
      </c>
      <c r="BA5" s="56">
        <f>AVERAGE(Revenue!BA5:BA18)</f>
        <v>0.72142857142857142</v>
      </c>
      <c r="BB5" s="56">
        <f>AVERAGE(Revenue!BB5:BB18)</f>
        <v>0.72142857142857142</v>
      </c>
      <c r="BC5" s="56">
        <f>AVERAGE(Revenue!BC5:BC18)</f>
        <v>0.72142857142857142</v>
      </c>
      <c r="BD5" s="56">
        <f>AVERAGE(Revenue!BD5:BD18)</f>
        <v>0.72142857142857142</v>
      </c>
      <c r="BE5" s="56">
        <f>AVERAGE(Revenue!BE5:BE18)</f>
        <v>0.72142857142857142</v>
      </c>
      <c r="BF5" s="56">
        <f>AVERAGE(Revenue!BF5:BF18)</f>
        <v>0.72142857142857142</v>
      </c>
      <c r="BG5" s="56">
        <f>AVERAGE(Revenue!BG5:BG18)</f>
        <v>0.72142857142857142</v>
      </c>
      <c r="BH5" s="56">
        <f>AVERAGE(Revenue!BH5:BH18)</f>
        <v>0.72142857142857142</v>
      </c>
      <c r="BI5" s="56">
        <f>AVERAGE(Revenue!BI5:BI18)</f>
        <v>0.72142857142857142</v>
      </c>
      <c r="BJ5" s="56">
        <f>AVERAGE(Revenue!BJ5:BJ18)</f>
        <v>0.72142857142857142</v>
      </c>
      <c r="BK5" s="56">
        <f>AVERAGE(Revenue!BK5:BK18)</f>
        <v>0.86071428571428554</v>
      </c>
      <c r="BL5" s="56">
        <f>AVERAGE(Revenue!BL5:BL18)</f>
        <v>0.86071428571428554</v>
      </c>
      <c r="BM5" s="56">
        <f>AVERAGE(Revenue!BM5:BM18)</f>
        <v>0.86071428571428554</v>
      </c>
      <c r="BN5" s="56">
        <f>AVERAGE(Revenue!BN5:BN18)</f>
        <v>0.86071428571428554</v>
      </c>
      <c r="BO5" s="56">
        <f>AVERAGE(Revenue!BO5:BO18)</f>
        <v>0.86071428571428554</v>
      </c>
      <c r="BP5" s="56">
        <f>AVERAGE(Revenue!BP5:BP18)</f>
        <v>0.86071428571428554</v>
      </c>
      <c r="BQ5" s="56">
        <f>AVERAGE(Revenue!BQ5:BQ18)</f>
        <v>0.86071428571428554</v>
      </c>
      <c r="BR5" s="56">
        <f>AVERAGE(Revenue!BR5:BR18)</f>
        <v>0.86071428571428554</v>
      </c>
      <c r="BS5" s="56">
        <f>AVERAGE(Revenue!BS5:BS18)</f>
        <v>0.86071428571428554</v>
      </c>
      <c r="BT5" s="56">
        <f>AVERAGE(Revenue!BT5:BT18)</f>
        <v>0.86071428571428554</v>
      </c>
      <c r="BU5" s="56">
        <f>AVERAGE(Revenue!BU5:BU18)</f>
        <v>0.86071428571428554</v>
      </c>
      <c r="BV5" s="56">
        <f>AVERAGE(Revenue!BV5:BV18)</f>
        <v>0.86071428571428554</v>
      </c>
      <c r="BW5" s="56">
        <f>AVERAGE(Revenue!BW5:BW18)</f>
        <v>0.86071428571428554</v>
      </c>
      <c r="BX5" s="56">
        <f>AVERAGE(Revenue!BX5:BX18)</f>
        <v>0.86071428571428554</v>
      </c>
      <c r="BY5" s="56">
        <f>AVERAGE(Revenue!BY5:BY18)</f>
        <v>0.86071428571428554</v>
      </c>
      <c r="BZ5" s="56">
        <f>AVERAGE(Revenue!BZ5:BZ18)</f>
        <v>0.86071428571428554</v>
      </c>
      <c r="CA5" s="56">
        <f>AVERAGE(Revenue!CA5:CA18)</f>
        <v>0.86071428571428554</v>
      </c>
      <c r="CB5" s="56">
        <f>AVERAGE(Revenue!CB5:CB18)</f>
        <v>0.86071428571428554</v>
      </c>
      <c r="CC5" s="56">
        <f>AVERAGE(Revenue!CC5:CC18)</f>
        <v>0.86071428571428554</v>
      </c>
      <c r="CD5" s="56">
        <f>AVERAGE(Revenue!CD5:CD18)</f>
        <v>0.86071428571428554</v>
      </c>
      <c r="CE5" s="56">
        <f>AVERAGE(Revenue!CE5:CE18)</f>
        <v>0.86071428571428554</v>
      </c>
      <c r="CF5" s="56">
        <f>AVERAGE(Revenue!CF5:CF18)</f>
        <v>0.86071428571428554</v>
      </c>
      <c r="CG5" s="56">
        <f>AVERAGE(Revenue!CG5:CG18)</f>
        <v>0.86071428571428554</v>
      </c>
      <c r="CH5" s="56">
        <f>AVERAGE(Revenue!CH5:CH18)</f>
        <v>0.86071428571428554</v>
      </c>
      <c r="CI5" s="56">
        <f>AVERAGE(Revenue!CI5:CI18)</f>
        <v>0.86071428571428554</v>
      </c>
      <c r="CJ5" s="56">
        <f>AVERAGE(Revenue!CJ5:CJ18)</f>
        <v>0.86071428571428554</v>
      </c>
      <c r="CK5" s="56">
        <f>AVERAGE(Revenue!CK5:CK18)</f>
        <v>0.86071428571428554</v>
      </c>
      <c r="CL5" s="56">
        <f>AVERAGE(Revenue!CL5:CL18)</f>
        <v>0.86071428571428554</v>
      </c>
      <c r="CM5" s="56">
        <f>AVERAGE(Revenue!CM5:CM18)</f>
        <v>0.86071428571428554</v>
      </c>
      <c r="CN5" s="56">
        <f>AVERAGE(Revenue!CN5:CN18)</f>
        <v>0.86071428571428554</v>
      </c>
      <c r="CO5" s="56">
        <f>AVERAGE(Revenue!CO5:CO18)</f>
        <v>0.86071428571428554</v>
      </c>
      <c r="CP5" s="56">
        <f>AVERAGE(Revenue!CP5:CP18)</f>
        <v>0.86071428571428554</v>
      </c>
      <c r="CQ5" s="56">
        <f>AVERAGE(Revenue!CQ5:CQ18)</f>
        <v>0.86071428571428554</v>
      </c>
      <c r="CR5" s="56">
        <f>AVERAGE(Revenue!CR5:CR18)</f>
        <v>0.86071428571428554</v>
      </c>
      <c r="CS5" s="56">
        <f>AVERAGE(Revenue!CS5:CS18)</f>
        <v>0.86071428571428554</v>
      </c>
      <c r="CT5" s="56">
        <f>AVERAGE(Revenue!CT5:CT18)</f>
        <v>0.86071428571428554</v>
      </c>
      <c r="CU5" s="56">
        <f>AVERAGE(Revenue!CU5:CU18)</f>
        <v>0.86071428571428554</v>
      </c>
      <c r="CV5" s="56">
        <f>AVERAGE(Revenue!CV5:CV18)</f>
        <v>0.86071428571428554</v>
      </c>
      <c r="CW5" s="56">
        <f>AVERAGE(Revenue!CW5:CW18)</f>
        <v>0.86071428571428554</v>
      </c>
      <c r="CX5" s="56">
        <f>AVERAGE(Revenue!CX5:CX18)</f>
        <v>0.86071428571428554</v>
      </c>
      <c r="CY5" s="56">
        <f>AVERAGE(Revenue!CY5:CY18)</f>
        <v>0.86071428571428554</v>
      </c>
      <c r="CZ5" s="56">
        <f>AVERAGE(Revenue!CZ5:CZ18)</f>
        <v>0.86071428571428554</v>
      </c>
      <c r="DA5" s="56">
        <f>AVERAGE(Revenue!DA5:DA18)</f>
        <v>0.86071428571428554</v>
      </c>
      <c r="DB5" s="56">
        <f>AVERAGE(Revenue!DB5:DB18)</f>
        <v>0.86071428571428554</v>
      </c>
      <c r="DC5" s="56">
        <f>AVERAGE(Revenue!DC5:DC18)</f>
        <v>0.86071428571428554</v>
      </c>
      <c r="DD5" s="56">
        <f>AVERAGE(Revenue!DD5:DD18)</f>
        <v>0.86071428571428554</v>
      </c>
      <c r="DE5" s="56">
        <f>AVERAGE(Revenue!DE5:DE18)</f>
        <v>0.86071428571428554</v>
      </c>
      <c r="DF5" s="56">
        <f>AVERAGE(Revenue!DF5:DF18)</f>
        <v>0.86071428571428554</v>
      </c>
      <c r="DG5" s="56">
        <f>AVERAGE(Revenue!DG5:DG18)</f>
        <v>0.86071428571428554</v>
      </c>
      <c r="DH5" s="56">
        <f>AVERAGE(Revenue!DH5:DH18)</f>
        <v>0.86071428571428554</v>
      </c>
      <c r="DI5" s="56">
        <f>AVERAGE(Revenue!DI5:DI18)</f>
        <v>0.86071428571428554</v>
      </c>
      <c r="DJ5" s="56">
        <f>AVERAGE(Revenue!DJ5:DJ18)</f>
        <v>0.86071428571428554</v>
      </c>
      <c r="DK5" s="56">
        <f>AVERAGE(Revenue!DK5:DK18)</f>
        <v>0.86071428571428554</v>
      </c>
      <c r="DL5" s="56">
        <f>AVERAGE(Revenue!DL5:DL18)</f>
        <v>0.86071428571428554</v>
      </c>
      <c r="DM5" s="56">
        <f>AVERAGE(Revenue!DM5:DM18)</f>
        <v>0.86071428571428554</v>
      </c>
      <c r="DN5" s="56">
        <f>AVERAGE(Revenue!DN5:DN18)</f>
        <v>0.86071428571428554</v>
      </c>
      <c r="DO5" s="56">
        <f>AVERAGE(Revenue!DO5:DO18)</f>
        <v>0.86071428571428554</v>
      </c>
      <c r="DP5" s="56">
        <f>AVERAGE(Revenue!DP5:DP18)</f>
        <v>0.86071428571428554</v>
      </c>
      <c r="DQ5" s="56">
        <f>AVERAGE(Revenue!DQ5:DQ18)</f>
        <v>0.86071428571428554</v>
      </c>
      <c r="DR5" s="56">
        <f>AVERAGE(Revenue!DR5:DR18)</f>
        <v>0.86071428571428554</v>
      </c>
      <c r="DS5" s="56">
        <f>AVERAGE(Revenue!DS5:DS18)</f>
        <v>0.86071428571428554</v>
      </c>
      <c r="DT5" s="56">
        <f>AVERAGE(Revenue!DT5:DT18)</f>
        <v>0.86071428571428554</v>
      </c>
      <c r="DU5" s="56">
        <f>AVERAGE(Revenue!DU5:DU18)</f>
        <v>0.86071428571428554</v>
      </c>
      <c r="DV5" s="56">
        <f>AVERAGE(Revenue!DV5:DV18)</f>
        <v>0.86071428571428554</v>
      </c>
      <c r="DW5" s="56">
        <f>AVERAGE(Revenue!DW5:DW18)</f>
        <v>0.86071428571428554</v>
      </c>
      <c r="DX5" s="56">
        <f>AVERAGE(Revenue!DX5:DX18)</f>
        <v>0.86071428571428554</v>
      </c>
      <c r="DY5" s="56">
        <f>AVERAGE(Revenue!DY5:DY18)</f>
        <v>0.86071428571428554</v>
      </c>
      <c r="DZ5" s="56">
        <f>AVERAGE(Revenue!DZ5:DZ18)</f>
        <v>0.86071428571428554</v>
      </c>
      <c r="EA5" s="56">
        <f>AVERAGE(Revenue!EA5:EA18)</f>
        <v>0.86071428571428554</v>
      </c>
      <c r="EB5" s="56">
        <f>AVERAGE(Revenue!EB5:EB18)</f>
        <v>0.86071428571428554</v>
      </c>
      <c r="EC5" s="56">
        <f>AVERAGE(Revenue!EC5:EC18)</f>
        <v>0.86071428571428554</v>
      </c>
      <c r="ED5" s="56">
        <f>AVERAGE(Revenue!ED5:ED18)</f>
        <v>0.86071428571428554</v>
      </c>
      <c r="EE5" s="56">
        <f>AVERAGE(Revenue!EE5:EE18)</f>
        <v>0.86071428571428554</v>
      </c>
      <c r="EF5" s="56">
        <f>AVERAGE(Revenue!EF5:EF18)</f>
        <v>0.86071428571428554</v>
      </c>
      <c r="EG5" s="56">
        <f>AVERAGE(Revenue!EG5:EG18)</f>
        <v>0.86071428571428554</v>
      </c>
      <c r="EH5" s="56">
        <f>AVERAGE(Revenue!EH5:EH18)</f>
        <v>0.86071428571428554</v>
      </c>
      <c r="EI5" s="56">
        <f>AVERAGE(Revenue!EI5:EI18)</f>
        <v>0.86071428571428554</v>
      </c>
      <c r="EJ5" s="56">
        <f>AVERAGE(Revenue!EJ5:EJ18)</f>
        <v>0.86071428571428554</v>
      </c>
      <c r="EK5" s="56">
        <f>AVERAGE(Revenue!EK5:EK18)</f>
        <v>0.86071428571428554</v>
      </c>
      <c r="EL5" s="56">
        <f>AVERAGE(Revenue!EL5:EL18)</f>
        <v>0.86071428571428554</v>
      </c>
      <c r="EM5" s="56">
        <f>AVERAGE(Revenue!EM5:EM18)</f>
        <v>0.86071428571428554</v>
      </c>
      <c r="EN5" s="56">
        <f>AVERAGE(Revenue!EN5:EN18)</f>
        <v>0.86071428571428554</v>
      </c>
      <c r="EO5" s="56">
        <f>AVERAGE(Revenue!EO5:EO18)</f>
        <v>0.86071428571428554</v>
      </c>
      <c r="EP5" s="56">
        <f>AVERAGE(Revenue!EP5:EP18)</f>
        <v>0.86071428571428554</v>
      </c>
      <c r="EQ5" s="56">
        <f>AVERAGE(Revenue!EQ5:EQ18)</f>
        <v>0.86071428571428554</v>
      </c>
      <c r="ER5" s="56">
        <f>AVERAGE(Revenue!ER5:ER18)</f>
        <v>0.86071428571428554</v>
      </c>
      <c r="ES5" s="56">
        <f>AVERAGE(Revenue!ES5:ES18)</f>
        <v>0.86071428571428554</v>
      </c>
      <c r="ET5" s="56">
        <f>AVERAGE(Revenue!ET5:ET18)</f>
        <v>0.86071428571428554</v>
      </c>
      <c r="EU5" s="56">
        <f>AVERAGE(Revenue!EU5:EU18)</f>
        <v>0.86071428571428554</v>
      </c>
      <c r="EV5" s="56">
        <f>AVERAGE(Revenue!EV5:EV18)</f>
        <v>0.86071428571428554</v>
      </c>
      <c r="EW5" s="56">
        <f>AVERAGE(Revenue!EW5:EW18)</f>
        <v>0.86071428571428554</v>
      </c>
      <c r="EX5" s="56">
        <f>AVERAGE(Revenue!EX5:EX18)</f>
        <v>0.86071428571428554</v>
      </c>
      <c r="EY5" s="56">
        <f>AVERAGE(Revenue!EY5:EY18)</f>
        <v>0.86071428571428554</v>
      </c>
      <c r="EZ5" s="56">
        <f>AVERAGE(Revenue!EZ5:EZ18)</f>
        <v>0.86071428571428554</v>
      </c>
      <c r="FA5" s="56">
        <f>AVERAGE(Revenue!FA5:FA18)</f>
        <v>0.86071428571428554</v>
      </c>
      <c r="FB5" s="56">
        <f>AVERAGE(Revenue!FB5:FB18)</f>
        <v>0.86071428571428554</v>
      </c>
      <c r="FC5" s="56">
        <f>AVERAGE(Revenue!FC5:FC18)</f>
        <v>0.86071428571428554</v>
      </c>
      <c r="FD5" s="56">
        <f>AVERAGE(Revenue!FD5:FD18)</f>
        <v>0.86071428571428554</v>
      </c>
      <c r="FE5" s="56">
        <f>AVERAGE(Revenue!FE5:FE18)</f>
        <v>0.86071428571428554</v>
      </c>
      <c r="FF5" s="56">
        <f>AVERAGE(Revenue!FF5:FF18)</f>
        <v>0.86071428571428554</v>
      </c>
      <c r="FG5" s="56">
        <f>AVERAGE(Revenue!FG5:FG18)</f>
        <v>0.86071428571428554</v>
      </c>
      <c r="FH5" s="56">
        <f>AVERAGE(Revenue!FH5:FH18)</f>
        <v>0.86071428571428554</v>
      </c>
      <c r="FI5" s="56">
        <f>AVERAGE(Revenue!FI5:FI18)</f>
        <v>0.86071428571428554</v>
      </c>
      <c r="FJ5" s="56">
        <f>AVERAGE(Revenue!FJ5:FJ18)</f>
        <v>0.86071428571428554</v>
      </c>
      <c r="FK5" s="56">
        <f>AVERAGE(Revenue!FK5:FK18)</f>
        <v>0.86071428571428554</v>
      </c>
      <c r="FL5" s="56">
        <f>AVERAGE(Revenue!FL5:FL18)</f>
        <v>0.86071428571428554</v>
      </c>
      <c r="FM5" s="56">
        <f>AVERAGE(Revenue!FM5:FM18)</f>
        <v>0.86071428571428554</v>
      </c>
      <c r="FN5" s="56">
        <f>AVERAGE(Revenue!FN5:FN18)</f>
        <v>0.86071428571428554</v>
      </c>
      <c r="FO5" s="56">
        <f>AVERAGE(Revenue!FO5:FO18)</f>
        <v>0.86071428571428554</v>
      </c>
      <c r="FP5" s="56">
        <f>AVERAGE(Revenue!FP5:FP18)</f>
        <v>0.86071428571428554</v>
      </c>
      <c r="FQ5" s="56">
        <f>AVERAGE(Revenue!FQ5:FQ18)</f>
        <v>0.86071428571428554</v>
      </c>
      <c r="FR5" s="56">
        <f>AVERAGE(Revenue!FR5:FR18)</f>
        <v>0.86071428571428554</v>
      </c>
      <c r="FS5" s="56">
        <f>AVERAGE(Revenue!FS5:FS18)</f>
        <v>0.86071428571428554</v>
      </c>
      <c r="FT5" s="56">
        <f>AVERAGE(Revenue!FT5:FT18)</f>
        <v>0.86071428571428554</v>
      </c>
      <c r="FU5" s="56">
        <f>AVERAGE(Revenue!FU5:FU18)</f>
        <v>0.86071428571428554</v>
      </c>
      <c r="FV5" s="56">
        <f>AVERAGE(Revenue!FV5:FV18)</f>
        <v>0.86071428571428554</v>
      </c>
      <c r="FW5" s="56">
        <f>AVERAGE(Revenue!FW5:FW18)</f>
        <v>0.86071428571428554</v>
      </c>
      <c r="FX5" s="56">
        <f>AVERAGE(Revenue!FX5:FX18)</f>
        <v>0.86071428571428554</v>
      </c>
      <c r="FY5" s="56">
        <f>AVERAGE(Revenue!FY5:FY18)</f>
        <v>0.86071428571428554</v>
      </c>
      <c r="FZ5" s="56">
        <f>AVERAGE(Revenue!FZ5:FZ18)</f>
        <v>0.86071428571428554</v>
      </c>
      <c r="GA5" s="56">
        <f>AVERAGE(Revenue!GA5:GA18)</f>
        <v>0.86071428571428554</v>
      </c>
      <c r="GB5" s="56">
        <f>AVERAGE(Revenue!GB5:GB18)</f>
        <v>0.86071428571428554</v>
      </c>
      <c r="GC5" s="56">
        <f>AVERAGE(Revenue!GC5:GC18)</f>
        <v>0.86071428571428554</v>
      </c>
      <c r="GD5" s="56">
        <f>AVERAGE(Revenue!GD5:GD18)</f>
        <v>0.86071428571428554</v>
      </c>
      <c r="GE5" s="56">
        <f>AVERAGE(Revenue!GE5:GE18)</f>
        <v>0.86071428571428554</v>
      </c>
      <c r="GF5" s="56">
        <f>AVERAGE(Revenue!GF5:GF18)</f>
        <v>0.86071428571428554</v>
      </c>
      <c r="GG5" s="56">
        <f>AVERAGE(Revenue!GG5:GG18)</f>
        <v>0.86071428571428554</v>
      </c>
      <c r="GH5" s="56">
        <f>AVERAGE(Revenue!GH5:GH18)</f>
        <v>0.86071428571428554</v>
      </c>
      <c r="GI5" s="56">
        <f>AVERAGE(Revenue!GI5:GI18)</f>
        <v>0.86071428571428554</v>
      </c>
      <c r="GJ5" s="56">
        <f>AVERAGE(Revenue!GJ5:GJ18)</f>
        <v>0.86071428571428554</v>
      </c>
      <c r="GK5" s="56">
        <f>AVERAGE(Revenue!GK5:GK18)</f>
        <v>0.86071428571428554</v>
      </c>
      <c r="GL5" s="56">
        <f>AVERAGE(Revenue!GL5:GL18)</f>
        <v>0.86071428571428554</v>
      </c>
      <c r="GM5" s="56">
        <f>AVERAGE(Revenue!GM5:GM18)</f>
        <v>0.86071428571428554</v>
      </c>
      <c r="GN5" s="56">
        <f>AVERAGE(Revenue!GN5:GN18)</f>
        <v>0.86071428571428554</v>
      </c>
      <c r="GO5" s="56">
        <f>AVERAGE(Revenue!GO5:GO18)</f>
        <v>0.86071428571428554</v>
      </c>
      <c r="GP5" s="56">
        <f>AVERAGE(Revenue!GP5:GP18)</f>
        <v>0.86071428571428554</v>
      </c>
      <c r="GQ5" s="56">
        <f>AVERAGE(Revenue!GQ5:GQ18)</f>
        <v>0.86071428571428554</v>
      </c>
      <c r="GR5" s="56">
        <f>AVERAGE(Revenue!GR5:GR18)</f>
        <v>0.86071428571428554</v>
      </c>
      <c r="GS5" s="56">
        <f>AVERAGE(Revenue!GS5:GS18)</f>
        <v>0.86071428571428554</v>
      </c>
      <c r="GT5" s="56">
        <f>AVERAGE(Revenue!GT5:GT18)</f>
        <v>0.86071428571428554</v>
      </c>
      <c r="GU5" s="56">
        <f>AVERAGE(Revenue!GU5:GU18)</f>
        <v>0.86071428571428554</v>
      </c>
      <c r="GV5" s="56">
        <f>AVERAGE(Revenue!GV5:GV18)</f>
        <v>0.86071428571428554</v>
      </c>
      <c r="GW5" s="56">
        <f>AVERAGE(Revenue!GW5:GW18)</f>
        <v>0.86071428571428554</v>
      </c>
      <c r="GX5" s="56">
        <f>AVERAGE(Revenue!GX5:GX18)</f>
        <v>0.86071428571428554</v>
      </c>
      <c r="GY5" s="56">
        <f>AVERAGE(Revenue!GY5:GY18)</f>
        <v>0.86071428571428554</v>
      </c>
      <c r="GZ5" s="56">
        <f>AVERAGE(Revenue!GZ5:GZ18)</f>
        <v>0.86071428571428554</v>
      </c>
      <c r="HA5" s="56">
        <f>AVERAGE(Revenue!HA5:HA18)</f>
        <v>0.86071428571428554</v>
      </c>
      <c r="HB5" s="56">
        <f>AVERAGE(Revenue!HB5:HB18)</f>
        <v>0.86071428571428554</v>
      </c>
      <c r="HC5" s="56">
        <f>AVERAGE(Revenue!HC5:HC18)</f>
        <v>0.86071428571428554</v>
      </c>
      <c r="HD5" s="56">
        <f>AVERAGE(Revenue!HD5:HD18)</f>
        <v>0.86071428571428554</v>
      </c>
      <c r="HE5" s="56">
        <f>AVERAGE(Revenue!HE5:HE18)</f>
        <v>0.86071428571428554</v>
      </c>
      <c r="HF5" s="56">
        <f>AVERAGE(Revenue!HF5:HF18)</f>
        <v>0.86071428571428554</v>
      </c>
      <c r="HG5" s="56">
        <f>AVERAGE(Revenue!HG5:HG18)</f>
        <v>0.86071428571428554</v>
      </c>
      <c r="HH5" s="56">
        <f>AVERAGE(Revenue!HH5:HH18)</f>
        <v>0.86071428571428554</v>
      </c>
      <c r="HI5" s="56">
        <f>AVERAGE(Revenue!HI5:HI18)</f>
        <v>0.86071428571428554</v>
      </c>
      <c r="HJ5" s="56">
        <f>AVERAGE(Revenue!HJ5:HJ18)</f>
        <v>0.86071428571428554</v>
      </c>
      <c r="HK5" s="56">
        <f>AVERAGE(Revenue!HK5:HK18)</f>
        <v>0.86071428571428554</v>
      </c>
      <c r="HL5" s="56">
        <f>AVERAGE(Revenue!HL5:HL18)</f>
        <v>0.86071428571428554</v>
      </c>
      <c r="HM5" s="56">
        <f>AVERAGE(Revenue!HM5:HM18)</f>
        <v>0.86071428571428554</v>
      </c>
      <c r="HN5" s="56">
        <f>AVERAGE(Revenue!HN5:HN18)</f>
        <v>0.86071428571428554</v>
      </c>
      <c r="HO5" s="56">
        <f>AVERAGE(Revenue!HO5:HO18)</f>
        <v>0.86071428571428554</v>
      </c>
      <c r="HP5" s="56">
        <f>AVERAGE(Revenue!HP5:HP18)</f>
        <v>0.86071428571428554</v>
      </c>
      <c r="HQ5" s="56">
        <f>AVERAGE(Revenue!HQ5:HQ18)</f>
        <v>0.86071428571428554</v>
      </c>
      <c r="HR5" s="56">
        <f>AVERAGE(Revenue!HR5:HR18)</f>
        <v>0.86071428571428554</v>
      </c>
      <c r="HS5" s="56">
        <f>AVERAGE(Revenue!HS5:HS18)</f>
        <v>0.86071428571428554</v>
      </c>
      <c r="HT5" s="56">
        <f>AVERAGE(Revenue!HT5:HT18)</f>
        <v>0.86071428571428554</v>
      </c>
      <c r="HU5" s="56">
        <f>AVERAGE(Revenue!HU5:HU18)</f>
        <v>0.86071428571428554</v>
      </c>
      <c r="HV5" s="56">
        <f>AVERAGE(Revenue!HV5:HV18)</f>
        <v>0.86071428571428554</v>
      </c>
      <c r="HW5" s="56">
        <f>AVERAGE(Revenue!HW5:HW18)</f>
        <v>0.86071428571428554</v>
      </c>
      <c r="HX5" s="56">
        <f>AVERAGE(Revenue!HX5:HX18)</f>
        <v>0.86071428571428554</v>
      </c>
      <c r="HY5" s="56">
        <f>AVERAGE(Revenue!HY5:HY18)</f>
        <v>0.86071428571428554</v>
      </c>
      <c r="HZ5" s="56">
        <f>AVERAGE(Revenue!HZ5:HZ18)</f>
        <v>0.86071428571428554</v>
      </c>
      <c r="IA5" s="56">
        <f>AVERAGE(Revenue!IA5:IA18)</f>
        <v>0.86071428571428554</v>
      </c>
      <c r="IB5" s="56">
        <f>AVERAGE(Revenue!IB5:IB18)</f>
        <v>0.86071428571428554</v>
      </c>
      <c r="IC5" s="56">
        <f>AVERAGE(Revenue!IC5:IC18)</f>
        <v>0.86071428571428554</v>
      </c>
      <c r="ID5" s="56">
        <f>AVERAGE(Revenue!ID5:ID18)</f>
        <v>0.86071428571428554</v>
      </c>
      <c r="IE5" s="56">
        <f>AVERAGE(Revenue!IE5:IE18)</f>
        <v>0.86071428571428554</v>
      </c>
      <c r="IF5" s="56">
        <f>AVERAGE(Revenue!IF5:IF18)</f>
        <v>0.86071428571428554</v>
      </c>
      <c r="IG5" s="56">
        <f>AVERAGE(Revenue!IG5:IG18)</f>
        <v>0.86071428571428554</v>
      </c>
      <c r="IH5" s="56">
        <f>AVERAGE(Revenue!IH5:IH18)</f>
        <v>0.86071428571428554</v>
      </c>
    </row>
    <row r="6" spans="1:243" x14ac:dyDescent="0.45">
      <c r="A6" s="67" t="s">
        <v>238</v>
      </c>
      <c r="B6" s="67"/>
      <c r="C6" s="48">
        <v>-1</v>
      </c>
      <c r="D6" s="48">
        <v>0</v>
      </c>
      <c r="E6" s="48">
        <v>0</v>
      </c>
      <c r="F6" s="48">
        <v>0</v>
      </c>
      <c r="G6" s="48">
        <v>0</v>
      </c>
      <c r="H6" s="48">
        <v>0</v>
      </c>
      <c r="I6" s="48">
        <v>0</v>
      </c>
      <c r="J6" s="48">
        <v>0</v>
      </c>
      <c r="K6" s="48">
        <v>0</v>
      </c>
      <c r="L6" s="48">
        <v>0</v>
      </c>
      <c r="M6" s="48">
        <v>0</v>
      </c>
      <c r="N6" s="48">
        <v>0</v>
      </c>
      <c r="O6" s="48">
        <v>1</v>
      </c>
      <c r="P6" s="48">
        <v>0</v>
      </c>
      <c r="Q6" s="48">
        <v>0</v>
      </c>
      <c r="R6" s="48">
        <v>0</v>
      </c>
      <c r="S6" s="48">
        <v>0</v>
      </c>
      <c r="T6" s="48">
        <v>0</v>
      </c>
      <c r="U6" s="48">
        <v>0</v>
      </c>
      <c r="V6" s="48">
        <v>0</v>
      </c>
      <c r="W6" s="48">
        <v>0</v>
      </c>
      <c r="X6" s="48">
        <v>0</v>
      </c>
      <c r="Y6" s="48">
        <v>0</v>
      </c>
      <c r="Z6" s="48">
        <v>0</v>
      </c>
      <c r="AA6" s="48">
        <v>0</v>
      </c>
      <c r="AB6" s="48">
        <v>0</v>
      </c>
      <c r="AC6" s="48">
        <v>0</v>
      </c>
      <c r="AD6" s="48">
        <v>0</v>
      </c>
      <c r="AE6" s="48">
        <v>0</v>
      </c>
      <c r="AF6" s="48">
        <v>0</v>
      </c>
      <c r="AG6" s="48">
        <v>0</v>
      </c>
      <c r="AH6" s="48">
        <v>0</v>
      </c>
      <c r="AI6" s="48">
        <v>0</v>
      </c>
      <c r="AJ6" s="48">
        <v>0</v>
      </c>
      <c r="AK6" s="48">
        <v>0</v>
      </c>
      <c r="AL6" s="48">
        <v>0</v>
      </c>
      <c r="AM6" s="48">
        <v>0</v>
      </c>
      <c r="AN6" s="48">
        <v>0</v>
      </c>
      <c r="AO6" s="48">
        <v>0</v>
      </c>
      <c r="AP6" s="48">
        <v>0</v>
      </c>
      <c r="AQ6" s="48">
        <v>0</v>
      </c>
      <c r="AR6" s="48">
        <v>0</v>
      </c>
      <c r="AS6" s="48">
        <v>0</v>
      </c>
      <c r="AT6" s="48">
        <v>0</v>
      </c>
      <c r="AU6" s="48">
        <v>0</v>
      </c>
      <c r="AV6" s="48">
        <v>0</v>
      </c>
      <c r="AW6" s="48">
        <v>0</v>
      </c>
      <c r="AX6" s="48">
        <v>0</v>
      </c>
      <c r="AY6" s="48">
        <v>0</v>
      </c>
      <c r="AZ6" s="48">
        <v>0</v>
      </c>
      <c r="BA6" s="48">
        <v>0</v>
      </c>
      <c r="BB6" s="48">
        <v>0</v>
      </c>
      <c r="BC6" s="48">
        <v>0</v>
      </c>
      <c r="BD6" s="48">
        <v>0</v>
      </c>
      <c r="BE6" s="48">
        <v>0</v>
      </c>
      <c r="BF6" s="48">
        <v>0</v>
      </c>
      <c r="BG6" s="48">
        <v>0</v>
      </c>
      <c r="BH6" s="48">
        <v>0</v>
      </c>
      <c r="BI6" s="48">
        <v>0</v>
      </c>
      <c r="BJ6" s="48">
        <v>0</v>
      </c>
      <c r="BK6" s="48">
        <v>0</v>
      </c>
      <c r="BL6" s="48">
        <v>0</v>
      </c>
      <c r="BM6" s="48">
        <v>0</v>
      </c>
      <c r="BN6" s="48">
        <v>0</v>
      </c>
      <c r="BO6" s="48">
        <v>0</v>
      </c>
      <c r="BP6" s="48">
        <v>0</v>
      </c>
      <c r="BQ6" s="48">
        <v>0</v>
      </c>
      <c r="BR6" s="48">
        <v>0</v>
      </c>
      <c r="BS6" s="48">
        <v>0</v>
      </c>
      <c r="BT6" s="48">
        <v>0</v>
      </c>
      <c r="BU6" s="48">
        <v>0</v>
      </c>
      <c r="BV6" s="48">
        <v>0</v>
      </c>
      <c r="BW6" s="48">
        <v>0</v>
      </c>
      <c r="BX6" s="48">
        <v>0</v>
      </c>
      <c r="BY6" s="48">
        <v>0</v>
      </c>
      <c r="BZ6" s="48">
        <v>0</v>
      </c>
      <c r="CA6" s="48">
        <v>0</v>
      </c>
      <c r="CB6" s="48">
        <v>0</v>
      </c>
      <c r="CC6" s="48">
        <v>0</v>
      </c>
      <c r="CD6" s="48">
        <v>0</v>
      </c>
      <c r="CE6" s="48">
        <v>0</v>
      </c>
      <c r="CF6" s="48">
        <v>0</v>
      </c>
      <c r="CG6" s="48">
        <v>0</v>
      </c>
      <c r="CH6" s="48">
        <v>0</v>
      </c>
      <c r="CI6" s="48">
        <v>0</v>
      </c>
      <c r="CJ6" s="48">
        <v>0</v>
      </c>
      <c r="CK6" s="48">
        <v>0</v>
      </c>
      <c r="CL6" s="48">
        <v>0</v>
      </c>
      <c r="CM6" s="48">
        <v>0</v>
      </c>
      <c r="CN6" s="48">
        <v>0</v>
      </c>
      <c r="CO6" s="48">
        <v>0</v>
      </c>
      <c r="CP6" s="48">
        <v>0</v>
      </c>
      <c r="CQ6" s="48">
        <v>0</v>
      </c>
      <c r="CR6" s="48">
        <v>0</v>
      </c>
      <c r="CS6" s="48">
        <v>0</v>
      </c>
      <c r="CT6" s="48">
        <v>0</v>
      </c>
      <c r="CU6" s="48">
        <v>0</v>
      </c>
      <c r="CV6" s="48">
        <v>0</v>
      </c>
      <c r="CW6" s="48">
        <v>0</v>
      </c>
      <c r="CX6" s="48">
        <v>0</v>
      </c>
      <c r="CY6" s="48">
        <v>0</v>
      </c>
      <c r="CZ6" s="48">
        <v>0</v>
      </c>
      <c r="DA6" s="48">
        <v>0</v>
      </c>
      <c r="DB6" s="48">
        <v>0</v>
      </c>
      <c r="DC6" s="48">
        <v>0</v>
      </c>
      <c r="DD6" s="48">
        <v>0</v>
      </c>
      <c r="DE6" s="48">
        <v>0</v>
      </c>
      <c r="DF6" s="48">
        <v>0</v>
      </c>
      <c r="DG6" s="48">
        <v>0</v>
      </c>
      <c r="DH6" s="48">
        <v>0</v>
      </c>
      <c r="DI6" s="48">
        <v>0</v>
      </c>
      <c r="DJ6" s="48">
        <v>0</v>
      </c>
      <c r="DK6" s="48">
        <v>0</v>
      </c>
      <c r="DL6" s="48">
        <v>0</v>
      </c>
      <c r="DM6" s="48">
        <v>0</v>
      </c>
      <c r="DN6" s="48">
        <v>0</v>
      </c>
      <c r="DO6" s="48">
        <v>0</v>
      </c>
      <c r="DP6" s="48">
        <v>0</v>
      </c>
      <c r="DQ6" s="48">
        <v>0</v>
      </c>
      <c r="DR6" s="48">
        <v>0</v>
      </c>
      <c r="DS6" s="48">
        <v>0</v>
      </c>
      <c r="DT6" s="48">
        <v>0</v>
      </c>
      <c r="DU6" s="48">
        <v>0</v>
      </c>
      <c r="DV6" s="48">
        <v>0</v>
      </c>
      <c r="DW6" s="48">
        <v>0</v>
      </c>
      <c r="DX6" s="48">
        <v>0</v>
      </c>
      <c r="DY6" s="48">
        <v>0</v>
      </c>
      <c r="DZ6" s="48">
        <v>0</v>
      </c>
      <c r="EA6" s="48">
        <v>0</v>
      </c>
      <c r="EB6" s="48">
        <v>0</v>
      </c>
      <c r="EC6" s="48">
        <v>0</v>
      </c>
      <c r="ED6" s="48">
        <v>0</v>
      </c>
      <c r="EE6" s="48">
        <v>0</v>
      </c>
      <c r="EF6" s="48">
        <v>0</v>
      </c>
      <c r="EG6" s="48">
        <v>0</v>
      </c>
      <c r="EH6" s="48">
        <v>0</v>
      </c>
      <c r="EI6" s="48">
        <v>0</v>
      </c>
      <c r="EJ6" s="48">
        <v>0</v>
      </c>
      <c r="EK6" s="48">
        <v>0</v>
      </c>
      <c r="EL6" s="48">
        <v>0</v>
      </c>
      <c r="EM6" s="48">
        <v>0</v>
      </c>
      <c r="EN6" s="48">
        <v>0</v>
      </c>
      <c r="EO6" s="48">
        <v>0</v>
      </c>
      <c r="EP6" s="48">
        <v>0</v>
      </c>
      <c r="EQ6" s="48">
        <v>0</v>
      </c>
      <c r="ER6" s="48">
        <v>0</v>
      </c>
      <c r="ES6" s="48">
        <v>0</v>
      </c>
      <c r="ET6" s="48">
        <v>0</v>
      </c>
      <c r="EU6" s="48">
        <v>0</v>
      </c>
      <c r="EV6" s="48">
        <v>0</v>
      </c>
      <c r="EW6" s="48">
        <v>0</v>
      </c>
      <c r="EX6" s="48">
        <v>0</v>
      </c>
      <c r="EY6" s="48">
        <v>0</v>
      </c>
      <c r="EZ6" s="48">
        <v>0</v>
      </c>
      <c r="FA6" s="48">
        <v>0</v>
      </c>
      <c r="FB6" s="48">
        <v>0</v>
      </c>
      <c r="FC6" s="48">
        <v>0</v>
      </c>
      <c r="FD6" s="48">
        <v>0</v>
      </c>
      <c r="FE6" s="48">
        <v>0</v>
      </c>
      <c r="FF6" s="48">
        <v>0</v>
      </c>
      <c r="FG6" s="48">
        <v>0</v>
      </c>
      <c r="FH6" s="48">
        <v>0</v>
      </c>
      <c r="FI6" s="48">
        <v>0</v>
      </c>
      <c r="FJ6" s="48">
        <v>0</v>
      </c>
      <c r="FK6" s="48">
        <v>0</v>
      </c>
      <c r="FL6" s="48">
        <v>0</v>
      </c>
      <c r="FM6" s="48">
        <v>0</v>
      </c>
      <c r="FN6" s="48">
        <v>0</v>
      </c>
      <c r="FO6" s="48">
        <v>0</v>
      </c>
      <c r="FP6" s="48">
        <v>0</v>
      </c>
      <c r="FQ6" s="48">
        <v>0</v>
      </c>
      <c r="FR6" s="48">
        <v>0</v>
      </c>
      <c r="FS6" s="48">
        <v>0</v>
      </c>
      <c r="FT6" s="48">
        <v>0</v>
      </c>
      <c r="FU6" s="48">
        <v>0</v>
      </c>
      <c r="FV6" s="48">
        <v>0</v>
      </c>
      <c r="FW6" s="48">
        <v>0</v>
      </c>
      <c r="FX6" s="48">
        <v>0</v>
      </c>
      <c r="FY6" s="48">
        <v>0</v>
      </c>
      <c r="FZ6" s="48">
        <v>0</v>
      </c>
      <c r="GA6" s="48">
        <v>0</v>
      </c>
      <c r="GB6" s="48">
        <v>0</v>
      </c>
      <c r="GC6" s="48">
        <v>0</v>
      </c>
      <c r="GD6" s="48">
        <v>0</v>
      </c>
      <c r="GE6" s="48">
        <v>0</v>
      </c>
      <c r="GF6" s="48">
        <v>0</v>
      </c>
      <c r="GG6" s="48">
        <v>0</v>
      </c>
      <c r="GH6" s="48">
        <v>0</v>
      </c>
      <c r="GI6" s="48">
        <v>0</v>
      </c>
      <c r="GJ6" s="48">
        <v>0</v>
      </c>
      <c r="GK6" s="48">
        <v>0</v>
      </c>
      <c r="GL6" s="48">
        <v>0</v>
      </c>
      <c r="GM6" s="48">
        <v>0</v>
      </c>
      <c r="GN6" s="48">
        <v>0</v>
      </c>
      <c r="GO6" s="48">
        <v>0</v>
      </c>
      <c r="GP6" s="48">
        <v>0</v>
      </c>
      <c r="GQ6" s="48">
        <v>0</v>
      </c>
      <c r="GR6" s="48">
        <v>0</v>
      </c>
      <c r="GS6" s="48">
        <v>0</v>
      </c>
      <c r="GT6" s="48">
        <v>0</v>
      </c>
      <c r="GU6" s="48">
        <v>0</v>
      </c>
      <c r="GV6" s="48">
        <v>0</v>
      </c>
      <c r="GW6" s="48">
        <v>0</v>
      </c>
      <c r="GX6" s="48">
        <v>0</v>
      </c>
      <c r="GY6" s="48">
        <v>0</v>
      </c>
      <c r="GZ6" s="48">
        <v>0</v>
      </c>
      <c r="HA6" s="48">
        <v>0</v>
      </c>
      <c r="HB6" s="48">
        <v>0</v>
      </c>
      <c r="HC6" s="48">
        <v>0</v>
      </c>
      <c r="HD6" s="48">
        <v>0</v>
      </c>
      <c r="HE6" s="48">
        <v>0</v>
      </c>
      <c r="HF6" s="48">
        <v>0</v>
      </c>
      <c r="HG6" s="48">
        <v>0</v>
      </c>
      <c r="HH6" s="48">
        <v>0</v>
      </c>
      <c r="HI6" s="48">
        <v>0</v>
      </c>
      <c r="HJ6" s="48">
        <v>0</v>
      </c>
      <c r="HK6" s="48">
        <v>0</v>
      </c>
      <c r="HL6" s="48">
        <v>0</v>
      </c>
      <c r="HM6" s="48">
        <v>0</v>
      </c>
      <c r="HN6" s="48">
        <v>0</v>
      </c>
      <c r="HO6" s="48">
        <v>0</v>
      </c>
      <c r="HP6" s="48">
        <v>0</v>
      </c>
      <c r="HQ6" s="48">
        <v>0</v>
      </c>
      <c r="HR6" s="48">
        <v>0</v>
      </c>
      <c r="HS6" s="48">
        <v>0</v>
      </c>
      <c r="HT6" s="48">
        <v>0</v>
      </c>
      <c r="HU6" s="48">
        <v>0</v>
      </c>
      <c r="HV6" s="48">
        <v>0</v>
      </c>
      <c r="HW6" s="48">
        <v>0</v>
      </c>
      <c r="HX6" s="48">
        <v>0</v>
      </c>
      <c r="HY6" s="48">
        <v>0</v>
      </c>
      <c r="HZ6" s="48">
        <v>0</v>
      </c>
      <c r="IA6" s="48">
        <v>0</v>
      </c>
      <c r="IB6" s="48">
        <v>0</v>
      </c>
      <c r="IC6" s="48">
        <v>0</v>
      </c>
      <c r="ID6" s="48">
        <v>0</v>
      </c>
      <c r="IE6" s="48">
        <v>0</v>
      </c>
      <c r="IF6" s="48">
        <v>0</v>
      </c>
      <c r="IG6" s="48">
        <v>0</v>
      </c>
      <c r="IH6" s="48">
        <v>0</v>
      </c>
    </row>
    <row r="7" spans="1:243" x14ac:dyDescent="0.45">
      <c r="A7" s="67" t="s">
        <v>239</v>
      </c>
      <c r="B7" s="67"/>
      <c r="C7" s="56">
        <f>1+C6</f>
        <v>0</v>
      </c>
      <c r="D7" s="56">
        <f>C7+D6</f>
        <v>0</v>
      </c>
      <c r="E7" s="56">
        <f t="shared" ref="E7:BP7" si="0">D7+E6</f>
        <v>0</v>
      </c>
      <c r="F7" s="56">
        <f t="shared" si="0"/>
        <v>0</v>
      </c>
      <c r="G7" s="56">
        <f t="shared" si="0"/>
        <v>0</v>
      </c>
      <c r="H7" s="56">
        <f t="shared" si="0"/>
        <v>0</v>
      </c>
      <c r="I7" s="56">
        <f t="shared" si="0"/>
        <v>0</v>
      </c>
      <c r="J7" s="56">
        <f t="shared" si="0"/>
        <v>0</v>
      </c>
      <c r="K7" s="56">
        <f t="shared" si="0"/>
        <v>0</v>
      </c>
      <c r="L7" s="56">
        <f t="shared" si="0"/>
        <v>0</v>
      </c>
      <c r="M7" s="56">
        <f t="shared" si="0"/>
        <v>0</v>
      </c>
      <c r="N7" s="56">
        <f t="shared" si="0"/>
        <v>0</v>
      </c>
      <c r="O7" s="56">
        <f t="shared" si="0"/>
        <v>1</v>
      </c>
      <c r="P7" s="56">
        <f t="shared" si="0"/>
        <v>1</v>
      </c>
      <c r="Q7" s="56">
        <f t="shared" si="0"/>
        <v>1</v>
      </c>
      <c r="R7" s="56">
        <f t="shared" si="0"/>
        <v>1</v>
      </c>
      <c r="S7" s="56">
        <f t="shared" si="0"/>
        <v>1</v>
      </c>
      <c r="T7" s="56">
        <f t="shared" si="0"/>
        <v>1</v>
      </c>
      <c r="U7" s="56">
        <f t="shared" si="0"/>
        <v>1</v>
      </c>
      <c r="V7" s="56">
        <f t="shared" si="0"/>
        <v>1</v>
      </c>
      <c r="W7" s="56">
        <f t="shared" si="0"/>
        <v>1</v>
      </c>
      <c r="X7" s="56">
        <f t="shared" si="0"/>
        <v>1</v>
      </c>
      <c r="Y7" s="56">
        <f t="shared" si="0"/>
        <v>1</v>
      </c>
      <c r="Z7" s="56">
        <f t="shared" si="0"/>
        <v>1</v>
      </c>
      <c r="AA7" s="56">
        <f t="shared" si="0"/>
        <v>1</v>
      </c>
      <c r="AB7" s="56">
        <f t="shared" si="0"/>
        <v>1</v>
      </c>
      <c r="AC7" s="56">
        <f t="shared" si="0"/>
        <v>1</v>
      </c>
      <c r="AD7" s="56">
        <f t="shared" si="0"/>
        <v>1</v>
      </c>
      <c r="AE7" s="56">
        <f t="shared" si="0"/>
        <v>1</v>
      </c>
      <c r="AF7" s="56">
        <f t="shared" si="0"/>
        <v>1</v>
      </c>
      <c r="AG7" s="56">
        <f t="shared" si="0"/>
        <v>1</v>
      </c>
      <c r="AH7" s="56">
        <f t="shared" si="0"/>
        <v>1</v>
      </c>
      <c r="AI7" s="56">
        <f t="shared" si="0"/>
        <v>1</v>
      </c>
      <c r="AJ7" s="56">
        <f t="shared" si="0"/>
        <v>1</v>
      </c>
      <c r="AK7" s="56">
        <f t="shared" si="0"/>
        <v>1</v>
      </c>
      <c r="AL7" s="56">
        <f t="shared" si="0"/>
        <v>1</v>
      </c>
      <c r="AM7" s="56">
        <f t="shared" si="0"/>
        <v>1</v>
      </c>
      <c r="AN7" s="56">
        <f t="shared" si="0"/>
        <v>1</v>
      </c>
      <c r="AO7" s="56">
        <f t="shared" si="0"/>
        <v>1</v>
      </c>
      <c r="AP7" s="56">
        <f t="shared" si="0"/>
        <v>1</v>
      </c>
      <c r="AQ7" s="56">
        <f t="shared" si="0"/>
        <v>1</v>
      </c>
      <c r="AR7" s="56">
        <f t="shared" si="0"/>
        <v>1</v>
      </c>
      <c r="AS7" s="56">
        <f t="shared" si="0"/>
        <v>1</v>
      </c>
      <c r="AT7" s="56">
        <f t="shared" si="0"/>
        <v>1</v>
      </c>
      <c r="AU7" s="56">
        <f t="shared" si="0"/>
        <v>1</v>
      </c>
      <c r="AV7" s="56">
        <f t="shared" si="0"/>
        <v>1</v>
      </c>
      <c r="AW7" s="56">
        <f t="shared" si="0"/>
        <v>1</v>
      </c>
      <c r="AX7" s="56">
        <f t="shared" si="0"/>
        <v>1</v>
      </c>
      <c r="AY7" s="56">
        <f t="shared" si="0"/>
        <v>1</v>
      </c>
      <c r="AZ7" s="56">
        <f t="shared" si="0"/>
        <v>1</v>
      </c>
      <c r="BA7" s="56">
        <f t="shared" si="0"/>
        <v>1</v>
      </c>
      <c r="BB7" s="56">
        <f t="shared" si="0"/>
        <v>1</v>
      </c>
      <c r="BC7" s="56">
        <f t="shared" si="0"/>
        <v>1</v>
      </c>
      <c r="BD7" s="56">
        <f t="shared" si="0"/>
        <v>1</v>
      </c>
      <c r="BE7" s="56">
        <f t="shared" si="0"/>
        <v>1</v>
      </c>
      <c r="BF7" s="56">
        <f t="shared" si="0"/>
        <v>1</v>
      </c>
      <c r="BG7" s="56">
        <f t="shared" si="0"/>
        <v>1</v>
      </c>
      <c r="BH7" s="56">
        <f t="shared" si="0"/>
        <v>1</v>
      </c>
      <c r="BI7" s="56">
        <f t="shared" si="0"/>
        <v>1</v>
      </c>
      <c r="BJ7" s="56">
        <f t="shared" si="0"/>
        <v>1</v>
      </c>
      <c r="BK7" s="56">
        <f t="shared" si="0"/>
        <v>1</v>
      </c>
      <c r="BL7" s="56">
        <f t="shared" si="0"/>
        <v>1</v>
      </c>
      <c r="BM7" s="56">
        <f t="shared" si="0"/>
        <v>1</v>
      </c>
      <c r="BN7" s="56">
        <f t="shared" si="0"/>
        <v>1</v>
      </c>
      <c r="BO7" s="56">
        <f t="shared" si="0"/>
        <v>1</v>
      </c>
      <c r="BP7" s="56">
        <f t="shared" si="0"/>
        <v>1</v>
      </c>
      <c r="BQ7" s="56">
        <f t="shared" ref="BQ7:EB7" si="1">BP7+BQ6</f>
        <v>1</v>
      </c>
      <c r="BR7" s="56">
        <f t="shared" si="1"/>
        <v>1</v>
      </c>
      <c r="BS7" s="56">
        <f t="shared" si="1"/>
        <v>1</v>
      </c>
      <c r="BT7" s="56">
        <f t="shared" si="1"/>
        <v>1</v>
      </c>
      <c r="BU7" s="56">
        <f t="shared" si="1"/>
        <v>1</v>
      </c>
      <c r="BV7" s="56">
        <f t="shared" si="1"/>
        <v>1</v>
      </c>
      <c r="BW7" s="56">
        <f t="shared" si="1"/>
        <v>1</v>
      </c>
      <c r="BX7" s="56">
        <f t="shared" si="1"/>
        <v>1</v>
      </c>
      <c r="BY7" s="56">
        <f t="shared" si="1"/>
        <v>1</v>
      </c>
      <c r="BZ7" s="56">
        <f t="shared" si="1"/>
        <v>1</v>
      </c>
      <c r="CA7" s="56">
        <f t="shared" si="1"/>
        <v>1</v>
      </c>
      <c r="CB7" s="56">
        <f t="shared" si="1"/>
        <v>1</v>
      </c>
      <c r="CC7" s="56">
        <f t="shared" si="1"/>
        <v>1</v>
      </c>
      <c r="CD7" s="56">
        <f t="shared" si="1"/>
        <v>1</v>
      </c>
      <c r="CE7" s="56">
        <f t="shared" si="1"/>
        <v>1</v>
      </c>
      <c r="CF7" s="56">
        <f t="shared" si="1"/>
        <v>1</v>
      </c>
      <c r="CG7" s="56">
        <f t="shared" si="1"/>
        <v>1</v>
      </c>
      <c r="CH7" s="56">
        <f t="shared" si="1"/>
        <v>1</v>
      </c>
      <c r="CI7" s="56">
        <f t="shared" si="1"/>
        <v>1</v>
      </c>
      <c r="CJ7" s="56">
        <f t="shared" si="1"/>
        <v>1</v>
      </c>
      <c r="CK7" s="56">
        <f t="shared" si="1"/>
        <v>1</v>
      </c>
      <c r="CL7" s="56">
        <f t="shared" si="1"/>
        <v>1</v>
      </c>
      <c r="CM7" s="56">
        <f t="shared" si="1"/>
        <v>1</v>
      </c>
      <c r="CN7" s="56">
        <f t="shared" si="1"/>
        <v>1</v>
      </c>
      <c r="CO7" s="56">
        <f t="shared" si="1"/>
        <v>1</v>
      </c>
      <c r="CP7" s="56">
        <f t="shared" si="1"/>
        <v>1</v>
      </c>
      <c r="CQ7" s="56">
        <f t="shared" si="1"/>
        <v>1</v>
      </c>
      <c r="CR7" s="56">
        <f t="shared" si="1"/>
        <v>1</v>
      </c>
      <c r="CS7" s="56">
        <f t="shared" si="1"/>
        <v>1</v>
      </c>
      <c r="CT7" s="56">
        <f t="shared" si="1"/>
        <v>1</v>
      </c>
      <c r="CU7" s="56">
        <f t="shared" si="1"/>
        <v>1</v>
      </c>
      <c r="CV7" s="56">
        <f t="shared" si="1"/>
        <v>1</v>
      </c>
      <c r="CW7" s="56">
        <f t="shared" si="1"/>
        <v>1</v>
      </c>
      <c r="CX7" s="56">
        <f t="shared" si="1"/>
        <v>1</v>
      </c>
      <c r="CY7" s="56">
        <f t="shared" si="1"/>
        <v>1</v>
      </c>
      <c r="CZ7" s="56">
        <f t="shared" si="1"/>
        <v>1</v>
      </c>
      <c r="DA7" s="56">
        <f t="shared" si="1"/>
        <v>1</v>
      </c>
      <c r="DB7" s="56">
        <f t="shared" si="1"/>
        <v>1</v>
      </c>
      <c r="DC7" s="56">
        <f t="shared" si="1"/>
        <v>1</v>
      </c>
      <c r="DD7" s="56">
        <f t="shared" si="1"/>
        <v>1</v>
      </c>
      <c r="DE7" s="56">
        <f t="shared" si="1"/>
        <v>1</v>
      </c>
      <c r="DF7" s="56">
        <f t="shared" si="1"/>
        <v>1</v>
      </c>
      <c r="DG7" s="56">
        <f t="shared" si="1"/>
        <v>1</v>
      </c>
      <c r="DH7" s="56">
        <f t="shared" si="1"/>
        <v>1</v>
      </c>
      <c r="DI7" s="56">
        <f t="shared" si="1"/>
        <v>1</v>
      </c>
      <c r="DJ7" s="56">
        <f t="shared" si="1"/>
        <v>1</v>
      </c>
      <c r="DK7" s="56">
        <f t="shared" si="1"/>
        <v>1</v>
      </c>
      <c r="DL7" s="56">
        <f t="shared" si="1"/>
        <v>1</v>
      </c>
      <c r="DM7" s="56">
        <f t="shared" si="1"/>
        <v>1</v>
      </c>
      <c r="DN7" s="56">
        <f t="shared" si="1"/>
        <v>1</v>
      </c>
      <c r="DO7" s="56">
        <f t="shared" si="1"/>
        <v>1</v>
      </c>
      <c r="DP7" s="56">
        <f t="shared" si="1"/>
        <v>1</v>
      </c>
      <c r="DQ7" s="56">
        <f t="shared" si="1"/>
        <v>1</v>
      </c>
      <c r="DR7" s="56">
        <f t="shared" si="1"/>
        <v>1</v>
      </c>
      <c r="DS7" s="56">
        <f t="shared" si="1"/>
        <v>1</v>
      </c>
      <c r="DT7" s="56">
        <f t="shared" si="1"/>
        <v>1</v>
      </c>
      <c r="DU7" s="56">
        <f t="shared" si="1"/>
        <v>1</v>
      </c>
      <c r="DV7" s="56">
        <f t="shared" si="1"/>
        <v>1</v>
      </c>
      <c r="DW7" s="56">
        <f t="shared" si="1"/>
        <v>1</v>
      </c>
      <c r="DX7" s="56">
        <f t="shared" si="1"/>
        <v>1</v>
      </c>
      <c r="DY7" s="56">
        <f t="shared" si="1"/>
        <v>1</v>
      </c>
      <c r="DZ7" s="56">
        <f t="shared" si="1"/>
        <v>1</v>
      </c>
      <c r="EA7" s="56">
        <f t="shared" si="1"/>
        <v>1</v>
      </c>
      <c r="EB7" s="56">
        <f t="shared" si="1"/>
        <v>1</v>
      </c>
      <c r="EC7" s="56">
        <f t="shared" ref="EC7:FZ7" si="2">EB7+EC6</f>
        <v>1</v>
      </c>
      <c r="ED7" s="56">
        <f t="shared" si="2"/>
        <v>1</v>
      </c>
      <c r="EE7" s="56">
        <f t="shared" si="2"/>
        <v>1</v>
      </c>
      <c r="EF7" s="56">
        <f t="shared" si="2"/>
        <v>1</v>
      </c>
      <c r="EG7" s="56">
        <f t="shared" si="2"/>
        <v>1</v>
      </c>
      <c r="EH7" s="56">
        <f t="shared" si="2"/>
        <v>1</v>
      </c>
      <c r="EI7" s="56">
        <f t="shared" si="2"/>
        <v>1</v>
      </c>
      <c r="EJ7" s="56">
        <f t="shared" si="2"/>
        <v>1</v>
      </c>
      <c r="EK7" s="56">
        <f t="shared" si="2"/>
        <v>1</v>
      </c>
      <c r="EL7" s="56">
        <f t="shared" si="2"/>
        <v>1</v>
      </c>
      <c r="EM7" s="56">
        <f t="shared" si="2"/>
        <v>1</v>
      </c>
      <c r="EN7" s="56">
        <f t="shared" si="2"/>
        <v>1</v>
      </c>
      <c r="EO7" s="56">
        <f t="shared" si="2"/>
        <v>1</v>
      </c>
      <c r="EP7" s="56">
        <f t="shared" si="2"/>
        <v>1</v>
      </c>
      <c r="EQ7" s="56">
        <f t="shared" si="2"/>
        <v>1</v>
      </c>
      <c r="ER7" s="56">
        <f t="shared" si="2"/>
        <v>1</v>
      </c>
      <c r="ES7" s="56">
        <f t="shared" si="2"/>
        <v>1</v>
      </c>
      <c r="ET7" s="56">
        <f t="shared" si="2"/>
        <v>1</v>
      </c>
      <c r="EU7" s="56">
        <f t="shared" si="2"/>
        <v>1</v>
      </c>
      <c r="EV7" s="56">
        <f t="shared" si="2"/>
        <v>1</v>
      </c>
      <c r="EW7" s="56">
        <f t="shared" si="2"/>
        <v>1</v>
      </c>
      <c r="EX7" s="56">
        <f t="shared" si="2"/>
        <v>1</v>
      </c>
      <c r="EY7" s="56">
        <f t="shared" si="2"/>
        <v>1</v>
      </c>
      <c r="EZ7" s="56">
        <f t="shared" si="2"/>
        <v>1</v>
      </c>
      <c r="FA7" s="56">
        <f t="shared" si="2"/>
        <v>1</v>
      </c>
      <c r="FB7" s="56">
        <f t="shared" si="2"/>
        <v>1</v>
      </c>
      <c r="FC7" s="56">
        <f t="shared" si="2"/>
        <v>1</v>
      </c>
      <c r="FD7" s="56">
        <f t="shared" si="2"/>
        <v>1</v>
      </c>
      <c r="FE7" s="56">
        <f t="shared" si="2"/>
        <v>1</v>
      </c>
      <c r="FF7" s="56">
        <f t="shared" si="2"/>
        <v>1</v>
      </c>
      <c r="FG7" s="56">
        <f t="shared" si="2"/>
        <v>1</v>
      </c>
      <c r="FH7" s="56">
        <f t="shared" si="2"/>
        <v>1</v>
      </c>
      <c r="FI7" s="56">
        <f t="shared" si="2"/>
        <v>1</v>
      </c>
      <c r="FJ7" s="56">
        <f t="shared" si="2"/>
        <v>1</v>
      </c>
      <c r="FK7" s="56">
        <f t="shared" si="2"/>
        <v>1</v>
      </c>
      <c r="FL7" s="56">
        <f t="shared" si="2"/>
        <v>1</v>
      </c>
      <c r="FM7" s="56">
        <f t="shared" si="2"/>
        <v>1</v>
      </c>
      <c r="FN7" s="56">
        <f t="shared" si="2"/>
        <v>1</v>
      </c>
      <c r="FO7" s="56">
        <f t="shared" si="2"/>
        <v>1</v>
      </c>
      <c r="FP7" s="56">
        <f t="shared" si="2"/>
        <v>1</v>
      </c>
      <c r="FQ7" s="56">
        <f t="shared" si="2"/>
        <v>1</v>
      </c>
      <c r="FR7" s="56">
        <f t="shared" si="2"/>
        <v>1</v>
      </c>
      <c r="FS7" s="56">
        <f t="shared" si="2"/>
        <v>1</v>
      </c>
      <c r="FT7" s="56">
        <f t="shared" si="2"/>
        <v>1</v>
      </c>
      <c r="FU7" s="56">
        <f t="shared" si="2"/>
        <v>1</v>
      </c>
      <c r="FV7" s="56">
        <f t="shared" si="2"/>
        <v>1</v>
      </c>
      <c r="FW7" s="56">
        <f t="shared" si="2"/>
        <v>1</v>
      </c>
      <c r="FX7" s="56">
        <f t="shared" si="2"/>
        <v>1</v>
      </c>
      <c r="FY7" s="56">
        <f t="shared" si="2"/>
        <v>1</v>
      </c>
      <c r="FZ7" s="56">
        <f t="shared" si="2"/>
        <v>1</v>
      </c>
      <c r="GA7" s="56">
        <f t="shared" ref="GA7" si="3">FZ7+GA6</f>
        <v>1</v>
      </c>
      <c r="GB7" s="56">
        <f t="shared" ref="GB7" si="4">GA7+GB6</f>
        <v>1</v>
      </c>
      <c r="GC7" s="56">
        <f t="shared" ref="GC7" si="5">GB7+GC6</f>
        <v>1</v>
      </c>
      <c r="GD7" s="56">
        <f t="shared" ref="GD7" si="6">GC7+GD6</f>
        <v>1</v>
      </c>
      <c r="GE7" s="56">
        <f t="shared" ref="GE7" si="7">GD7+GE6</f>
        <v>1</v>
      </c>
      <c r="GF7" s="56">
        <f t="shared" ref="GF7" si="8">GE7+GF6</f>
        <v>1</v>
      </c>
      <c r="GG7" s="56">
        <f t="shared" ref="GG7" si="9">GF7+GG6</f>
        <v>1</v>
      </c>
      <c r="GH7" s="56">
        <f t="shared" ref="GH7" si="10">GG7+GH6</f>
        <v>1</v>
      </c>
      <c r="GI7" s="56">
        <f t="shared" ref="GI7" si="11">GH7+GI6</f>
        <v>1</v>
      </c>
      <c r="GJ7" s="56">
        <f t="shared" ref="GJ7" si="12">GI7+GJ6</f>
        <v>1</v>
      </c>
      <c r="GK7" s="56">
        <f t="shared" ref="GK7" si="13">GJ7+GK6</f>
        <v>1</v>
      </c>
      <c r="GL7" s="56">
        <f t="shared" ref="GL7" si="14">GK7+GL6</f>
        <v>1</v>
      </c>
      <c r="GM7" s="56">
        <f t="shared" ref="GM7" si="15">GL7+GM6</f>
        <v>1</v>
      </c>
      <c r="GN7" s="56">
        <f t="shared" ref="GN7" si="16">GM7+GN6</f>
        <v>1</v>
      </c>
      <c r="GO7" s="56">
        <f t="shared" ref="GO7" si="17">GN7+GO6</f>
        <v>1</v>
      </c>
      <c r="GP7" s="56">
        <f t="shared" ref="GP7" si="18">GO7+GP6</f>
        <v>1</v>
      </c>
      <c r="GQ7" s="56">
        <f t="shared" ref="GQ7" si="19">GP7+GQ6</f>
        <v>1</v>
      </c>
      <c r="GR7" s="56">
        <f t="shared" ref="GR7" si="20">GQ7+GR6</f>
        <v>1</v>
      </c>
      <c r="GS7" s="56">
        <f t="shared" ref="GS7" si="21">GR7+GS6</f>
        <v>1</v>
      </c>
      <c r="GT7" s="56">
        <f t="shared" ref="GT7" si="22">GS7+GT6</f>
        <v>1</v>
      </c>
      <c r="GU7" s="56">
        <f t="shared" ref="GU7" si="23">GT7+GU6</f>
        <v>1</v>
      </c>
      <c r="GV7" s="56">
        <f t="shared" ref="GV7" si="24">GU7+GV6</f>
        <v>1</v>
      </c>
      <c r="GW7" s="56">
        <f t="shared" ref="GW7" si="25">GV7+GW6</f>
        <v>1</v>
      </c>
      <c r="GX7" s="56">
        <f t="shared" ref="GX7" si="26">GW7+GX6</f>
        <v>1</v>
      </c>
      <c r="GY7" s="56">
        <f t="shared" ref="GY7" si="27">GX7+GY6</f>
        <v>1</v>
      </c>
      <c r="GZ7" s="56">
        <f t="shared" ref="GZ7" si="28">GY7+GZ6</f>
        <v>1</v>
      </c>
      <c r="HA7" s="56">
        <f t="shared" ref="HA7" si="29">GZ7+HA6</f>
        <v>1</v>
      </c>
      <c r="HB7" s="56">
        <f t="shared" ref="HB7" si="30">HA7+HB6</f>
        <v>1</v>
      </c>
      <c r="HC7" s="56">
        <f t="shared" ref="HC7" si="31">HB7+HC6</f>
        <v>1</v>
      </c>
      <c r="HD7" s="56">
        <f t="shared" ref="HD7" si="32">HC7+HD6</f>
        <v>1</v>
      </c>
      <c r="HE7" s="56">
        <f t="shared" ref="HE7" si="33">HD7+HE6</f>
        <v>1</v>
      </c>
      <c r="HF7" s="56">
        <f t="shared" ref="HF7" si="34">HE7+HF6</f>
        <v>1</v>
      </c>
      <c r="HG7" s="56">
        <f t="shared" ref="HG7" si="35">HF7+HG6</f>
        <v>1</v>
      </c>
      <c r="HH7" s="56">
        <f t="shared" ref="HH7" si="36">HG7+HH6</f>
        <v>1</v>
      </c>
      <c r="HI7" s="56">
        <f t="shared" ref="HI7" si="37">HH7+HI6</f>
        <v>1</v>
      </c>
      <c r="HJ7" s="56">
        <f t="shared" ref="HJ7" si="38">HI7+HJ6</f>
        <v>1</v>
      </c>
      <c r="HK7" s="56">
        <f t="shared" ref="HK7" si="39">HJ7+HK6</f>
        <v>1</v>
      </c>
      <c r="HL7" s="56">
        <f t="shared" ref="HL7" si="40">HK7+HL6</f>
        <v>1</v>
      </c>
      <c r="HM7" s="56">
        <f t="shared" ref="HM7" si="41">HL7+HM6</f>
        <v>1</v>
      </c>
      <c r="HN7" s="56">
        <f t="shared" ref="HN7" si="42">HM7+HN6</f>
        <v>1</v>
      </c>
      <c r="HO7" s="56">
        <f t="shared" ref="HO7" si="43">HN7+HO6</f>
        <v>1</v>
      </c>
      <c r="HP7" s="56">
        <f t="shared" ref="HP7" si="44">HO7+HP6</f>
        <v>1</v>
      </c>
      <c r="HQ7" s="56">
        <f t="shared" ref="HQ7" si="45">HP7+HQ6</f>
        <v>1</v>
      </c>
      <c r="HR7" s="56">
        <f t="shared" ref="HR7" si="46">HQ7+HR6</f>
        <v>1</v>
      </c>
      <c r="HS7" s="56">
        <f t="shared" ref="HS7" si="47">HR7+HS6</f>
        <v>1</v>
      </c>
      <c r="HT7" s="56">
        <f t="shared" ref="HT7" si="48">HS7+HT6</f>
        <v>1</v>
      </c>
      <c r="HU7" s="56">
        <f t="shared" ref="HU7" si="49">HT7+HU6</f>
        <v>1</v>
      </c>
      <c r="HV7" s="56">
        <f t="shared" ref="HV7" si="50">HU7+HV6</f>
        <v>1</v>
      </c>
      <c r="HW7" s="56">
        <f t="shared" ref="HW7" si="51">HV7+HW6</f>
        <v>1</v>
      </c>
      <c r="HX7" s="56">
        <f t="shared" ref="HX7" si="52">HW7+HX6</f>
        <v>1</v>
      </c>
      <c r="HY7" s="56">
        <f t="shared" ref="HY7" si="53">HX7+HY6</f>
        <v>1</v>
      </c>
      <c r="HZ7" s="56">
        <f t="shared" ref="HZ7" si="54">HY7+HZ6</f>
        <v>1</v>
      </c>
      <c r="IA7" s="56">
        <f t="shared" ref="IA7" si="55">HZ7+IA6</f>
        <v>1</v>
      </c>
      <c r="IB7" s="56">
        <f t="shared" ref="IB7" si="56">IA7+IB6</f>
        <v>1</v>
      </c>
      <c r="IC7" s="56">
        <f t="shared" ref="IC7" si="57">IB7+IC6</f>
        <v>1</v>
      </c>
      <c r="ID7" s="56">
        <f t="shared" ref="ID7" si="58">IC7+ID6</f>
        <v>1</v>
      </c>
      <c r="IE7" s="56">
        <f t="shared" ref="IE7" si="59">ID7+IE6</f>
        <v>1</v>
      </c>
      <c r="IF7" s="56">
        <f t="shared" ref="IF7" si="60">IE7+IF6</f>
        <v>1</v>
      </c>
      <c r="IG7" s="56">
        <f t="shared" ref="IG7" si="61">IF7+IG6</f>
        <v>1</v>
      </c>
      <c r="IH7" s="56">
        <f t="shared" ref="IH7" si="62">IG7+IH6</f>
        <v>1</v>
      </c>
    </row>
    <row r="8" spans="1:243" x14ac:dyDescent="0.45">
      <c r="A8" s="67" t="s">
        <v>242</v>
      </c>
      <c r="B8" s="67"/>
      <c r="C8" s="48">
        <v>-0.75</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0.5</v>
      </c>
      <c r="AB8" s="48">
        <v>0</v>
      </c>
      <c r="AC8" s="48">
        <v>0</v>
      </c>
      <c r="AD8" s="48">
        <v>0</v>
      </c>
      <c r="AE8" s="48">
        <v>0</v>
      </c>
      <c r="AF8" s="48">
        <v>0</v>
      </c>
      <c r="AG8" s="48">
        <v>0</v>
      </c>
      <c r="AH8" s="48">
        <v>0</v>
      </c>
      <c r="AI8" s="48">
        <v>0</v>
      </c>
      <c r="AJ8" s="48">
        <v>0</v>
      </c>
      <c r="AK8" s="48">
        <v>0</v>
      </c>
      <c r="AL8" s="48">
        <v>0</v>
      </c>
      <c r="AM8" s="48">
        <v>0</v>
      </c>
      <c r="AN8" s="48">
        <v>0</v>
      </c>
      <c r="AO8" s="48">
        <v>0</v>
      </c>
      <c r="AP8" s="48">
        <v>0</v>
      </c>
      <c r="AQ8" s="48">
        <v>0</v>
      </c>
      <c r="AR8" s="48">
        <v>0</v>
      </c>
      <c r="AS8" s="48">
        <v>0</v>
      </c>
      <c r="AT8" s="48">
        <v>0</v>
      </c>
      <c r="AU8" s="48">
        <v>0</v>
      </c>
      <c r="AV8" s="48">
        <v>0</v>
      </c>
      <c r="AW8" s="48">
        <v>0</v>
      </c>
      <c r="AX8" s="48">
        <v>0</v>
      </c>
      <c r="AY8" s="48">
        <v>0</v>
      </c>
      <c r="AZ8" s="48">
        <v>0</v>
      </c>
      <c r="BA8" s="48">
        <v>0</v>
      </c>
      <c r="BB8" s="48">
        <v>0</v>
      </c>
      <c r="BC8" s="48">
        <v>0</v>
      </c>
      <c r="BD8" s="48">
        <v>0</v>
      </c>
      <c r="BE8" s="48">
        <v>0</v>
      </c>
      <c r="BF8" s="48">
        <v>0</v>
      </c>
      <c r="BG8" s="48">
        <v>0</v>
      </c>
      <c r="BH8" s="48">
        <v>0</v>
      </c>
      <c r="BI8" s="48">
        <v>0</v>
      </c>
      <c r="BJ8" s="48">
        <v>0</v>
      </c>
      <c r="BK8" s="48">
        <v>0</v>
      </c>
      <c r="BL8" s="48">
        <v>0</v>
      </c>
      <c r="BM8" s="48">
        <v>0</v>
      </c>
      <c r="BN8" s="48">
        <v>0</v>
      </c>
      <c r="BO8" s="48">
        <v>0</v>
      </c>
      <c r="BP8" s="48">
        <v>0</v>
      </c>
      <c r="BQ8" s="48">
        <v>0</v>
      </c>
      <c r="BR8" s="48">
        <v>0</v>
      </c>
      <c r="BS8" s="48">
        <v>0</v>
      </c>
      <c r="BT8" s="48">
        <v>0</v>
      </c>
      <c r="BU8" s="48">
        <v>0</v>
      </c>
      <c r="BV8" s="48">
        <v>0</v>
      </c>
      <c r="BW8" s="48">
        <v>0.25</v>
      </c>
      <c r="BX8" s="48">
        <v>0</v>
      </c>
      <c r="BY8" s="48">
        <v>0</v>
      </c>
      <c r="BZ8" s="48">
        <v>0</v>
      </c>
      <c r="CA8" s="48">
        <v>0</v>
      </c>
      <c r="CB8" s="48">
        <v>0</v>
      </c>
      <c r="CC8" s="48">
        <v>0</v>
      </c>
      <c r="CD8" s="48">
        <v>0</v>
      </c>
      <c r="CE8" s="48">
        <v>0</v>
      </c>
      <c r="CF8" s="48">
        <v>0</v>
      </c>
      <c r="CG8" s="48">
        <v>0</v>
      </c>
      <c r="CH8" s="48">
        <v>0</v>
      </c>
      <c r="CI8" s="48">
        <v>0</v>
      </c>
      <c r="CJ8" s="48">
        <v>0</v>
      </c>
      <c r="CK8" s="48">
        <v>0</v>
      </c>
      <c r="CL8" s="48">
        <v>0</v>
      </c>
      <c r="CM8" s="48">
        <v>0</v>
      </c>
      <c r="CN8" s="48">
        <v>0.03</v>
      </c>
      <c r="CO8" s="48">
        <v>0</v>
      </c>
      <c r="CP8" s="48">
        <v>0</v>
      </c>
      <c r="CQ8" s="48">
        <v>0</v>
      </c>
      <c r="CR8" s="48">
        <v>0</v>
      </c>
      <c r="CS8" s="48">
        <v>0</v>
      </c>
      <c r="CT8" s="48">
        <v>0</v>
      </c>
      <c r="CU8" s="48">
        <v>0.03</v>
      </c>
      <c r="CV8" s="48">
        <v>0</v>
      </c>
      <c r="CW8" s="48">
        <v>0</v>
      </c>
      <c r="CX8" s="48">
        <v>0</v>
      </c>
      <c r="CY8" s="48">
        <v>0</v>
      </c>
      <c r="CZ8" s="48">
        <v>0</v>
      </c>
      <c r="DA8" s="48">
        <v>0</v>
      </c>
      <c r="DB8" s="48">
        <v>0</v>
      </c>
      <c r="DC8" s="48">
        <v>0</v>
      </c>
      <c r="DD8" s="48">
        <v>0</v>
      </c>
      <c r="DE8" s="48">
        <v>0</v>
      </c>
      <c r="DF8" s="48">
        <v>0</v>
      </c>
      <c r="DG8" s="48">
        <v>0.03</v>
      </c>
      <c r="DH8" s="48">
        <v>0</v>
      </c>
      <c r="DI8" s="48">
        <v>0</v>
      </c>
      <c r="DJ8" s="48">
        <v>0</v>
      </c>
      <c r="DK8" s="48">
        <v>0</v>
      </c>
      <c r="DL8" s="48">
        <v>0</v>
      </c>
      <c r="DM8" s="48">
        <v>0</v>
      </c>
      <c r="DN8" s="48">
        <v>0</v>
      </c>
      <c r="DO8" s="48">
        <v>0</v>
      </c>
      <c r="DP8" s="48">
        <v>0</v>
      </c>
      <c r="DQ8" s="48">
        <v>0</v>
      </c>
      <c r="DR8" s="48">
        <v>0</v>
      </c>
      <c r="DS8" s="48">
        <v>0.03</v>
      </c>
      <c r="DT8" s="48">
        <v>0</v>
      </c>
      <c r="DU8" s="48">
        <v>0</v>
      </c>
      <c r="DV8" s="48">
        <v>0</v>
      </c>
      <c r="DW8" s="48">
        <v>0</v>
      </c>
      <c r="DX8" s="48">
        <v>0</v>
      </c>
      <c r="DY8" s="48">
        <v>0</v>
      </c>
      <c r="DZ8" s="48">
        <v>0</v>
      </c>
      <c r="EA8" s="48">
        <v>0</v>
      </c>
      <c r="EB8" s="48">
        <v>0</v>
      </c>
      <c r="EC8" s="48">
        <v>0</v>
      </c>
      <c r="ED8" s="48">
        <v>0</v>
      </c>
      <c r="EE8" s="48">
        <v>0.03</v>
      </c>
      <c r="EF8" s="48">
        <v>0</v>
      </c>
      <c r="EG8" s="48">
        <v>0</v>
      </c>
      <c r="EH8" s="48">
        <v>0</v>
      </c>
      <c r="EI8" s="48">
        <v>0</v>
      </c>
      <c r="EJ8" s="48">
        <v>0</v>
      </c>
      <c r="EK8" s="48">
        <v>0</v>
      </c>
      <c r="EL8" s="48">
        <v>0</v>
      </c>
      <c r="EM8" s="48">
        <v>0</v>
      </c>
      <c r="EN8" s="48">
        <v>0</v>
      </c>
      <c r="EO8" s="48">
        <v>0</v>
      </c>
      <c r="EP8" s="48">
        <v>0</v>
      </c>
      <c r="EQ8" s="48">
        <v>0.03</v>
      </c>
      <c r="ER8" s="48">
        <v>0</v>
      </c>
      <c r="ES8" s="48">
        <v>0</v>
      </c>
      <c r="ET8" s="48">
        <v>0</v>
      </c>
      <c r="EU8" s="48">
        <v>0</v>
      </c>
      <c r="EV8" s="48">
        <v>0</v>
      </c>
      <c r="EW8" s="48">
        <v>0</v>
      </c>
      <c r="EX8" s="48">
        <v>0</v>
      </c>
      <c r="EY8" s="48">
        <v>0</v>
      </c>
      <c r="EZ8" s="48">
        <v>0</v>
      </c>
      <c r="FA8" s="48">
        <v>0</v>
      </c>
      <c r="FB8" s="48">
        <v>0</v>
      </c>
      <c r="FC8" s="48">
        <v>0.03</v>
      </c>
      <c r="FD8" s="48">
        <v>0</v>
      </c>
      <c r="FE8" s="48">
        <v>0</v>
      </c>
      <c r="FF8" s="48">
        <v>0</v>
      </c>
      <c r="FG8" s="48">
        <v>0</v>
      </c>
      <c r="FH8" s="48">
        <v>0</v>
      </c>
      <c r="FI8" s="48">
        <v>0</v>
      </c>
      <c r="FJ8" s="48">
        <v>0</v>
      </c>
      <c r="FK8" s="48">
        <v>0</v>
      </c>
      <c r="FL8" s="48">
        <v>0</v>
      </c>
      <c r="FM8" s="48">
        <v>0</v>
      </c>
      <c r="FN8" s="48">
        <v>0</v>
      </c>
      <c r="FO8" s="48">
        <v>0.03</v>
      </c>
      <c r="FP8" s="48">
        <v>0</v>
      </c>
      <c r="FQ8" s="48">
        <v>0</v>
      </c>
      <c r="FR8" s="48">
        <v>0</v>
      </c>
      <c r="FS8" s="48">
        <v>0</v>
      </c>
      <c r="FT8" s="48">
        <v>0</v>
      </c>
      <c r="FU8" s="48">
        <v>0</v>
      </c>
      <c r="FV8" s="48">
        <v>0</v>
      </c>
      <c r="FW8" s="48">
        <v>0</v>
      </c>
      <c r="FX8" s="48">
        <v>0</v>
      </c>
      <c r="FY8" s="48">
        <v>0</v>
      </c>
      <c r="FZ8" s="48">
        <v>0</v>
      </c>
      <c r="GA8" s="48">
        <v>0.03</v>
      </c>
      <c r="GB8" s="48">
        <v>0</v>
      </c>
      <c r="GC8" s="48">
        <v>0</v>
      </c>
      <c r="GD8" s="48">
        <v>0</v>
      </c>
      <c r="GE8" s="48">
        <v>0</v>
      </c>
      <c r="GF8" s="48">
        <v>0</v>
      </c>
      <c r="GG8" s="48">
        <v>0</v>
      </c>
      <c r="GH8" s="48">
        <v>0</v>
      </c>
      <c r="GI8" s="48">
        <v>0</v>
      </c>
      <c r="GJ8" s="48">
        <v>0</v>
      </c>
      <c r="GK8" s="48">
        <v>0</v>
      </c>
      <c r="GL8" s="48">
        <v>0</v>
      </c>
      <c r="GM8" s="48">
        <v>0.03</v>
      </c>
      <c r="GN8" s="48">
        <v>0</v>
      </c>
      <c r="GO8" s="48">
        <v>0</v>
      </c>
      <c r="GP8" s="48">
        <v>0</v>
      </c>
      <c r="GQ8" s="48">
        <v>0</v>
      </c>
      <c r="GR8" s="48">
        <v>0</v>
      </c>
      <c r="GS8" s="48">
        <v>0</v>
      </c>
      <c r="GT8" s="48">
        <v>0</v>
      </c>
      <c r="GU8" s="48">
        <v>0</v>
      </c>
      <c r="GV8" s="48">
        <v>0</v>
      </c>
      <c r="GW8" s="48">
        <v>0</v>
      </c>
      <c r="GX8" s="48">
        <v>0</v>
      </c>
      <c r="GY8" s="48">
        <v>0.03</v>
      </c>
      <c r="GZ8" s="48">
        <v>0</v>
      </c>
      <c r="HA8" s="48">
        <v>0</v>
      </c>
      <c r="HB8" s="48">
        <v>0</v>
      </c>
      <c r="HC8" s="48">
        <v>0</v>
      </c>
      <c r="HD8" s="48">
        <v>0</v>
      </c>
      <c r="HE8" s="48">
        <v>0</v>
      </c>
      <c r="HF8" s="48">
        <v>0</v>
      </c>
      <c r="HG8" s="48">
        <v>0</v>
      </c>
      <c r="HH8" s="48">
        <v>0</v>
      </c>
      <c r="HI8" s="48">
        <v>0</v>
      </c>
      <c r="HJ8" s="48">
        <v>0</v>
      </c>
      <c r="HK8" s="48">
        <v>0</v>
      </c>
      <c r="HL8" s="48">
        <v>0</v>
      </c>
      <c r="HM8" s="48">
        <v>0</v>
      </c>
      <c r="HN8" s="48">
        <v>0</v>
      </c>
      <c r="HO8" s="48">
        <v>0</v>
      </c>
      <c r="HP8" s="48">
        <v>0</v>
      </c>
      <c r="HQ8" s="48">
        <v>0</v>
      </c>
      <c r="HR8" s="48">
        <v>0</v>
      </c>
      <c r="HS8" s="48">
        <v>0</v>
      </c>
      <c r="HT8" s="48">
        <v>0</v>
      </c>
      <c r="HU8" s="48">
        <v>0</v>
      </c>
      <c r="HV8" s="48">
        <v>0</v>
      </c>
      <c r="HW8" s="48">
        <v>0</v>
      </c>
      <c r="HX8" s="48">
        <v>0</v>
      </c>
      <c r="HY8" s="48">
        <v>0</v>
      </c>
      <c r="HZ8" s="48">
        <v>0</v>
      </c>
      <c r="IA8" s="48">
        <v>0</v>
      </c>
      <c r="IB8" s="48">
        <v>0</v>
      </c>
      <c r="IC8" s="48">
        <v>0</v>
      </c>
      <c r="ID8" s="48">
        <v>0</v>
      </c>
      <c r="IE8" s="48">
        <v>0</v>
      </c>
      <c r="IF8" s="48">
        <v>0</v>
      </c>
      <c r="IG8" s="48">
        <v>0</v>
      </c>
      <c r="IH8" s="48">
        <v>0</v>
      </c>
    </row>
    <row r="9" spans="1:243" x14ac:dyDescent="0.45">
      <c r="A9" s="67" t="s">
        <v>243</v>
      </c>
      <c r="B9" s="67"/>
      <c r="C9" s="56">
        <f>1+C8</f>
        <v>0.25</v>
      </c>
      <c r="D9" s="56">
        <f>C9+D8</f>
        <v>0.25</v>
      </c>
      <c r="E9" s="56">
        <f t="shared" ref="E9" si="63">D9+E8</f>
        <v>0.25</v>
      </c>
      <c r="F9" s="56">
        <f t="shared" ref="F9" si="64">E9+F8</f>
        <v>0.25</v>
      </c>
      <c r="G9" s="56">
        <f t="shared" ref="G9" si="65">F9+G8</f>
        <v>0.25</v>
      </c>
      <c r="H9" s="56">
        <f t="shared" ref="H9" si="66">G9+H8</f>
        <v>0.25</v>
      </c>
      <c r="I9" s="56">
        <f t="shared" ref="I9" si="67">H9+I8</f>
        <v>0.25</v>
      </c>
      <c r="J9" s="56">
        <f t="shared" ref="J9" si="68">I9+J8</f>
        <v>0.25</v>
      </c>
      <c r="K9" s="56">
        <f t="shared" ref="K9" si="69">J9+K8</f>
        <v>0.25</v>
      </c>
      <c r="L9" s="56">
        <f t="shared" ref="L9" si="70">K9+L8</f>
        <v>0.25</v>
      </c>
      <c r="M9" s="56">
        <f t="shared" ref="M9" si="71">L9+M8</f>
        <v>0.25</v>
      </c>
      <c r="N9" s="56">
        <f t="shared" ref="N9" si="72">M9+N8</f>
        <v>0.25</v>
      </c>
      <c r="O9" s="56">
        <f t="shared" ref="O9" si="73">N9+O8</f>
        <v>0.25</v>
      </c>
      <c r="P9" s="56">
        <f t="shared" ref="P9" si="74">O9+P8</f>
        <v>0.25</v>
      </c>
      <c r="Q9" s="56">
        <f t="shared" ref="Q9" si="75">P9+Q8</f>
        <v>0.25</v>
      </c>
      <c r="R9" s="56">
        <f t="shared" ref="R9" si="76">Q9+R8</f>
        <v>0.25</v>
      </c>
      <c r="S9" s="56">
        <f t="shared" ref="S9" si="77">R9+S8</f>
        <v>0.25</v>
      </c>
      <c r="T9" s="56">
        <f t="shared" ref="T9" si="78">S9+T8</f>
        <v>0.25</v>
      </c>
      <c r="U9" s="56">
        <f t="shared" ref="U9" si="79">T9+U8</f>
        <v>0.25</v>
      </c>
      <c r="V9" s="56">
        <f t="shared" ref="V9" si="80">U9+V8</f>
        <v>0.25</v>
      </c>
      <c r="W9" s="56">
        <f t="shared" ref="W9" si="81">V9+W8</f>
        <v>0.25</v>
      </c>
      <c r="X9" s="56">
        <f t="shared" ref="X9" si="82">W9+X8</f>
        <v>0.25</v>
      </c>
      <c r="Y9" s="56">
        <f t="shared" ref="Y9" si="83">X9+Y8</f>
        <v>0.25</v>
      </c>
      <c r="Z9" s="56">
        <f t="shared" ref="Z9" si="84">Y9+Z8</f>
        <v>0.25</v>
      </c>
      <c r="AA9" s="56">
        <f t="shared" ref="AA9" si="85">Z9+AA8</f>
        <v>0.75</v>
      </c>
      <c r="AB9" s="56">
        <f t="shared" ref="AB9" si="86">AA9+AB8</f>
        <v>0.75</v>
      </c>
      <c r="AC9" s="56">
        <f t="shared" ref="AC9" si="87">AB9+AC8</f>
        <v>0.75</v>
      </c>
      <c r="AD9" s="56">
        <f t="shared" ref="AD9" si="88">AC9+AD8</f>
        <v>0.75</v>
      </c>
      <c r="AE9" s="56">
        <f t="shared" ref="AE9" si="89">AD9+AE8</f>
        <v>0.75</v>
      </c>
      <c r="AF9" s="56">
        <f t="shared" ref="AF9" si="90">AE9+AF8</f>
        <v>0.75</v>
      </c>
      <c r="AG9" s="56">
        <f t="shared" ref="AG9" si="91">AF9+AG8</f>
        <v>0.75</v>
      </c>
      <c r="AH9" s="56">
        <f t="shared" ref="AH9" si="92">AG9+AH8</f>
        <v>0.75</v>
      </c>
      <c r="AI9" s="56">
        <f t="shared" ref="AI9" si="93">AH9+AI8</f>
        <v>0.75</v>
      </c>
      <c r="AJ9" s="56">
        <f t="shared" ref="AJ9" si="94">AI9+AJ8</f>
        <v>0.75</v>
      </c>
      <c r="AK9" s="56">
        <f t="shared" ref="AK9" si="95">AJ9+AK8</f>
        <v>0.75</v>
      </c>
      <c r="AL9" s="56">
        <f t="shared" ref="AL9" si="96">AK9+AL8</f>
        <v>0.75</v>
      </c>
      <c r="AM9" s="56">
        <f t="shared" ref="AM9" si="97">AL9+AM8</f>
        <v>0.75</v>
      </c>
      <c r="AN9" s="56">
        <f t="shared" ref="AN9" si="98">AM9+AN8</f>
        <v>0.75</v>
      </c>
      <c r="AO9" s="56">
        <f t="shared" ref="AO9" si="99">AN9+AO8</f>
        <v>0.75</v>
      </c>
      <c r="AP9" s="56">
        <f t="shared" ref="AP9" si="100">AO9+AP8</f>
        <v>0.75</v>
      </c>
      <c r="AQ9" s="56">
        <f t="shared" ref="AQ9" si="101">AP9+AQ8</f>
        <v>0.75</v>
      </c>
      <c r="AR9" s="56">
        <f t="shared" ref="AR9" si="102">AQ9+AR8</f>
        <v>0.75</v>
      </c>
      <c r="AS9" s="56">
        <f t="shared" ref="AS9" si="103">AR9+AS8</f>
        <v>0.75</v>
      </c>
      <c r="AT9" s="56">
        <f t="shared" ref="AT9" si="104">AS9+AT8</f>
        <v>0.75</v>
      </c>
      <c r="AU9" s="56">
        <f t="shared" ref="AU9" si="105">AT9+AU8</f>
        <v>0.75</v>
      </c>
      <c r="AV9" s="56">
        <f t="shared" ref="AV9" si="106">AU9+AV8</f>
        <v>0.75</v>
      </c>
      <c r="AW9" s="56">
        <f t="shared" ref="AW9" si="107">AV9+AW8</f>
        <v>0.75</v>
      </c>
      <c r="AX9" s="56">
        <f t="shared" ref="AX9" si="108">AW9+AX8</f>
        <v>0.75</v>
      </c>
      <c r="AY9" s="56">
        <f t="shared" ref="AY9" si="109">AX9+AY8</f>
        <v>0.75</v>
      </c>
      <c r="AZ9" s="56">
        <f t="shared" ref="AZ9" si="110">AY9+AZ8</f>
        <v>0.75</v>
      </c>
      <c r="BA9" s="56">
        <f t="shared" ref="BA9" si="111">AZ9+BA8</f>
        <v>0.75</v>
      </c>
      <c r="BB9" s="56">
        <f t="shared" ref="BB9" si="112">BA9+BB8</f>
        <v>0.75</v>
      </c>
      <c r="BC9" s="56">
        <f t="shared" ref="BC9" si="113">BB9+BC8</f>
        <v>0.75</v>
      </c>
      <c r="BD9" s="56">
        <f t="shared" ref="BD9" si="114">BC9+BD8</f>
        <v>0.75</v>
      </c>
      <c r="BE9" s="56">
        <f t="shared" ref="BE9" si="115">BD9+BE8</f>
        <v>0.75</v>
      </c>
      <c r="BF9" s="56">
        <f t="shared" ref="BF9" si="116">BE9+BF8</f>
        <v>0.75</v>
      </c>
      <c r="BG9" s="56">
        <f t="shared" ref="BG9" si="117">BF9+BG8</f>
        <v>0.75</v>
      </c>
      <c r="BH9" s="56">
        <f t="shared" ref="BH9" si="118">BG9+BH8</f>
        <v>0.75</v>
      </c>
      <c r="BI9" s="56">
        <f t="shared" ref="BI9" si="119">BH9+BI8</f>
        <v>0.75</v>
      </c>
      <c r="BJ9" s="56">
        <f t="shared" ref="BJ9" si="120">BI9+BJ8</f>
        <v>0.75</v>
      </c>
      <c r="BK9" s="56">
        <f t="shared" ref="BK9" si="121">BJ9+BK8</f>
        <v>0.75</v>
      </c>
      <c r="BL9" s="56">
        <f t="shared" ref="BL9" si="122">BK9+BL8</f>
        <v>0.75</v>
      </c>
      <c r="BM9" s="56">
        <f t="shared" ref="BM9" si="123">BL9+BM8</f>
        <v>0.75</v>
      </c>
      <c r="BN9" s="56">
        <f t="shared" ref="BN9" si="124">BM9+BN8</f>
        <v>0.75</v>
      </c>
      <c r="BO9" s="56">
        <f t="shared" ref="BO9" si="125">BN9+BO8</f>
        <v>0.75</v>
      </c>
      <c r="BP9" s="56">
        <f t="shared" ref="BP9" si="126">BO9+BP8</f>
        <v>0.75</v>
      </c>
      <c r="BQ9" s="56">
        <f t="shared" ref="BQ9" si="127">BP9+BQ8</f>
        <v>0.75</v>
      </c>
      <c r="BR9" s="56">
        <f t="shared" ref="BR9" si="128">BQ9+BR8</f>
        <v>0.75</v>
      </c>
      <c r="BS9" s="56">
        <f t="shared" ref="BS9" si="129">BR9+BS8</f>
        <v>0.75</v>
      </c>
      <c r="BT9" s="56">
        <f t="shared" ref="BT9" si="130">BS9+BT8</f>
        <v>0.75</v>
      </c>
      <c r="BU9" s="56">
        <f t="shared" ref="BU9" si="131">BT9+BU8</f>
        <v>0.75</v>
      </c>
      <c r="BV9" s="56">
        <f t="shared" ref="BV9" si="132">BU9+BV8</f>
        <v>0.75</v>
      </c>
      <c r="BW9" s="56">
        <f t="shared" ref="BW9" si="133">BV9+BW8</f>
        <v>1</v>
      </c>
      <c r="BX9" s="56">
        <f t="shared" ref="BX9" si="134">BW9+BX8</f>
        <v>1</v>
      </c>
      <c r="BY9" s="56">
        <f t="shared" ref="BY9" si="135">BX9+BY8</f>
        <v>1</v>
      </c>
      <c r="BZ9" s="56">
        <f t="shared" ref="BZ9" si="136">BY9+BZ8</f>
        <v>1</v>
      </c>
      <c r="CA9" s="56">
        <f t="shared" ref="CA9" si="137">BZ9+CA8</f>
        <v>1</v>
      </c>
      <c r="CB9" s="56">
        <f t="shared" ref="CB9" si="138">CA9+CB8</f>
        <v>1</v>
      </c>
      <c r="CC9" s="56">
        <f t="shared" ref="CC9" si="139">CB9+CC8</f>
        <v>1</v>
      </c>
      <c r="CD9" s="56">
        <f t="shared" ref="CD9" si="140">CC9+CD8</f>
        <v>1</v>
      </c>
      <c r="CE9" s="56">
        <f t="shared" ref="CE9" si="141">CD9+CE8</f>
        <v>1</v>
      </c>
      <c r="CF9" s="56">
        <f t="shared" ref="CF9" si="142">CE9+CF8</f>
        <v>1</v>
      </c>
      <c r="CG9" s="56">
        <f t="shared" ref="CG9" si="143">CF9+CG8</f>
        <v>1</v>
      </c>
      <c r="CH9" s="56">
        <f t="shared" ref="CH9" si="144">CG9+CH8</f>
        <v>1</v>
      </c>
      <c r="CI9" s="56">
        <f t="shared" ref="CI9" si="145">CH9+CI8</f>
        <v>1</v>
      </c>
      <c r="CJ9" s="56">
        <f t="shared" ref="CJ9" si="146">CI9+CJ8</f>
        <v>1</v>
      </c>
      <c r="CK9" s="56">
        <f t="shared" ref="CK9" si="147">CJ9+CK8</f>
        <v>1</v>
      </c>
      <c r="CL9" s="56">
        <f t="shared" ref="CL9" si="148">CK9+CL8</f>
        <v>1</v>
      </c>
      <c r="CM9" s="56">
        <f t="shared" ref="CM9" si="149">CL9+CM8</f>
        <v>1</v>
      </c>
      <c r="CN9" s="56">
        <f t="shared" ref="CN9" si="150">CM9+CN8</f>
        <v>1.03</v>
      </c>
      <c r="CO9" s="56">
        <f t="shared" ref="CO9" si="151">CN9+CO8</f>
        <v>1.03</v>
      </c>
      <c r="CP9" s="56">
        <f t="shared" ref="CP9" si="152">CO9+CP8</f>
        <v>1.03</v>
      </c>
      <c r="CQ9" s="56">
        <f t="shared" ref="CQ9" si="153">CP9+CQ8</f>
        <v>1.03</v>
      </c>
      <c r="CR9" s="56">
        <f t="shared" ref="CR9" si="154">CQ9+CR8</f>
        <v>1.03</v>
      </c>
      <c r="CS9" s="56">
        <f t="shared" ref="CS9" si="155">CR9+CS8</f>
        <v>1.03</v>
      </c>
      <c r="CT9" s="56">
        <f t="shared" ref="CT9" si="156">CS9+CT8</f>
        <v>1.03</v>
      </c>
      <c r="CU9" s="56">
        <f t="shared" ref="CU9" si="157">CT9+CU8</f>
        <v>1.06</v>
      </c>
      <c r="CV9" s="56">
        <f t="shared" ref="CV9" si="158">CU9+CV8</f>
        <v>1.06</v>
      </c>
      <c r="CW9" s="56">
        <f t="shared" ref="CW9" si="159">CV9+CW8</f>
        <v>1.06</v>
      </c>
      <c r="CX9" s="56">
        <f t="shared" ref="CX9" si="160">CW9+CX8</f>
        <v>1.06</v>
      </c>
      <c r="CY9" s="56">
        <f t="shared" ref="CY9" si="161">CX9+CY8</f>
        <v>1.06</v>
      </c>
      <c r="CZ9" s="56">
        <f t="shared" ref="CZ9" si="162">CY9+CZ8</f>
        <v>1.06</v>
      </c>
      <c r="DA9" s="56">
        <f t="shared" ref="DA9" si="163">CZ9+DA8</f>
        <v>1.06</v>
      </c>
      <c r="DB9" s="56">
        <f t="shared" ref="DB9" si="164">DA9+DB8</f>
        <v>1.06</v>
      </c>
      <c r="DC9" s="56">
        <f t="shared" ref="DC9" si="165">DB9+DC8</f>
        <v>1.06</v>
      </c>
      <c r="DD9" s="56">
        <f t="shared" ref="DD9" si="166">DC9+DD8</f>
        <v>1.06</v>
      </c>
      <c r="DE9" s="56">
        <f t="shared" ref="DE9" si="167">DD9+DE8</f>
        <v>1.06</v>
      </c>
      <c r="DF9" s="56">
        <f t="shared" ref="DF9" si="168">DE9+DF8</f>
        <v>1.06</v>
      </c>
      <c r="DG9" s="56">
        <f t="shared" ref="DG9" si="169">DF9+DG8</f>
        <v>1.0900000000000001</v>
      </c>
      <c r="DH9" s="56">
        <f t="shared" ref="DH9" si="170">DG9+DH8</f>
        <v>1.0900000000000001</v>
      </c>
      <c r="DI9" s="56">
        <f t="shared" ref="DI9" si="171">DH9+DI8</f>
        <v>1.0900000000000001</v>
      </c>
      <c r="DJ9" s="56">
        <f t="shared" ref="DJ9" si="172">DI9+DJ8</f>
        <v>1.0900000000000001</v>
      </c>
      <c r="DK9" s="56">
        <f t="shared" ref="DK9" si="173">DJ9+DK8</f>
        <v>1.0900000000000001</v>
      </c>
      <c r="DL9" s="56">
        <f t="shared" ref="DL9" si="174">DK9+DL8</f>
        <v>1.0900000000000001</v>
      </c>
      <c r="DM9" s="56">
        <f t="shared" ref="DM9" si="175">DL9+DM8</f>
        <v>1.0900000000000001</v>
      </c>
      <c r="DN9" s="56">
        <f t="shared" ref="DN9" si="176">DM9+DN8</f>
        <v>1.0900000000000001</v>
      </c>
      <c r="DO9" s="56">
        <f t="shared" ref="DO9" si="177">DN9+DO8</f>
        <v>1.0900000000000001</v>
      </c>
      <c r="DP9" s="56">
        <f t="shared" ref="DP9" si="178">DO9+DP8</f>
        <v>1.0900000000000001</v>
      </c>
      <c r="DQ9" s="56">
        <f t="shared" ref="DQ9" si="179">DP9+DQ8</f>
        <v>1.0900000000000001</v>
      </c>
      <c r="DR9" s="56">
        <f t="shared" ref="DR9" si="180">DQ9+DR8</f>
        <v>1.0900000000000001</v>
      </c>
      <c r="DS9" s="56">
        <f t="shared" ref="DS9" si="181">DR9+DS8</f>
        <v>1.1200000000000001</v>
      </c>
      <c r="DT9" s="56">
        <f t="shared" ref="DT9" si="182">DS9+DT8</f>
        <v>1.1200000000000001</v>
      </c>
      <c r="DU9" s="56">
        <f t="shared" ref="DU9" si="183">DT9+DU8</f>
        <v>1.1200000000000001</v>
      </c>
      <c r="DV9" s="56">
        <f t="shared" ref="DV9" si="184">DU9+DV8</f>
        <v>1.1200000000000001</v>
      </c>
      <c r="DW9" s="56">
        <f t="shared" ref="DW9" si="185">DV9+DW8</f>
        <v>1.1200000000000001</v>
      </c>
      <c r="DX9" s="56">
        <f t="shared" ref="DX9" si="186">DW9+DX8</f>
        <v>1.1200000000000001</v>
      </c>
      <c r="DY9" s="56">
        <f t="shared" ref="DY9" si="187">DX9+DY8</f>
        <v>1.1200000000000001</v>
      </c>
      <c r="DZ9" s="56">
        <f t="shared" ref="DZ9" si="188">DY9+DZ8</f>
        <v>1.1200000000000001</v>
      </c>
      <c r="EA9" s="56">
        <f t="shared" ref="EA9" si="189">DZ9+EA8</f>
        <v>1.1200000000000001</v>
      </c>
      <c r="EB9" s="56">
        <f t="shared" ref="EB9" si="190">EA9+EB8</f>
        <v>1.1200000000000001</v>
      </c>
      <c r="EC9" s="56">
        <f t="shared" ref="EC9" si="191">EB9+EC8</f>
        <v>1.1200000000000001</v>
      </c>
      <c r="ED9" s="56">
        <f t="shared" ref="ED9" si="192">EC9+ED8</f>
        <v>1.1200000000000001</v>
      </c>
      <c r="EE9" s="56">
        <f t="shared" ref="EE9" si="193">ED9+EE8</f>
        <v>1.1500000000000001</v>
      </c>
      <c r="EF9" s="56">
        <f t="shared" ref="EF9" si="194">EE9+EF8</f>
        <v>1.1500000000000001</v>
      </c>
      <c r="EG9" s="56">
        <f t="shared" ref="EG9" si="195">EF9+EG8</f>
        <v>1.1500000000000001</v>
      </c>
      <c r="EH9" s="56">
        <f t="shared" ref="EH9" si="196">EG9+EH8</f>
        <v>1.1500000000000001</v>
      </c>
      <c r="EI9" s="56">
        <f t="shared" ref="EI9" si="197">EH9+EI8</f>
        <v>1.1500000000000001</v>
      </c>
      <c r="EJ9" s="56">
        <f t="shared" ref="EJ9" si="198">EI9+EJ8</f>
        <v>1.1500000000000001</v>
      </c>
      <c r="EK9" s="56">
        <f t="shared" ref="EK9" si="199">EJ9+EK8</f>
        <v>1.1500000000000001</v>
      </c>
      <c r="EL9" s="56">
        <f t="shared" ref="EL9" si="200">EK9+EL8</f>
        <v>1.1500000000000001</v>
      </c>
      <c r="EM9" s="56">
        <f t="shared" ref="EM9" si="201">EL9+EM8</f>
        <v>1.1500000000000001</v>
      </c>
      <c r="EN9" s="56">
        <f t="shared" ref="EN9" si="202">EM9+EN8</f>
        <v>1.1500000000000001</v>
      </c>
      <c r="EO9" s="56">
        <f t="shared" ref="EO9" si="203">EN9+EO8</f>
        <v>1.1500000000000001</v>
      </c>
      <c r="EP9" s="56">
        <f t="shared" ref="EP9" si="204">EO9+EP8</f>
        <v>1.1500000000000001</v>
      </c>
      <c r="EQ9" s="56">
        <f t="shared" ref="EQ9" si="205">EP9+EQ8</f>
        <v>1.1800000000000002</v>
      </c>
      <c r="ER9" s="56">
        <f t="shared" ref="ER9" si="206">EQ9+ER8</f>
        <v>1.1800000000000002</v>
      </c>
      <c r="ES9" s="56">
        <f t="shared" ref="ES9" si="207">ER9+ES8</f>
        <v>1.1800000000000002</v>
      </c>
      <c r="ET9" s="56">
        <f t="shared" ref="ET9" si="208">ES9+ET8</f>
        <v>1.1800000000000002</v>
      </c>
      <c r="EU9" s="56">
        <f t="shared" ref="EU9" si="209">ET9+EU8</f>
        <v>1.1800000000000002</v>
      </c>
      <c r="EV9" s="56">
        <f t="shared" ref="EV9" si="210">EU9+EV8</f>
        <v>1.1800000000000002</v>
      </c>
      <c r="EW9" s="56">
        <f t="shared" ref="EW9" si="211">EV9+EW8</f>
        <v>1.1800000000000002</v>
      </c>
      <c r="EX9" s="56">
        <f t="shared" ref="EX9" si="212">EW9+EX8</f>
        <v>1.1800000000000002</v>
      </c>
      <c r="EY9" s="56">
        <f t="shared" ref="EY9" si="213">EX9+EY8</f>
        <v>1.1800000000000002</v>
      </c>
      <c r="EZ9" s="56">
        <f t="shared" ref="EZ9" si="214">EY9+EZ8</f>
        <v>1.1800000000000002</v>
      </c>
      <c r="FA9" s="56">
        <f t="shared" ref="FA9" si="215">EZ9+FA8</f>
        <v>1.1800000000000002</v>
      </c>
      <c r="FB9" s="56">
        <f t="shared" ref="FB9" si="216">FA9+FB8</f>
        <v>1.1800000000000002</v>
      </c>
      <c r="FC9" s="56">
        <f t="shared" ref="FC9" si="217">FB9+FC8</f>
        <v>1.2100000000000002</v>
      </c>
      <c r="FD9" s="56">
        <f t="shared" ref="FD9" si="218">FC9+FD8</f>
        <v>1.2100000000000002</v>
      </c>
      <c r="FE9" s="56">
        <f t="shared" ref="FE9" si="219">FD9+FE8</f>
        <v>1.2100000000000002</v>
      </c>
      <c r="FF9" s="56">
        <f t="shared" ref="FF9" si="220">FE9+FF8</f>
        <v>1.2100000000000002</v>
      </c>
      <c r="FG9" s="56">
        <f t="shared" ref="FG9" si="221">FF9+FG8</f>
        <v>1.2100000000000002</v>
      </c>
      <c r="FH9" s="56">
        <f t="shared" ref="FH9" si="222">FG9+FH8</f>
        <v>1.2100000000000002</v>
      </c>
      <c r="FI9" s="56">
        <f t="shared" ref="FI9" si="223">FH9+FI8</f>
        <v>1.2100000000000002</v>
      </c>
      <c r="FJ9" s="56">
        <f t="shared" ref="FJ9" si="224">FI9+FJ8</f>
        <v>1.2100000000000002</v>
      </c>
      <c r="FK9" s="56">
        <f t="shared" ref="FK9" si="225">FJ9+FK8</f>
        <v>1.2100000000000002</v>
      </c>
      <c r="FL9" s="56">
        <f t="shared" ref="FL9" si="226">FK9+FL8</f>
        <v>1.2100000000000002</v>
      </c>
      <c r="FM9" s="56">
        <f t="shared" ref="FM9" si="227">FL9+FM8</f>
        <v>1.2100000000000002</v>
      </c>
      <c r="FN9" s="56">
        <f t="shared" ref="FN9" si="228">FM9+FN8</f>
        <v>1.2100000000000002</v>
      </c>
      <c r="FO9" s="56">
        <f t="shared" ref="FO9" si="229">FN9+FO8</f>
        <v>1.2400000000000002</v>
      </c>
      <c r="FP9" s="56">
        <f t="shared" ref="FP9" si="230">FO9+FP8</f>
        <v>1.2400000000000002</v>
      </c>
      <c r="FQ9" s="56">
        <f t="shared" ref="FQ9" si="231">FP9+FQ8</f>
        <v>1.2400000000000002</v>
      </c>
      <c r="FR9" s="56">
        <f t="shared" ref="FR9" si="232">FQ9+FR8</f>
        <v>1.2400000000000002</v>
      </c>
      <c r="FS9" s="56">
        <f t="shared" ref="FS9" si="233">FR9+FS8</f>
        <v>1.2400000000000002</v>
      </c>
      <c r="FT9" s="56">
        <f t="shared" ref="FT9" si="234">FS9+FT8</f>
        <v>1.2400000000000002</v>
      </c>
      <c r="FU9" s="56">
        <f t="shared" ref="FU9" si="235">FT9+FU8</f>
        <v>1.2400000000000002</v>
      </c>
      <c r="FV9" s="56">
        <f t="shared" ref="FV9" si="236">FU9+FV8</f>
        <v>1.2400000000000002</v>
      </c>
      <c r="FW9" s="56">
        <f t="shared" ref="FW9" si="237">FV9+FW8</f>
        <v>1.2400000000000002</v>
      </c>
      <c r="FX9" s="56">
        <f t="shared" ref="FX9" si="238">FW9+FX8</f>
        <v>1.2400000000000002</v>
      </c>
      <c r="FY9" s="56">
        <f t="shared" ref="FY9" si="239">FX9+FY8</f>
        <v>1.2400000000000002</v>
      </c>
      <c r="FZ9" s="56">
        <f t="shared" ref="FZ9" si="240">FY9+FZ8</f>
        <v>1.2400000000000002</v>
      </c>
      <c r="GA9" s="56">
        <f t="shared" ref="GA9" si="241">FZ9+GA8</f>
        <v>1.2700000000000002</v>
      </c>
      <c r="GB9" s="56">
        <f t="shared" ref="GB9" si="242">GA9+GB8</f>
        <v>1.2700000000000002</v>
      </c>
      <c r="GC9" s="56">
        <f t="shared" ref="GC9" si="243">GB9+GC8</f>
        <v>1.2700000000000002</v>
      </c>
      <c r="GD9" s="56">
        <f t="shared" ref="GD9" si="244">GC9+GD8</f>
        <v>1.2700000000000002</v>
      </c>
      <c r="GE9" s="56">
        <f t="shared" ref="GE9" si="245">GD9+GE8</f>
        <v>1.2700000000000002</v>
      </c>
      <c r="GF9" s="56">
        <f t="shared" ref="GF9" si="246">GE9+GF8</f>
        <v>1.2700000000000002</v>
      </c>
      <c r="GG9" s="56">
        <f t="shared" ref="GG9" si="247">GF9+GG8</f>
        <v>1.2700000000000002</v>
      </c>
      <c r="GH9" s="56">
        <f t="shared" ref="GH9" si="248">GG9+GH8</f>
        <v>1.2700000000000002</v>
      </c>
      <c r="GI9" s="56">
        <f t="shared" ref="GI9" si="249">GH9+GI8</f>
        <v>1.2700000000000002</v>
      </c>
      <c r="GJ9" s="56">
        <f t="shared" ref="GJ9" si="250">GI9+GJ8</f>
        <v>1.2700000000000002</v>
      </c>
      <c r="GK9" s="56">
        <f t="shared" ref="GK9" si="251">GJ9+GK8</f>
        <v>1.2700000000000002</v>
      </c>
      <c r="GL9" s="56">
        <f t="shared" ref="GL9" si="252">GK9+GL8</f>
        <v>1.2700000000000002</v>
      </c>
      <c r="GM9" s="56">
        <f t="shared" ref="GM9" si="253">GL9+GM8</f>
        <v>1.3000000000000003</v>
      </c>
      <c r="GN9" s="56">
        <f t="shared" ref="GN9" si="254">GM9+GN8</f>
        <v>1.3000000000000003</v>
      </c>
      <c r="GO9" s="56">
        <f t="shared" ref="GO9" si="255">GN9+GO8</f>
        <v>1.3000000000000003</v>
      </c>
      <c r="GP9" s="56">
        <f t="shared" ref="GP9" si="256">GO9+GP8</f>
        <v>1.3000000000000003</v>
      </c>
      <c r="GQ9" s="56">
        <f t="shared" ref="GQ9" si="257">GP9+GQ8</f>
        <v>1.3000000000000003</v>
      </c>
      <c r="GR9" s="56">
        <f t="shared" ref="GR9" si="258">GQ9+GR8</f>
        <v>1.3000000000000003</v>
      </c>
      <c r="GS9" s="56">
        <f t="shared" ref="GS9" si="259">GR9+GS8</f>
        <v>1.3000000000000003</v>
      </c>
      <c r="GT9" s="56">
        <f t="shared" ref="GT9" si="260">GS9+GT8</f>
        <v>1.3000000000000003</v>
      </c>
      <c r="GU9" s="56">
        <f t="shared" ref="GU9" si="261">GT9+GU8</f>
        <v>1.3000000000000003</v>
      </c>
      <c r="GV9" s="56">
        <f t="shared" ref="GV9" si="262">GU9+GV8</f>
        <v>1.3000000000000003</v>
      </c>
      <c r="GW9" s="56">
        <f t="shared" ref="GW9" si="263">GV9+GW8</f>
        <v>1.3000000000000003</v>
      </c>
      <c r="GX9" s="56">
        <f t="shared" ref="GX9" si="264">GW9+GX8</f>
        <v>1.3000000000000003</v>
      </c>
      <c r="GY9" s="56">
        <f t="shared" ref="GY9" si="265">GX9+GY8</f>
        <v>1.3300000000000003</v>
      </c>
      <c r="GZ9" s="56">
        <f t="shared" ref="GZ9" si="266">GY9+GZ8</f>
        <v>1.3300000000000003</v>
      </c>
      <c r="HA9" s="56">
        <f t="shared" ref="HA9" si="267">GZ9+HA8</f>
        <v>1.3300000000000003</v>
      </c>
      <c r="HB9" s="56">
        <f t="shared" ref="HB9" si="268">HA9+HB8</f>
        <v>1.3300000000000003</v>
      </c>
      <c r="HC9" s="56">
        <f t="shared" ref="HC9" si="269">HB9+HC8</f>
        <v>1.3300000000000003</v>
      </c>
      <c r="HD9" s="56">
        <f t="shared" ref="HD9" si="270">HC9+HD8</f>
        <v>1.3300000000000003</v>
      </c>
      <c r="HE9" s="56">
        <f t="shared" ref="HE9" si="271">HD9+HE8</f>
        <v>1.3300000000000003</v>
      </c>
      <c r="HF9" s="56">
        <f t="shared" ref="HF9" si="272">HE9+HF8</f>
        <v>1.3300000000000003</v>
      </c>
      <c r="HG9" s="56">
        <f t="shared" ref="HG9" si="273">HF9+HG8</f>
        <v>1.3300000000000003</v>
      </c>
      <c r="HH9" s="56">
        <f t="shared" ref="HH9" si="274">HG9+HH8</f>
        <v>1.3300000000000003</v>
      </c>
      <c r="HI9" s="56">
        <f t="shared" ref="HI9" si="275">HH9+HI8</f>
        <v>1.3300000000000003</v>
      </c>
      <c r="HJ9" s="56">
        <f t="shared" ref="HJ9" si="276">HI9+HJ8</f>
        <v>1.3300000000000003</v>
      </c>
      <c r="HK9" s="56">
        <f t="shared" ref="HK9" si="277">HJ9+HK8</f>
        <v>1.3300000000000003</v>
      </c>
      <c r="HL9" s="56">
        <f t="shared" ref="HL9" si="278">HK9+HL8</f>
        <v>1.3300000000000003</v>
      </c>
      <c r="HM9" s="56">
        <f t="shared" ref="HM9" si="279">HL9+HM8</f>
        <v>1.3300000000000003</v>
      </c>
      <c r="HN9" s="56">
        <f t="shared" ref="HN9" si="280">HM9+HN8</f>
        <v>1.3300000000000003</v>
      </c>
      <c r="HO9" s="56">
        <f t="shared" ref="HO9" si="281">HN9+HO8</f>
        <v>1.3300000000000003</v>
      </c>
      <c r="HP9" s="56">
        <f t="shared" ref="HP9" si="282">HO9+HP8</f>
        <v>1.3300000000000003</v>
      </c>
      <c r="HQ9" s="56">
        <f t="shared" ref="HQ9" si="283">HP9+HQ8</f>
        <v>1.3300000000000003</v>
      </c>
      <c r="HR9" s="56">
        <f t="shared" ref="HR9" si="284">HQ9+HR8</f>
        <v>1.3300000000000003</v>
      </c>
      <c r="HS9" s="56">
        <f t="shared" ref="HS9" si="285">HR9+HS8</f>
        <v>1.3300000000000003</v>
      </c>
      <c r="HT9" s="56">
        <f t="shared" ref="HT9" si="286">HS9+HT8</f>
        <v>1.3300000000000003</v>
      </c>
      <c r="HU9" s="56">
        <f t="shared" ref="HU9" si="287">HT9+HU8</f>
        <v>1.3300000000000003</v>
      </c>
      <c r="HV9" s="56">
        <f t="shared" ref="HV9" si="288">HU9+HV8</f>
        <v>1.3300000000000003</v>
      </c>
      <c r="HW9" s="56">
        <f t="shared" ref="HW9" si="289">HV9+HW8</f>
        <v>1.3300000000000003</v>
      </c>
      <c r="HX9" s="56">
        <f t="shared" ref="HX9" si="290">HW9+HX8</f>
        <v>1.3300000000000003</v>
      </c>
      <c r="HY9" s="56">
        <f t="shared" ref="HY9" si="291">HX9+HY8</f>
        <v>1.3300000000000003</v>
      </c>
      <c r="HZ9" s="56">
        <f t="shared" ref="HZ9" si="292">HY9+HZ8</f>
        <v>1.3300000000000003</v>
      </c>
      <c r="IA9" s="56">
        <f t="shared" ref="IA9" si="293">HZ9+IA8</f>
        <v>1.3300000000000003</v>
      </c>
      <c r="IB9" s="56">
        <f t="shared" ref="IB9" si="294">IA9+IB8</f>
        <v>1.3300000000000003</v>
      </c>
      <c r="IC9" s="56">
        <f t="shared" ref="IC9" si="295">IB9+IC8</f>
        <v>1.3300000000000003</v>
      </c>
      <c r="ID9" s="56">
        <f t="shared" ref="ID9" si="296">IC9+ID8</f>
        <v>1.3300000000000003</v>
      </c>
      <c r="IE9" s="56">
        <f t="shared" ref="IE9" si="297">ID9+IE8</f>
        <v>1.3300000000000003</v>
      </c>
      <c r="IF9" s="56">
        <f t="shared" ref="IF9" si="298">IE9+IF8</f>
        <v>1.3300000000000003</v>
      </c>
      <c r="IG9" s="56">
        <f t="shared" ref="IG9" si="299">IF9+IG8</f>
        <v>1.3300000000000003</v>
      </c>
      <c r="IH9" s="56">
        <f t="shared" ref="IH9" si="300">IG9+IH8</f>
        <v>1.3300000000000003</v>
      </c>
    </row>
    <row r="12" spans="1:243" x14ac:dyDescent="0.45">
      <c r="A12" s="21" t="s">
        <v>188</v>
      </c>
      <c r="B12" s="102"/>
    </row>
    <row r="13" spans="1:243" x14ac:dyDescent="0.45">
      <c r="A13" s="16" t="s">
        <v>264</v>
      </c>
      <c r="B13" s="16"/>
      <c r="C13" s="44">
        <f>CST_SITE_SQM*CST_LEASE_MANATEQ*Costs!C7</f>
        <v>0</v>
      </c>
      <c r="D13" s="44">
        <f>CST_SITE_SQM*CST_LEASE_MANATEQ*Costs!D7</f>
        <v>0</v>
      </c>
      <c r="E13" s="44">
        <f>CST_SITE_SQM*CST_LEASE_MANATEQ*Costs!E7</f>
        <v>0</v>
      </c>
      <c r="F13" s="44">
        <f>CST_SITE_SQM*CST_LEASE_MANATEQ*Costs!F7</f>
        <v>0</v>
      </c>
      <c r="G13" s="44">
        <f>CST_SITE_SQM*CST_LEASE_MANATEQ*Costs!G7</f>
        <v>0</v>
      </c>
      <c r="H13" s="44">
        <f>CST_SITE_SQM*CST_LEASE_MANATEQ*Costs!H7</f>
        <v>0</v>
      </c>
      <c r="I13" s="44">
        <f>CST_SITE_SQM*CST_LEASE_MANATEQ*Costs!I7</f>
        <v>0</v>
      </c>
      <c r="J13" s="44">
        <f>CST_SITE_SQM*CST_LEASE_MANATEQ*Costs!J7</f>
        <v>0</v>
      </c>
      <c r="K13" s="44">
        <f>CST_SITE_SQM*CST_LEASE_MANATEQ*Costs!K7</f>
        <v>0</v>
      </c>
      <c r="L13" s="44">
        <f>CST_SITE_SQM*CST_LEASE_MANATEQ*Costs!L7</f>
        <v>0</v>
      </c>
      <c r="M13" s="44">
        <f>CST_SITE_SQM*CST_LEASE_MANATEQ*Costs!M7</f>
        <v>0</v>
      </c>
      <c r="N13" s="44">
        <f>CST_SITE_SQM*CST_LEASE_MANATEQ*Costs!N7</f>
        <v>0</v>
      </c>
      <c r="O13" s="44">
        <f>CST_SITE_SQM*CST_LEASE_MANATEQ*Costs!O7</f>
        <v>43114.666666666664</v>
      </c>
      <c r="P13" s="44">
        <f>CST_SITE_SQM*CST_LEASE_MANATEQ*Costs!P7</f>
        <v>43114.666666666664</v>
      </c>
      <c r="Q13" s="44">
        <f>CST_SITE_SQM*CST_LEASE_MANATEQ*Costs!Q7</f>
        <v>43114.666666666664</v>
      </c>
      <c r="R13" s="44">
        <f>CST_SITE_SQM*CST_LEASE_MANATEQ*Costs!R7</f>
        <v>43114.666666666664</v>
      </c>
      <c r="S13" s="44">
        <f>CST_SITE_SQM*CST_LEASE_MANATEQ*Costs!S7</f>
        <v>43114.666666666664</v>
      </c>
      <c r="T13" s="44">
        <f>CST_SITE_SQM*CST_LEASE_MANATEQ*Costs!T7</f>
        <v>43114.666666666664</v>
      </c>
      <c r="U13" s="44">
        <f>CST_SITE_SQM*CST_LEASE_MANATEQ*Costs!U7</f>
        <v>43114.666666666664</v>
      </c>
      <c r="V13" s="44">
        <f>CST_SITE_SQM*CST_LEASE_MANATEQ*Costs!V7</f>
        <v>43114.666666666664</v>
      </c>
      <c r="W13" s="44">
        <f>CST_SITE_SQM*CST_LEASE_MANATEQ*Costs!W7</f>
        <v>43114.666666666664</v>
      </c>
      <c r="X13" s="44">
        <f>CST_SITE_SQM*CST_LEASE_MANATEQ*Costs!X7</f>
        <v>43114.666666666664</v>
      </c>
      <c r="Y13" s="44">
        <f>CST_SITE_SQM*CST_LEASE_MANATEQ*Costs!Y7</f>
        <v>43114.666666666664</v>
      </c>
      <c r="Z13" s="44">
        <f>CST_SITE_SQM*CST_LEASE_MANATEQ*Costs!Z7</f>
        <v>43114.666666666664</v>
      </c>
      <c r="AA13" s="44">
        <f>CST_SITE_SQM*CST_LEASE_MANATEQ*Costs!AA7</f>
        <v>43114.666666666664</v>
      </c>
      <c r="AB13" s="44">
        <f>CST_SITE_SQM*CST_LEASE_MANATEQ*Costs!AB7</f>
        <v>43114.666666666664</v>
      </c>
      <c r="AC13" s="44">
        <f>CST_SITE_SQM*CST_LEASE_MANATEQ*Costs!AC7</f>
        <v>43114.666666666664</v>
      </c>
      <c r="AD13" s="44">
        <f>CST_SITE_SQM*CST_LEASE_MANATEQ*Costs!AD7</f>
        <v>43114.666666666664</v>
      </c>
      <c r="AE13" s="44">
        <f>CST_SITE_SQM*CST_LEASE_MANATEQ*Costs!AE7</f>
        <v>43114.666666666664</v>
      </c>
      <c r="AF13" s="44">
        <f>CST_SITE_SQM*CST_LEASE_MANATEQ*Costs!AF7</f>
        <v>43114.666666666664</v>
      </c>
      <c r="AG13" s="44">
        <f>CST_SITE_SQM*CST_LEASE_MANATEQ*Costs!AG7</f>
        <v>43114.666666666664</v>
      </c>
      <c r="AH13" s="44">
        <f>CST_SITE_SQM*CST_LEASE_MANATEQ*Costs!AH7</f>
        <v>43114.666666666664</v>
      </c>
      <c r="AI13" s="44">
        <f>CST_SITE_SQM*CST_LEASE_MANATEQ*Costs!AI7</f>
        <v>43114.666666666664</v>
      </c>
      <c r="AJ13" s="44">
        <f>CST_SITE_SQM*CST_LEASE_MANATEQ*Costs!AJ7</f>
        <v>43114.666666666664</v>
      </c>
      <c r="AK13" s="44">
        <f>CST_SITE_SQM*CST_LEASE_MANATEQ*Costs!AK7</f>
        <v>43114.666666666664</v>
      </c>
      <c r="AL13" s="44">
        <f>CST_SITE_SQM*CST_LEASE_MANATEQ*Costs!AL7</f>
        <v>43114.666666666664</v>
      </c>
      <c r="AM13" s="44">
        <f>CST_SITE_SQM*CST_LEASE_MANATEQ*Costs!AM7</f>
        <v>43114.666666666664</v>
      </c>
      <c r="AN13" s="44">
        <f>CST_SITE_SQM*CST_LEASE_MANATEQ*Costs!AN7</f>
        <v>43114.666666666664</v>
      </c>
      <c r="AO13" s="44">
        <f>CST_SITE_SQM*CST_LEASE_MANATEQ*Costs!AO7</f>
        <v>43114.666666666664</v>
      </c>
      <c r="AP13" s="44">
        <f>CST_SITE_SQM*CST_LEASE_MANATEQ*Costs!AP7</f>
        <v>43114.666666666664</v>
      </c>
      <c r="AQ13" s="44">
        <f>CST_SITE_SQM*CST_LEASE_MANATEQ*Costs!AQ7</f>
        <v>43114.666666666664</v>
      </c>
      <c r="AR13" s="44">
        <f>CST_SITE_SQM*CST_LEASE_MANATEQ*Costs!AR7</f>
        <v>43114.666666666664</v>
      </c>
      <c r="AS13" s="44">
        <f>CST_SITE_SQM*CST_LEASE_MANATEQ*Costs!AS7</f>
        <v>43114.666666666664</v>
      </c>
      <c r="AT13" s="44">
        <f>CST_SITE_SQM*CST_LEASE_MANATEQ*Costs!AT7</f>
        <v>43114.666666666664</v>
      </c>
      <c r="AU13" s="44">
        <f>CST_SITE_SQM*CST_LEASE_MANATEQ*Costs!AU7</f>
        <v>43114.666666666664</v>
      </c>
      <c r="AV13" s="44">
        <f>CST_SITE_SQM*CST_LEASE_MANATEQ*Costs!AV7</f>
        <v>43114.666666666664</v>
      </c>
      <c r="AW13" s="44">
        <f>CST_SITE_SQM*CST_LEASE_MANATEQ*Costs!AW7</f>
        <v>43114.666666666664</v>
      </c>
      <c r="AX13" s="44">
        <f>CST_SITE_SQM*CST_LEASE_MANATEQ*Costs!AX7</f>
        <v>43114.666666666664</v>
      </c>
      <c r="AY13" s="44">
        <f>CST_SITE_SQM*CST_LEASE_MANATEQ*Costs!AY7</f>
        <v>43114.666666666664</v>
      </c>
      <c r="AZ13" s="44">
        <f>CST_SITE_SQM*CST_LEASE_MANATEQ*Costs!AZ7</f>
        <v>43114.666666666664</v>
      </c>
      <c r="BA13" s="44">
        <f>CST_SITE_SQM*CST_LEASE_MANATEQ*Costs!BA7</f>
        <v>43114.666666666664</v>
      </c>
      <c r="BB13" s="44">
        <f>CST_SITE_SQM*CST_LEASE_MANATEQ*Costs!BB7</f>
        <v>43114.666666666664</v>
      </c>
      <c r="BC13" s="44">
        <f>CST_SITE_SQM*CST_LEASE_MANATEQ*Costs!BC7</f>
        <v>43114.666666666664</v>
      </c>
      <c r="BD13" s="44">
        <f>CST_SITE_SQM*CST_LEASE_MANATEQ*Costs!BD7</f>
        <v>43114.666666666664</v>
      </c>
      <c r="BE13" s="44">
        <f>CST_SITE_SQM*CST_LEASE_MANATEQ*Costs!BE7</f>
        <v>43114.666666666664</v>
      </c>
      <c r="BF13" s="44">
        <f>CST_SITE_SQM*CST_LEASE_MANATEQ*Costs!BF7</f>
        <v>43114.666666666664</v>
      </c>
      <c r="BG13" s="44">
        <f>CST_SITE_SQM*CST_LEASE_MANATEQ*Costs!BG7</f>
        <v>43114.666666666664</v>
      </c>
      <c r="BH13" s="44">
        <f>CST_SITE_SQM*CST_LEASE_MANATEQ*Costs!BH7</f>
        <v>43114.666666666664</v>
      </c>
      <c r="BI13" s="44">
        <f>CST_SITE_SQM*CST_LEASE_MANATEQ*Costs!BI7</f>
        <v>43114.666666666664</v>
      </c>
      <c r="BJ13" s="44">
        <f>CST_SITE_SQM*CST_LEASE_MANATEQ*Costs!BJ7</f>
        <v>43114.666666666664</v>
      </c>
      <c r="BK13" s="44">
        <f>CST_SITE_SQM*CST_LEASE_MANATEQ*Costs!BK7</f>
        <v>43114.666666666664</v>
      </c>
      <c r="BL13" s="44">
        <f>CST_SITE_SQM*CST_LEASE_MANATEQ*Costs!BL7</f>
        <v>43114.666666666664</v>
      </c>
      <c r="BM13" s="44">
        <f>CST_SITE_SQM*CST_LEASE_MANATEQ*Costs!BM7</f>
        <v>43114.666666666664</v>
      </c>
      <c r="BN13" s="44">
        <f>CST_SITE_SQM*CST_LEASE_MANATEQ*Costs!BN7</f>
        <v>43114.666666666664</v>
      </c>
      <c r="BO13" s="44">
        <f>CST_SITE_SQM*CST_LEASE_MANATEQ*Costs!BO7</f>
        <v>43114.666666666664</v>
      </c>
      <c r="BP13" s="44">
        <f>CST_SITE_SQM*CST_LEASE_MANATEQ*Costs!BP7</f>
        <v>43114.666666666664</v>
      </c>
      <c r="BQ13" s="44">
        <f>CST_SITE_SQM*CST_LEASE_MANATEQ*Costs!BQ7</f>
        <v>43114.666666666664</v>
      </c>
      <c r="BR13" s="44">
        <f>CST_SITE_SQM*CST_LEASE_MANATEQ*Costs!BR7</f>
        <v>43114.666666666664</v>
      </c>
      <c r="BS13" s="44">
        <f>CST_SITE_SQM*CST_LEASE_MANATEQ*Costs!BS7</f>
        <v>43114.666666666664</v>
      </c>
      <c r="BT13" s="44">
        <f>CST_SITE_SQM*CST_LEASE_MANATEQ*Costs!BT7</f>
        <v>43114.666666666664</v>
      </c>
      <c r="BU13" s="44">
        <f>CST_SITE_SQM*CST_LEASE_MANATEQ*Costs!BU7</f>
        <v>43114.666666666664</v>
      </c>
      <c r="BV13" s="44">
        <f>CST_SITE_SQM*CST_LEASE_MANATEQ*Costs!BV7</f>
        <v>43114.666666666664</v>
      </c>
      <c r="BW13" s="44">
        <f>CST_SITE_SQM*CST_LEASE_MANATEQ*Costs!BW7</f>
        <v>43114.666666666664</v>
      </c>
      <c r="BX13" s="44">
        <f>CST_SITE_SQM*CST_LEASE_MANATEQ*Costs!BX7</f>
        <v>43114.666666666664</v>
      </c>
      <c r="BY13" s="44">
        <f>CST_SITE_SQM*CST_LEASE_MANATEQ*Costs!BY7</f>
        <v>43114.666666666664</v>
      </c>
      <c r="BZ13" s="44">
        <f>CST_SITE_SQM*CST_LEASE_MANATEQ*Costs!BZ7</f>
        <v>43114.666666666664</v>
      </c>
      <c r="CA13" s="44">
        <f>CST_SITE_SQM*CST_LEASE_MANATEQ*Costs!CA7</f>
        <v>43114.666666666664</v>
      </c>
      <c r="CB13" s="44">
        <f>CST_SITE_SQM*CST_LEASE_MANATEQ*Costs!CB7</f>
        <v>43114.666666666664</v>
      </c>
      <c r="CC13" s="44">
        <f>CST_SITE_SQM*CST_LEASE_MANATEQ*Costs!CC7</f>
        <v>43114.666666666664</v>
      </c>
      <c r="CD13" s="44">
        <f>CST_SITE_SQM*CST_LEASE_MANATEQ*Costs!CD7</f>
        <v>43114.666666666664</v>
      </c>
      <c r="CE13" s="44">
        <f>CST_SITE_SQM*CST_LEASE_MANATEQ*Costs!CE7</f>
        <v>43114.666666666664</v>
      </c>
      <c r="CF13" s="44">
        <f>CST_SITE_SQM*CST_LEASE_MANATEQ*Costs!CF7</f>
        <v>43114.666666666664</v>
      </c>
      <c r="CG13" s="44">
        <f>CST_SITE_SQM*CST_LEASE_MANATEQ*Costs!CG7</f>
        <v>43114.666666666664</v>
      </c>
      <c r="CH13" s="44">
        <f>CST_SITE_SQM*CST_LEASE_MANATEQ*Costs!CH7</f>
        <v>43114.666666666664</v>
      </c>
      <c r="CI13" s="44">
        <f>CST_SITE_SQM*CST_LEASE_MANATEQ*Costs!CI7</f>
        <v>43114.666666666664</v>
      </c>
      <c r="CJ13" s="44">
        <f>CST_SITE_SQM*CST_LEASE_MANATEQ*Costs!CJ7</f>
        <v>43114.666666666664</v>
      </c>
      <c r="CK13" s="44">
        <f>CST_SITE_SQM*CST_LEASE_MANATEQ*Costs!CK7</f>
        <v>43114.666666666664</v>
      </c>
      <c r="CL13" s="44">
        <f>CST_SITE_SQM*CST_LEASE_MANATEQ*Costs!CL7</f>
        <v>43114.666666666664</v>
      </c>
      <c r="CM13" s="44">
        <f>CST_SITE_SQM*CST_LEASE_MANATEQ*Costs!CM7</f>
        <v>43114.666666666664</v>
      </c>
      <c r="CN13" s="44">
        <f>CST_SITE_SQM*CST_LEASE_MANATEQ*Costs!CN7</f>
        <v>43114.666666666664</v>
      </c>
      <c r="CO13" s="44">
        <f>CST_SITE_SQM*CST_LEASE_MANATEQ*Costs!CO7</f>
        <v>43114.666666666664</v>
      </c>
      <c r="CP13" s="44">
        <f>CST_SITE_SQM*CST_LEASE_MANATEQ*Costs!CP7</f>
        <v>43114.666666666664</v>
      </c>
      <c r="CQ13" s="44">
        <f>CST_SITE_SQM*CST_LEASE_MANATEQ*Costs!CQ7</f>
        <v>43114.666666666664</v>
      </c>
      <c r="CR13" s="44">
        <f>CST_SITE_SQM*CST_LEASE_MANATEQ*Costs!CR7</f>
        <v>43114.666666666664</v>
      </c>
      <c r="CS13" s="44">
        <f>CST_SITE_SQM*CST_LEASE_MANATEQ*Costs!CS7</f>
        <v>43114.666666666664</v>
      </c>
      <c r="CT13" s="44">
        <f>CST_SITE_SQM*CST_LEASE_MANATEQ*Costs!CT7</f>
        <v>43114.666666666664</v>
      </c>
      <c r="CU13" s="44">
        <f>CST_SITE_SQM*CST_LEASE_MANATEQ*Costs!CU7</f>
        <v>43114.666666666664</v>
      </c>
      <c r="CV13" s="44">
        <f>CST_SITE_SQM*CST_LEASE_MANATEQ*Costs!CV7</f>
        <v>43114.666666666664</v>
      </c>
      <c r="CW13" s="44">
        <f>CST_SITE_SQM*CST_LEASE_MANATEQ*Costs!CW7</f>
        <v>43114.666666666664</v>
      </c>
      <c r="CX13" s="44">
        <f>CST_SITE_SQM*CST_LEASE_MANATEQ*Costs!CX7</f>
        <v>43114.666666666664</v>
      </c>
      <c r="CY13" s="44">
        <f>CST_SITE_SQM*CST_LEASE_MANATEQ*Costs!CY7</f>
        <v>43114.666666666664</v>
      </c>
      <c r="CZ13" s="44">
        <f>CST_SITE_SQM*CST_LEASE_MANATEQ*Costs!CZ7</f>
        <v>43114.666666666664</v>
      </c>
      <c r="DA13" s="44">
        <f>CST_SITE_SQM*CST_LEASE_MANATEQ*Costs!DA7</f>
        <v>43114.666666666664</v>
      </c>
      <c r="DB13" s="44">
        <f>CST_SITE_SQM*CST_LEASE_MANATEQ*Costs!DB7</f>
        <v>43114.666666666664</v>
      </c>
      <c r="DC13" s="44">
        <f>CST_SITE_SQM*CST_LEASE_MANATEQ*Costs!DC7</f>
        <v>43114.666666666664</v>
      </c>
      <c r="DD13" s="44">
        <f>CST_SITE_SQM*CST_LEASE_MANATEQ*Costs!DD7</f>
        <v>43114.666666666664</v>
      </c>
      <c r="DE13" s="44">
        <f>CST_SITE_SQM*CST_LEASE_MANATEQ*Costs!DE7</f>
        <v>43114.666666666664</v>
      </c>
      <c r="DF13" s="44">
        <f>CST_SITE_SQM*CST_LEASE_MANATEQ*Costs!DF7</f>
        <v>43114.666666666664</v>
      </c>
      <c r="DG13" s="44">
        <f>CST_SITE_SQM*CST_LEASE_MANATEQ*Costs!DG7</f>
        <v>43114.666666666664</v>
      </c>
      <c r="DH13" s="44">
        <f>CST_SITE_SQM*CST_LEASE_MANATEQ*Costs!DH7</f>
        <v>43114.666666666664</v>
      </c>
      <c r="DI13" s="44">
        <f>CST_SITE_SQM*CST_LEASE_MANATEQ*Costs!DI7</f>
        <v>43114.666666666664</v>
      </c>
      <c r="DJ13" s="44">
        <f>CST_SITE_SQM*CST_LEASE_MANATEQ*Costs!DJ7</f>
        <v>43114.666666666664</v>
      </c>
      <c r="DK13" s="44">
        <f>CST_SITE_SQM*CST_LEASE_MANATEQ*Costs!DK7</f>
        <v>43114.666666666664</v>
      </c>
      <c r="DL13" s="44">
        <f>CST_SITE_SQM*CST_LEASE_MANATEQ*Costs!DL7</f>
        <v>43114.666666666664</v>
      </c>
      <c r="DM13" s="44">
        <f>CST_SITE_SQM*CST_LEASE_MANATEQ*Costs!DM7</f>
        <v>43114.666666666664</v>
      </c>
      <c r="DN13" s="44">
        <f>CST_SITE_SQM*CST_LEASE_MANATEQ*Costs!DN7</f>
        <v>43114.666666666664</v>
      </c>
      <c r="DO13" s="44">
        <f>CST_SITE_SQM*CST_LEASE_MANATEQ*Costs!DO7</f>
        <v>43114.666666666664</v>
      </c>
      <c r="DP13" s="44">
        <f>CST_SITE_SQM*CST_LEASE_MANATEQ*Costs!DP7</f>
        <v>43114.666666666664</v>
      </c>
      <c r="DQ13" s="44">
        <f>CST_SITE_SQM*CST_LEASE_MANATEQ*Costs!DQ7</f>
        <v>43114.666666666664</v>
      </c>
      <c r="DR13" s="44">
        <f>CST_SITE_SQM*CST_LEASE_MANATEQ*Costs!DR7</f>
        <v>43114.666666666664</v>
      </c>
      <c r="DS13" s="44">
        <f>CST_SITE_SQM*CST_LEASE_MANATEQ*Costs!DS7</f>
        <v>43114.666666666664</v>
      </c>
      <c r="DT13" s="44">
        <f>CST_SITE_SQM*CST_LEASE_MANATEQ*Costs!DT7</f>
        <v>43114.666666666664</v>
      </c>
      <c r="DU13" s="44">
        <f>CST_SITE_SQM*CST_LEASE_MANATEQ*Costs!DU7</f>
        <v>43114.666666666664</v>
      </c>
      <c r="DV13" s="44">
        <f>CST_SITE_SQM*CST_LEASE_MANATEQ*Costs!DV7</f>
        <v>43114.666666666664</v>
      </c>
      <c r="DW13" s="44">
        <f>CST_SITE_SQM*CST_LEASE_MANATEQ*Costs!DW7</f>
        <v>43114.666666666664</v>
      </c>
      <c r="DX13" s="44">
        <f>CST_SITE_SQM*CST_LEASE_MANATEQ*Costs!DX7</f>
        <v>43114.666666666664</v>
      </c>
      <c r="DY13" s="44">
        <f>CST_SITE_SQM*CST_LEASE_MANATEQ*Costs!DY7</f>
        <v>43114.666666666664</v>
      </c>
      <c r="DZ13" s="44">
        <f>CST_SITE_SQM*CST_LEASE_MANATEQ*Costs!DZ7</f>
        <v>43114.666666666664</v>
      </c>
      <c r="EA13" s="44">
        <f>CST_SITE_SQM*CST_LEASE_MANATEQ*Costs!EA7</f>
        <v>43114.666666666664</v>
      </c>
      <c r="EB13" s="44">
        <f>CST_SITE_SQM*CST_LEASE_MANATEQ*Costs!EB7</f>
        <v>43114.666666666664</v>
      </c>
      <c r="EC13" s="44">
        <f>CST_SITE_SQM*CST_LEASE_MANATEQ*Costs!EC7</f>
        <v>43114.666666666664</v>
      </c>
      <c r="ED13" s="44">
        <f>CST_SITE_SQM*CST_LEASE_MANATEQ*Costs!ED7</f>
        <v>43114.666666666664</v>
      </c>
      <c r="EE13" s="44">
        <f>CST_SITE_SQM*CST_LEASE_MANATEQ*Costs!EE7</f>
        <v>43114.666666666664</v>
      </c>
      <c r="EF13" s="44">
        <f>CST_SITE_SQM*CST_LEASE_MANATEQ*Costs!EF7</f>
        <v>43114.666666666664</v>
      </c>
      <c r="EG13" s="44">
        <f>CST_SITE_SQM*CST_LEASE_MANATEQ*Costs!EG7</f>
        <v>43114.666666666664</v>
      </c>
      <c r="EH13" s="44">
        <f>CST_SITE_SQM*CST_LEASE_MANATEQ*Costs!EH7</f>
        <v>43114.666666666664</v>
      </c>
      <c r="EI13" s="44">
        <f>CST_SITE_SQM*CST_LEASE_MANATEQ*Costs!EI7</f>
        <v>43114.666666666664</v>
      </c>
      <c r="EJ13" s="44">
        <f>CST_SITE_SQM*CST_LEASE_MANATEQ*Costs!EJ7</f>
        <v>43114.666666666664</v>
      </c>
      <c r="EK13" s="44">
        <f>CST_SITE_SQM*CST_LEASE_MANATEQ*Costs!EK7</f>
        <v>43114.666666666664</v>
      </c>
      <c r="EL13" s="44">
        <f>CST_SITE_SQM*CST_LEASE_MANATEQ*Costs!EL7</f>
        <v>43114.666666666664</v>
      </c>
      <c r="EM13" s="44">
        <f>CST_SITE_SQM*CST_LEASE_MANATEQ*Costs!EM7</f>
        <v>43114.666666666664</v>
      </c>
      <c r="EN13" s="44">
        <f>CST_SITE_SQM*CST_LEASE_MANATEQ*Costs!EN7</f>
        <v>43114.666666666664</v>
      </c>
      <c r="EO13" s="44">
        <f>CST_SITE_SQM*CST_LEASE_MANATEQ*Costs!EO7</f>
        <v>43114.666666666664</v>
      </c>
      <c r="EP13" s="44">
        <f>CST_SITE_SQM*CST_LEASE_MANATEQ*Costs!EP7</f>
        <v>43114.666666666664</v>
      </c>
      <c r="EQ13" s="44">
        <f>CST_SITE_SQM*CST_LEASE_MANATEQ*Costs!EQ7</f>
        <v>43114.666666666664</v>
      </c>
      <c r="ER13" s="44">
        <f>CST_SITE_SQM*CST_LEASE_MANATEQ*Costs!ER7</f>
        <v>43114.666666666664</v>
      </c>
      <c r="ES13" s="44">
        <f>CST_SITE_SQM*CST_LEASE_MANATEQ*Costs!ES7</f>
        <v>43114.666666666664</v>
      </c>
      <c r="ET13" s="44">
        <f>CST_SITE_SQM*CST_LEASE_MANATEQ*Costs!ET7</f>
        <v>43114.666666666664</v>
      </c>
      <c r="EU13" s="44">
        <f>CST_SITE_SQM*CST_LEASE_MANATEQ*Costs!EU7</f>
        <v>43114.666666666664</v>
      </c>
      <c r="EV13" s="44">
        <f>CST_SITE_SQM*CST_LEASE_MANATEQ*Costs!EV7</f>
        <v>43114.666666666664</v>
      </c>
      <c r="EW13" s="44">
        <f>CST_SITE_SQM*CST_LEASE_MANATEQ*Costs!EW7</f>
        <v>43114.666666666664</v>
      </c>
      <c r="EX13" s="44">
        <f>CST_SITE_SQM*CST_LEASE_MANATEQ*Costs!EX7</f>
        <v>43114.666666666664</v>
      </c>
      <c r="EY13" s="44">
        <f>CST_SITE_SQM*CST_LEASE_MANATEQ*Costs!EY7</f>
        <v>43114.666666666664</v>
      </c>
      <c r="EZ13" s="44">
        <f>CST_SITE_SQM*CST_LEASE_MANATEQ*Costs!EZ7</f>
        <v>43114.666666666664</v>
      </c>
      <c r="FA13" s="44">
        <f>CST_SITE_SQM*CST_LEASE_MANATEQ*Costs!FA7</f>
        <v>43114.666666666664</v>
      </c>
      <c r="FB13" s="44">
        <f>CST_SITE_SQM*CST_LEASE_MANATEQ*Costs!FB7</f>
        <v>43114.666666666664</v>
      </c>
      <c r="FC13" s="44">
        <f>CST_SITE_SQM*CST_LEASE_MANATEQ*Costs!FC7</f>
        <v>43114.666666666664</v>
      </c>
      <c r="FD13" s="44">
        <f>CST_SITE_SQM*CST_LEASE_MANATEQ*Costs!FD7</f>
        <v>43114.666666666664</v>
      </c>
      <c r="FE13" s="44">
        <f>CST_SITE_SQM*CST_LEASE_MANATEQ*Costs!FE7</f>
        <v>43114.666666666664</v>
      </c>
      <c r="FF13" s="44">
        <f>CST_SITE_SQM*CST_LEASE_MANATEQ*Costs!FF7</f>
        <v>43114.666666666664</v>
      </c>
      <c r="FG13" s="44">
        <f>CST_SITE_SQM*CST_LEASE_MANATEQ*Costs!FG7</f>
        <v>43114.666666666664</v>
      </c>
      <c r="FH13" s="44">
        <f>CST_SITE_SQM*CST_LEASE_MANATEQ*Costs!FH7</f>
        <v>43114.666666666664</v>
      </c>
      <c r="FI13" s="44">
        <f>CST_SITE_SQM*CST_LEASE_MANATEQ*Costs!FI7</f>
        <v>43114.666666666664</v>
      </c>
      <c r="FJ13" s="44">
        <f>CST_SITE_SQM*CST_LEASE_MANATEQ*Costs!FJ7</f>
        <v>43114.666666666664</v>
      </c>
      <c r="FK13" s="44">
        <f>CST_SITE_SQM*CST_LEASE_MANATEQ*Costs!FK7</f>
        <v>43114.666666666664</v>
      </c>
      <c r="FL13" s="44">
        <f>CST_SITE_SQM*CST_LEASE_MANATEQ*Costs!FL7</f>
        <v>43114.666666666664</v>
      </c>
      <c r="FM13" s="44">
        <f>CST_SITE_SQM*CST_LEASE_MANATEQ*Costs!FM7</f>
        <v>43114.666666666664</v>
      </c>
      <c r="FN13" s="44">
        <f>CST_SITE_SQM*CST_LEASE_MANATEQ*Costs!FN7</f>
        <v>43114.666666666664</v>
      </c>
      <c r="FO13" s="44">
        <f>CST_SITE_SQM*CST_LEASE_MANATEQ*Costs!FO7</f>
        <v>43114.666666666664</v>
      </c>
      <c r="FP13" s="44">
        <f>CST_SITE_SQM*CST_LEASE_MANATEQ*Costs!FP7</f>
        <v>43114.666666666664</v>
      </c>
      <c r="FQ13" s="44">
        <f>CST_SITE_SQM*CST_LEASE_MANATEQ*Costs!FQ7</f>
        <v>43114.666666666664</v>
      </c>
      <c r="FR13" s="44">
        <f>CST_SITE_SQM*CST_LEASE_MANATEQ*Costs!FR7</f>
        <v>43114.666666666664</v>
      </c>
      <c r="FS13" s="44">
        <f>CST_SITE_SQM*CST_LEASE_MANATEQ*Costs!FS7</f>
        <v>43114.666666666664</v>
      </c>
      <c r="FT13" s="44">
        <f>CST_SITE_SQM*CST_LEASE_MANATEQ*Costs!FT7</f>
        <v>43114.666666666664</v>
      </c>
      <c r="FU13" s="44">
        <f>CST_SITE_SQM*CST_LEASE_MANATEQ*Costs!FU7</f>
        <v>43114.666666666664</v>
      </c>
      <c r="FV13" s="44">
        <f>CST_SITE_SQM*CST_LEASE_MANATEQ*Costs!FV7</f>
        <v>43114.666666666664</v>
      </c>
      <c r="FW13" s="44">
        <f>CST_SITE_SQM*CST_LEASE_MANATEQ*Costs!FW7</f>
        <v>43114.666666666664</v>
      </c>
      <c r="FX13" s="44">
        <f>CST_SITE_SQM*CST_LEASE_MANATEQ*Costs!FX7</f>
        <v>43114.666666666664</v>
      </c>
      <c r="FY13" s="44">
        <f>CST_SITE_SQM*CST_LEASE_MANATEQ*Costs!FY7</f>
        <v>43114.666666666664</v>
      </c>
      <c r="FZ13" s="44">
        <f>CST_SITE_SQM*CST_LEASE_MANATEQ*Costs!FZ7</f>
        <v>43114.666666666664</v>
      </c>
      <c r="GA13" s="44">
        <f>CST_SITE_SQM*CST_LEASE_MANATEQ*Costs!GA7</f>
        <v>43114.666666666664</v>
      </c>
      <c r="GB13" s="44">
        <f>CST_SITE_SQM*CST_LEASE_MANATEQ*Costs!GB7</f>
        <v>43114.666666666664</v>
      </c>
      <c r="GC13" s="44">
        <f>CST_SITE_SQM*CST_LEASE_MANATEQ*Costs!GC7</f>
        <v>43114.666666666664</v>
      </c>
      <c r="GD13" s="44">
        <f>CST_SITE_SQM*CST_LEASE_MANATEQ*Costs!GD7</f>
        <v>43114.666666666664</v>
      </c>
      <c r="GE13" s="44">
        <f>CST_SITE_SQM*CST_LEASE_MANATEQ*Costs!GE7</f>
        <v>43114.666666666664</v>
      </c>
      <c r="GF13" s="44">
        <f>CST_SITE_SQM*CST_LEASE_MANATEQ*Costs!GF7</f>
        <v>43114.666666666664</v>
      </c>
      <c r="GG13" s="44">
        <f>CST_SITE_SQM*CST_LEASE_MANATEQ*Costs!GG7</f>
        <v>43114.666666666664</v>
      </c>
      <c r="GH13" s="44">
        <f>CST_SITE_SQM*CST_LEASE_MANATEQ*Costs!GH7</f>
        <v>43114.666666666664</v>
      </c>
      <c r="GI13" s="44">
        <f>CST_SITE_SQM*CST_LEASE_MANATEQ*Costs!GI7</f>
        <v>43114.666666666664</v>
      </c>
      <c r="GJ13" s="44">
        <f>CST_SITE_SQM*CST_LEASE_MANATEQ*Costs!GJ7</f>
        <v>43114.666666666664</v>
      </c>
      <c r="GK13" s="44">
        <f>CST_SITE_SQM*CST_LEASE_MANATEQ*Costs!GK7</f>
        <v>43114.666666666664</v>
      </c>
      <c r="GL13" s="44">
        <f>CST_SITE_SQM*CST_LEASE_MANATEQ*Costs!GL7</f>
        <v>43114.666666666664</v>
      </c>
      <c r="GM13" s="44">
        <f>CST_SITE_SQM*CST_LEASE_MANATEQ*Costs!GM7</f>
        <v>43114.666666666664</v>
      </c>
      <c r="GN13" s="44">
        <f>CST_SITE_SQM*CST_LEASE_MANATEQ*Costs!GN7</f>
        <v>43114.666666666664</v>
      </c>
      <c r="GO13" s="44">
        <f>CST_SITE_SQM*CST_LEASE_MANATEQ*Costs!GO7</f>
        <v>43114.666666666664</v>
      </c>
      <c r="GP13" s="44">
        <f>CST_SITE_SQM*CST_LEASE_MANATEQ*Costs!GP7</f>
        <v>43114.666666666664</v>
      </c>
      <c r="GQ13" s="44">
        <f>CST_SITE_SQM*CST_LEASE_MANATEQ*Costs!GQ7</f>
        <v>43114.666666666664</v>
      </c>
      <c r="GR13" s="44">
        <f>CST_SITE_SQM*CST_LEASE_MANATEQ*Costs!GR7</f>
        <v>43114.666666666664</v>
      </c>
      <c r="GS13" s="44">
        <f>CST_SITE_SQM*CST_LEASE_MANATEQ*Costs!GS7</f>
        <v>43114.666666666664</v>
      </c>
      <c r="GT13" s="44">
        <f>CST_SITE_SQM*CST_LEASE_MANATEQ*Costs!GT7</f>
        <v>43114.666666666664</v>
      </c>
      <c r="GU13" s="44">
        <f>CST_SITE_SQM*CST_LEASE_MANATEQ*Costs!GU7</f>
        <v>43114.666666666664</v>
      </c>
      <c r="GV13" s="44">
        <f>CST_SITE_SQM*CST_LEASE_MANATEQ*Costs!GV7</f>
        <v>43114.666666666664</v>
      </c>
      <c r="GW13" s="44">
        <f>CST_SITE_SQM*CST_LEASE_MANATEQ*Costs!GW7</f>
        <v>43114.666666666664</v>
      </c>
      <c r="GX13" s="44">
        <f>CST_SITE_SQM*CST_LEASE_MANATEQ*Costs!GX7</f>
        <v>43114.666666666664</v>
      </c>
      <c r="GY13" s="44">
        <f>CST_SITE_SQM*CST_LEASE_MANATEQ*Costs!GY7</f>
        <v>43114.666666666664</v>
      </c>
      <c r="GZ13" s="44">
        <f>CST_SITE_SQM*CST_LEASE_MANATEQ*Costs!GZ7</f>
        <v>43114.666666666664</v>
      </c>
      <c r="HA13" s="44">
        <f>CST_SITE_SQM*CST_LEASE_MANATEQ*Costs!HA7</f>
        <v>43114.666666666664</v>
      </c>
      <c r="HB13" s="44">
        <f>CST_SITE_SQM*CST_LEASE_MANATEQ*Costs!HB7</f>
        <v>43114.666666666664</v>
      </c>
      <c r="HC13" s="44">
        <f>CST_SITE_SQM*CST_LEASE_MANATEQ*Costs!HC7</f>
        <v>43114.666666666664</v>
      </c>
      <c r="HD13" s="44">
        <f>CST_SITE_SQM*CST_LEASE_MANATEQ*Costs!HD7</f>
        <v>43114.666666666664</v>
      </c>
      <c r="HE13" s="44">
        <f>CST_SITE_SQM*CST_LEASE_MANATEQ*Costs!HE7</f>
        <v>43114.666666666664</v>
      </c>
      <c r="HF13" s="44">
        <f>CST_SITE_SQM*CST_LEASE_MANATEQ*Costs!HF7</f>
        <v>43114.666666666664</v>
      </c>
      <c r="HG13" s="44">
        <f>CST_SITE_SQM*CST_LEASE_MANATEQ*Costs!HG7</f>
        <v>43114.666666666664</v>
      </c>
      <c r="HH13" s="44">
        <f>CST_SITE_SQM*CST_LEASE_MANATEQ*Costs!HH7</f>
        <v>43114.666666666664</v>
      </c>
      <c r="HI13" s="44">
        <f>CST_SITE_SQM*CST_LEASE_MANATEQ*Costs!HI7</f>
        <v>43114.666666666664</v>
      </c>
      <c r="HJ13" s="44">
        <f>CST_SITE_SQM*CST_LEASE_MANATEQ*Costs!HJ7</f>
        <v>43114.666666666664</v>
      </c>
      <c r="HK13" s="44">
        <f>CST_SITE_SQM*CST_LEASE_MANATEQ*Costs!HK7</f>
        <v>43114.666666666664</v>
      </c>
      <c r="HL13" s="44">
        <f>CST_SITE_SQM*CST_LEASE_MANATEQ*Costs!HL7</f>
        <v>43114.666666666664</v>
      </c>
      <c r="HM13" s="44">
        <f>CST_SITE_SQM*CST_LEASE_MANATEQ*Costs!HM7</f>
        <v>43114.666666666664</v>
      </c>
      <c r="HN13" s="44">
        <f>CST_SITE_SQM*CST_LEASE_MANATEQ*Costs!HN7</f>
        <v>43114.666666666664</v>
      </c>
      <c r="HO13" s="44">
        <f>CST_SITE_SQM*CST_LEASE_MANATEQ*Costs!HO7</f>
        <v>43114.666666666664</v>
      </c>
      <c r="HP13" s="44">
        <f>CST_SITE_SQM*CST_LEASE_MANATEQ*Costs!HP7</f>
        <v>43114.666666666664</v>
      </c>
      <c r="HQ13" s="44">
        <f>CST_SITE_SQM*CST_LEASE_MANATEQ*Costs!HQ7</f>
        <v>43114.666666666664</v>
      </c>
      <c r="HR13" s="44">
        <f>CST_SITE_SQM*CST_LEASE_MANATEQ*Costs!HR7</f>
        <v>43114.666666666664</v>
      </c>
      <c r="HS13" s="44">
        <f>CST_SITE_SQM*CST_LEASE_MANATEQ*Costs!HS7</f>
        <v>43114.666666666664</v>
      </c>
      <c r="HT13" s="44">
        <f>CST_SITE_SQM*CST_LEASE_MANATEQ*Costs!HT7</f>
        <v>43114.666666666664</v>
      </c>
      <c r="HU13" s="44">
        <f>CST_SITE_SQM*CST_LEASE_MANATEQ*Costs!HU7</f>
        <v>43114.666666666664</v>
      </c>
      <c r="HV13" s="44">
        <f>CST_SITE_SQM*CST_LEASE_MANATEQ*Costs!HV7</f>
        <v>43114.666666666664</v>
      </c>
      <c r="HW13" s="44">
        <f>CST_SITE_SQM*CST_LEASE_MANATEQ*Costs!HW7</f>
        <v>43114.666666666664</v>
      </c>
      <c r="HX13" s="44">
        <f>CST_SITE_SQM*CST_LEASE_MANATEQ*Costs!HX7</f>
        <v>43114.666666666664</v>
      </c>
      <c r="HY13" s="44">
        <f>CST_SITE_SQM*CST_LEASE_MANATEQ*Costs!HY7</f>
        <v>43114.666666666664</v>
      </c>
      <c r="HZ13" s="44">
        <f>CST_SITE_SQM*CST_LEASE_MANATEQ*Costs!HZ7</f>
        <v>43114.666666666664</v>
      </c>
      <c r="IA13" s="44">
        <f>CST_SITE_SQM*CST_LEASE_MANATEQ*Costs!IA7</f>
        <v>43114.666666666664</v>
      </c>
      <c r="IB13" s="44">
        <f>CST_SITE_SQM*CST_LEASE_MANATEQ*Costs!IB7</f>
        <v>43114.666666666664</v>
      </c>
      <c r="IC13" s="44">
        <f>CST_SITE_SQM*CST_LEASE_MANATEQ*Costs!IC7</f>
        <v>43114.666666666664</v>
      </c>
      <c r="ID13" s="44">
        <f>CST_SITE_SQM*CST_LEASE_MANATEQ*Costs!ID7</f>
        <v>43114.666666666664</v>
      </c>
      <c r="IE13" s="44">
        <f>CST_SITE_SQM*CST_LEASE_MANATEQ*Costs!IE7</f>
        <v>43114.666666666664</v>
      </c>
      <c r="IF13" s="44">
        <f>CST_SITE_SQM*CST_LEASE_MANATEQ*Costs!IF7</f>
        <v>43114.666666666664</v>
      </c>
      <c r="IG13" s="44">
        <f>CST_SITE_SQM*CST_LEASE_MANATEQ*Costs!IG7</f>
        <v>43114.666666666664</v>
      </c>
      <c r="IH13" s="44">
        <f>CST_SITE_SQM*CST_LEASE_MANATEQ*Costs!IH7</f>
        <v>43114.666666666664</v>
      </c>
      <c r="II13" s="20">
        <f>SUM(C13:IH13)</f>
        <v>9830144.0000000037</v>
      </c>
    </row>
    <row r="14" spans="1:243" x14ac:dyDescent="0.45">
      <c r="A14" s="16" t="s">
        <v>789</v>
      </c>
      <c r="B14" s="109"/>
      <c r="C14" s="44">
        <f>Revenue!C55*0.03</f>
        <v>0</v>
      </c>
      <c r="D14" s="44">
        <f>Revenue!D55*0.03</f>
        <v>0</v>
      </c>
      <c r="E14" s="44">
        <f>Revenue!E55*0.03</f>
        <v>0</v>
      </c>
      <c r="F14" s="44">
        <f>Revenue!F55*0.03</f>
        <v>0</v>
      </c>
      <c r="G14" s="44">
        <f>Revenue!G55*0.03</f>
        <v>0</v>
      </c>
      <c r="H14" s="44">
        <f>Revenue!H55*0.03</f>
        <v>0</v>
      </c>
      <c r="I14" s="44">
        <f>Revenue!I55*0.03</f>
        <v>0</v>
      </c>
      <c r="J14" s="44">
        <f>Revenue!J55*0.03</f>
        <v>0</v>
      </c>
      <c r="K14" s="44">
        <f>Revenue!K55*0.03</f>
        <v>0</v>
      </c>
      <c r="L14" s="44">
        <f>Revenue!L55*0.03</f>
        <v>0</v>
      </c>
      <c r="M14" s="44">
        <f>Revenue!M55*0.03</f>
        <v>0</v>
      </c>
      <c r="N14" s="44">
        <f>Revenue!N55*0.03</f>
        <v>0</v>
      </c>
      <c r="O14" s="44">
        <f>Revenue!O55*0.03</f>
        <v>0</v>
      </c>
      <c r="P14" s="44">
        <f>Revenue!P55*0.03</f>
        <v>0</v>
      </c>
      <c r="Q14" s="44">
        <f>Revenue!Q55*0.03</f>
        <v>0</v>
      </c>
      <c r="R14" s="44">
        <f>Revenue!R55*0.03</f>
        <v>0</v>
      </c>
      <c r="S14" s="44">
        <f>Revenue!S55*0.03</f>
        <v>0</v>
      </c>
      <c r="T14" s="44">
        <f>Revenue!T55*0.03</f>
        <v>0</v>
      </c>
      <c r="U14" s="44">
        <f>Revenue!U55*0.03</f>
        <v>0</v>
      </c>
      <c r="V14" s="44">
        <f>Revenue!V55*0.03</f>
        <v>0</v>
      </c>
      <c r="W14" s="44">
        <f>Revenue!W55*0.03</f>
        <v>0</v>
      </c>
      <c r="X14" s="44">
        <f>Revenue!X55*0.03</f>
        <v>0</v>
      </c>
      <c r="Y14" s="44">
        <f>Revenue!Y55*0.03</f>
        <v>0</v>
      </c>
      <c r="Z14" s="44">
        <f>Revenue!Z55*0.03</f>
        <v>0</v>
      </c>
      <c r="AA14" s="44">
        <f>Revenue!AA55*0.03</f>
        <v>170887.80567405402</v>
      </c>
      <c r="AB14" s="44">
        <f>Revenue!AB55*0.03</f>
        <v>170887.80567405402</v>
      </c>
      <c r="AC14" s="44">
        <f>Revenue!AC55*0.03</f>
        <v>170887.80567405402</v>
      </c>
      <c r="AD14" s="44">
        <f>Revenue!AD55*0.03</f>
        <v>170887.80567405402</v>
      </c>
      <c r="AE14" s="44">
        <f>Revenue!AE55*0.03</f>
        <v>170887.80567405402</v>
      </c>
      <c r="AF14" s="44">
        <f>Revenue!AF55*0.03</f>
        <v>170887.80567405402</v>
      </c>
      <c r="AG14" s="44">
        <f>Revenue!AG55*0.03</f>
        <v>170887.80567405402</v>
      </c>
      <c r="AH14" s="44">
        <f>Revenue!AH55*0.03</f>
        <v>170887.80567405402</v>
      </c>
      <c r="AI14" s="44">
        <f>Revenue!AI55*0.03</f>
        <v>170887.80567405402</v>
      </c>
      <c r="AJ14" s="44">
        <f>Revenue!AJ55*0.03</f>
        <v>170887.80567405402</v>
      </c>
      <c r="AK14" s="44">
        <f>Revenue!AK55*0.03</f>
        <v>170887.80567405402</v>
      </c>
      <c r="AL14" s="44">
        <f>Revenue!AL55*0.03</f>
        <v>170887.80567405402</v>
      </c>
      <c r="AM14" s="44">
        <f>Revenue!AM55*0.03</f>
        <v>282761.0094567567</v>
      </c>
      <c r="AN14" s="44">
        <f>Revenue!AN55*0.03</f>
        <v>282761.0094567567</v>
      </c>
      <c r="AO14" s="44">
        <f>Revenue!AO55*0.03</f>
        <v>282761.0094567567</v>
      </c>
      <c r="AP14" s="44">
        <f>Revenue!AP55*0.03</f>
        <v>282761.0094567567</v>
      </c>
      <c r="AQ14" s="44">
        <f>Revenue!AQ55*0.03</f>
        <v>282761.0094567567</v>
      </c>
      <c r="AR14" s="44">
        <f>Revenue!AR55*0.03</f>
        <v>282761.0094567567</v>
      </c>
      <c r="AS14" s="44">
        <f>Revenue!AS55*0.03</f>
        <v>282761.0094567567</v>
      </c>
      <c r="AT14" s="44">
        <f>Revenue!AT55*0.03</f>
        <v>282761.0094567567</v>
      </c>
      <c r="AU14" s="44">
        <f>Revenue!AU55*0.03</f>
        <v>282761.0094567567</v>
      </c>
      <c r="AV14" s="44">
        <f>Revenue!AV55*0.03</f>
        <v>282761.0094567567</v>
      </c>
      <c r="AW14" s="44">
        <f>Revenue!AW55*0.03</f>
        <v>282761.0094567567</v>
      </c>
      <c r="AX14" s="44">
        <f>Revenue!AX55*0.03</f>
        <v>282761.0094567567</v>
      </c>
      <c r="AY14" s="44">
        <f>Revenue!AY55*0.03</f>
        <v>414365.92390143243</v>
      </c>
      <c r="AZ14" s="44">
        <f>Revenue!AZ55*0.03</f>
        <v>414365.92390143243</v>
      </c>
      <c r="BA14" s="44">
        <f>Revenue!BA55*0.03</f>
        <v>414365.92390143243</v>
      </c>
      <c r="BB14" s="44">
        <f>Revenue!BB55*0.03</f>
        <v>414365.92390143243</v>
      </c>
      <c r="BC14" s="44">
        <f>Revenue!BC55*0.03</f>
        <v>414365.92390143243</v>
      </c>
      <c r="BD14" s="44">
        <f>Revenue!BD55*0.03</f>
        <v>414365.92390143243</v>
      </c>
      <c r="BE14" s="44">
        <f>Revenue!BE55*0.03</f>
        <v>414365.92390143243</v>
      </c>
      <c r="BF14" s="44">
        <f>Revenue!BF55*0.03</f>
        <v>414365.92390143243</v>
      </c>
      <c r="BG14" s="44">
        <f>Revenue!BG55*0.03</f>
        <v>414365.92390143243</v>
      </c>
      <c r="BH14" s="44">
        <f>Revenue!BH55*0.03</f>
        <v>414365.92390143243</v>
      </c>
      <c r="BI14" s="44">
        <f>Revenue!BI55*0.03</f>
        <v>414365.92390143243</v>
      </c>
      <c r="BJ14" s="44">
        <f>Revenue!BJ55*0.03</f>
        <v>414365.92390143243</v>
      </c>
      <c r="BK14" s="44">
        <f>Revenue!BK55*0.03</f>
        <v>502466.07188031077</v>
      </c>
      <c r="BL14" s="44">
        <f>Revenue!BL55*0.03</f>
        <v>502466.07188031077</v>
      </c>
      <c r="BM14" s="44">
        <f>Revenue!BM55*0.03</f>
        <v>502466.07188031077</v>
      </c>
      <c r="BN14" s="44">
        <f>Revenue!BN55*0.03</f>
        <v>502466.07188031077</v>
      </c>
      <c r="BO14" s="44">
        <f>Revenue!BO55*0.03</f>
        <v>502466.07188031077</v>
      </c>
      <c r="BP14" s="44">
        <f>Revenue!BP55*0.03</f>
        <v>502466.07188031077</v>
      </c>
      <c r="BQ14" s="44">
        <f>Revenue!BQ55*0.03</f>
        <v>502466.07188031077</v>
      </c>
      <c r="BR14" s="44">
        <f>Revenue!BR55*0.03</f>
        <v>502466.07188031077</v>
      </c>
      <c r="BS14" s="44">
        <f>Revenue!BS55*0.03</f>
        <v>502466.07188031077</v>
      </c>
      <c r="BT14" s="44">
        <f>Revenue!BT55*0.03</f>
        <v>502466.07188031077</v>
      </c>
      <c r="BU14" s="44">
        <f>Revenue!BU55*0.03</f>
        <v>502466.07188031077</v>
      </c>
      <c r="BV14" s="44">
        <f>Revenue!BV55*0.03</f>
        <v>502466.07188031077</v>
      </c>
      <c r="BW14" s="44">
        <f>Revenue!BW55*0.03</f>
        <v>526393.02768413525</v>
      </c>
      <c r="BX14" s="44">
        <f>Revenue!BX55*0.03</f>
        <v>526393.02768413525</v>
      </c>
      <c r="BY14" s="44">
        <f>Revenue!BY55*0.03</f>
        <v>526393.02768413525</v>
      </c>
      <c r="BZ14" s="44">
        <f>Revenue!BZ55*0.03</f>
        <v>526393.02768413525</v>
      </c>
      <c r="CA14" s="44">
        <f>Revenue!CA55*0.03</f>
        <v>526393.02768413525</v>
      </c>
      <c r="CB14" s="44">
        <f>Revenue!CB55*0.03</f>
        <v>526393.02768413525</v>
      </c>
      <c r="CC14" s="44">
        <f>Revenue!CC55*0.03</f>
        <v>526393.02768413525</v>
      </c>
      <c r="CD14" s="44">
        <f>Revenue!CD55*0.03</f>
        <v>526393.02768413525</v>
      </c>
      <c r="CE14" s="44">
        <f>Revenue!CE55*0.03</f>
        <v>526393.02768413525</v>
      </c>
      <c r="CF14" s="44">
        <f>Revenue!CF55*0.03</f>
        <v>526393.02768413525</v>
      </c>
      <c r="CG14" s="44">
        <f>Revenue!CG55*0.03</f>
        <v>526393.02768413525</v>
      </c>
      <c r="CH14" s="44">
        <f>Revenue!CH55*0.03</f>
        <v>526393.02768413525</v>
      </c>
      <c r="CI14" s="44">
        <f>Revenue!CI55*0.03</f>
        <v>526393.02768413525</v>
      </c>
      <c r="CJ14" s="44">
        <f>Revenue!CJ55*0.03</f>
        <v>526393.02768413525</v>
      </c>
      <c r="CK14" s="44">
        <f>Revenue!CK55*0.03</f>
        <v>526393.02768413525</v>
      </c>
      <c r="CL14" s="44">
        <f>Revenue!CL55*0.03</f>
        <v>526393.02768413525</v>
      </c>
      <c r="CM14" s="44">
        <f>Revenue!CM55*0.03</f>
        <v>526393.02768413525</v>
      </c>
      <c r="CN14" s="44">
        <f>Revenue!CN55*0.03</f>
        <v>526393.02768413525</v>
      </c>
      <c r="CO14" s="44">
        <f>Revenue!CO55*0.03</f>
        <v>526393.02768413525</v>
      </c>
      <c r="CP14" s="44">
        <f>Revenue!CP55*0.03</f>
        <v>526393.02768413525</v>
      </c>
      <c r="CQ14" s="44">
        <f>Revenue!CQ55*0.03</f>
        <v>526393.02768413525</v>
      </c>
      <c r="CR14" s="44">
        <f>Revenue!CR55*0.03</f>
        <v>526393.02768413525</v>
      </c>
      <c r="CS14" s="44">
        <f>Revenue!CS55*0.03</f>
        <v>526393.02768413525</v>
      </c>
      <c r="CT14" s="44">
        <f>Revenue!CT55*0.03</f>
        <v>526393.02768413525</v>
      </c>
      <c r="CU14" s="44">
        <f>Revenue!CU55*0.03</f>
        <v>550319.9834879596</v>
      </c>
      <c r="CV14" s="44">
        <f>Revenue!CV55*0.03</f>
        <v>550319.9834879596</v>
      </c>
      <c r="CW14" s="44">
        <f>Revenue!CW55*0.03</f>
        <v>550319.9834879596</v>
      </c>
      <c r="CX14" s="44">
        <f>Revenue!CX55*0.03</f>
        <v>550319.9834879596</v>
      </c>
      <c r="CY14" s="44">
        <f>Revenue!CY55*0.03</f>
        <v>550319.9834879596</v>
      </c>
      <c r="CZ14" s="44">
        <f>Revenue!CZ55*0.03</f>
        <v>550319.9834879596</v>
      </c>
      <c r="DA14" s="44">
        <f>Revenue!DA55*0.03</f>
        <v>550319.9834879596</v>
      </c>
      <c r="DB14" s="44">
        <f>Revenue!DB55*0.03</f>
        <v>550319.9834879596</v>
      </c>
      <c r="DC14" s="44">
        <f>Revenue!DC55*0.03</f>
        <v>550319.9834879596</v>
      </c>
      <c r="DD14" s="44">
        <f>Revenue!DD55*0.03</f>
        <v>550319.9834879596</v>
      </c>
      <c r="DE14" s="44">
        <f>Revenue!DE55*0.03</f>
        <v>550319.9834879596</v>
      </c>
      <c r="DF14" s="44">
        <f>Revenue!DF55*0.03</f>
        <v>550319.9834879596</v>
      </c>
      <c r="DG14" s="44">
        <f>Revenue!DG55*0.03</f>
        <v>550319.9834879596</v>
      </c>
      <c r="DH14" s="44">
        <f>Revenue!DH55*0.03</f>
        <v>550319.9834879596</v>
      </c>
      <c r="DI14" s="44">
        <f>Revenue!DI55*0.03</f>
        <v>550319.9834879596</v>
      </c>
      <c r="DJ14" s="44">
        <f>Revenue!DJ55*0.03</f>
        <v>550319.9834879596</v>
      </c>
      <c r="DK14" s="44">
        <f>Revenue!DK55*0.03</f>
        <v>550319.9834879596</v>
      </c>
      <c r="DL14" s="44">
        <f>Revenue!DL55*0.03</f>
        <v>550319.9834879596</v>
      </c>
      <c r="DM14" s="44">
        <f>Revenue!DM55*0.03</f>
        <v>550319.9834879596</v>
      </c>
      <c r="DN14" s="44">
        <f>Revenue!DN55*0.03</f>
        <v>550319.9834879596</v>
      </c>
      <c r="DO14" s="44">
        <f>Revenue!DO55*0.03</f>
        <v>550319.9834879596</v>
      </c>
      <c r="DP14" s="44">
        <f>Revenue!DP55*0.03</f>
        <v>550319.9834879596</v>
      </c>
      <c r="DQ14" s="44">
        <f>Revenue!DQ55*0.03</f>
        <v>550319.9834879596</v>
      </c>
      <c r="DR14" s="44">
        <f>Revenue!DR55*0.03</f>
        <v>550319.9834879596</v>
      </c>
      <c r="DS14" s="44">
        <f>Revenue!DS55*0.03</f>
        <v>574246.93929178396</v>
      </c>
      <c r="DT14" s="44">
        <f>Revenue!DT55*0.03</f>
        <v>574246.93929178396</v>
      </c>
      <c r="DU14" s="44">
        <f>Revenue!DU55*0.03</f>
        <v>574246.93929178396</v>
      </c>
      <c r="DV14" s="44">
        <f>Revenue!DV55*0.03</f>
        <v>574246.93929178396</v>
      </c>
      <c r="DW14" s="44">
        <f>Revenue!DW55*0.03</f>
        <v>574246.93929178396</v>
      </c>
      <c r="DX14" s="44">
        <f>Revenue!DX55*0.03</f>
        <v>574246.93929178396</v>
      </c>
      <c r="DY14" s="44">
        <f>Revenue!DY55*0.03</f>
        <v>574246.93929178396</v>
      </c>
      <c r="DZ14" s="44">
        <f>Revenue!DZ55*0.03</f>
        <v>574246.93929178396</v>
      </c>
      <c r="EA14" s="44">
        <f>Revenue!EA55*0.03</f>
        <v>574246.93929178396</v>
      </c>
      <c r="EB14" s="44">
        <f>Revenue!EB55*0.03</f>
        <v>574246.93929178396</v>
      </c>
      <c r="EC14" s="44">
        <f>Revenue!EC55*0.03</f>
        <v>574246.93929178396</v>
      </c>
      <c r="ED14" s="44">
        <f>Revenue!ED55*0.03</f>
        <v>574246.93929178396</v>
      </c>
      <c r="EE14" s="44">
        <f>Revenue!EE55*0.03</f>
        <v>574246.93929178396</v>
      </c>
      <c r="EF14" s="44">
        <f>Revenue!EF55*0.03</f>
        <v>574246.93929178396</v>
      </c>
      <c r="EG14" s="44">
        <f>Revenue!EG55*0.03</f>
        <v>574246.93929178396</v>
      </c>
      <c r="EH14" s="44">
        <f>Revenue!EH55*0.03</f>
        <v>574246.93929178396</v>
      </c>
      <c r="EI14" s="44">
        <f>Revenue!EI55*0.03</f>
        <v>574246.93929178396</v>
      </c>
      <c r="EJ14" s="44">
        <f>Revenue!EJ55*0.03</f>
        <v>574246.93929178396</v>
      </c>
      <c r="EK14" s="44">
        <f>Revenue!EK55*0.03</f>
        <v>574246.93929178396</v>
      </c>
      <c r="EL14" s="44">
        <f>Revenue!EL55*0.03</f>
        <v>574246.93929178396</v>
      </c>
      <c r="EM14" s="44">
        <f>Revenue!EM55*0.03</f>
        <v>574246.93929178396</v>
      </c>
      <c r="EN14" s="44">
        <f>Revenue!EN55*0.03</f>
        <v>574246.93929178396</v>
      </c>
      <c r="EO14" s="44">
        <f>Revenue!EO55*0.03</f>
        <v>574246.93929178396</v>
      </c>
      <c r="EP14" s="44">
        <f>Revenue!EP55*0.03</f>
        <v>574246.93929178396</v>
      </c>
      <c r="EQ14" s="44">
        <f>Revenue!EQ55*0.03</f>
        <v>598173.89509560831</v>
      </c>
      <c r="ER14" s="44">
        <f>Revenue!ER55*0.03</f>
        <v>598173.89509560831</v>
      </c>
      <c r="ES14" s="44">
        <f>Revenue!ES55*0.03</f>
        <v>598173.89509560831</v>
      </c>
      <c r="ET14" s="44">
        <f>Revenue!ET55*0.03</f>
        <v>598173.89509560831</v>
      </c>
      <c r="EU14" s="44">
        <f>Revenue!EU55*0.03</f>
        <v>598173.89509560831</v>
      </c>
      <c r="EV14" s="44">
        <f>Revenue!EV55*0.03</f>
        <v>598173.89509560831</v>
      </c>
      <c r="EW14" s="44">
        <f>Revenue!EW55*0.03</f>
        <v>598173.89509560831</v>
      </c>
      <c r="EX14" s="44">
        <f>Revenue!EX55*0.03</f>
        <v>598173.89509560831</v>
      </c>
      <c r="EY14" s="44">
        <f>Revenue!EY55*0.03</f>
        <v>598173.89509560831</v>
      </c>
      <c r="EZ14" s="44">
        <f>Revenue!EZ55*0.03</f>
        <v>598173.89509560831</v>
      </c>
      <c r="FA14" s="44">
        <f>Revenue!FA55*0.03</f>
        <v>598173.89509560831</v>
      </c>
      <c r="FB14" s="44">
        <f>Revenue!FB55*0.03</f>
        <v>598173.89509560831</v>
      </c>
      <c r="FC14" s="44">
        <f>Revenue!FC55*0.03</f>
        <v>598173.89509560831</v>
      </c>
      <c r="FD14" s="44">
        <f>Revenue!FD55*0.03</f>
        <v>598173.89509560831</v>
      </c>
      <c r="FE14" s="44">
        <f>Revenue!FE55*0.03</f>
        <v>598173.89509560831</v>
      </c>
      <c r="FF14" s="44">
        <f>Revenue!FF55*0.03</f>
        <v>598173.89509560831</v>
      </c>
      <c r="FG14" s="44">
        <f>Revenue!FG55*0.03</f>
        <v>598173.89509560831</v>
      </c>
      <c r="FH14" s="44">
        <f>Revenue!FH55*0.03</f>
        <v>598173.89509560831</v>
      </c>
      <c r="FI14" s="44">
        <f>Revenue!FI55*0.03</f>
        <v>598173.89509560831</v>
      </c>
      <c r="FJ14" s="44">
        <f>Revenue!FJ55*0.03</f>
        <v>598173.89509560831</v>
      </c>
      <c r="FK14" s="44">
        <f>Revenue!FK55*0.03</f>
        <v>598173.89509560831</v>
      </c>
      <c r="FL14" s="44">
        <f>Revenue!FL55*0.03</f>
        <v>598173.89509560831</v>
      </c>
      <c r="FM14" s="44">
        <f>Revenue!FM55*0.03</f>
        <v>598173.89509560831</v>
      </c>
      <c r="FN14" s="44">
        <f>Revenue!FN55*0.03</f>
        <v>598173.89509560831</v>
      </c>
      <c r="FO14" s="44">
        <f>Revenue!FO55*0.03</f>
        <v>622100.85089943267</v>
      </c>
      <c r="FP14" s="44">
        <f>Revenue!FP55*0.03</f>
        <v>622100.85089943267</v>
      </c>
      <c r="FQ14" s="44">
        <f>Revenue!FQ55*0.03</f>
        <v>622100.85089943267</v>
      </c>
      <c r="FR14" s="44">
        <f>Revenue!FR55*0.03</f>
        <v>622100.85089943267</v>
      </c>
      <c r="FS14" s="44">
        <f>Revenue!FS55*0.03</f>
        <v>622100.85089943267</v>
      </c>
      <c r="FT14" s="44">
        <f>Revenue!FT55*0.03</f>
        <v>622100.85089943267</v>
      </c>
      <c r="FU14" s="44">
        <f>Revenue!FU55*0.03</f>
        <v>622100.85089943267</v>
      </c>
      <c r="FV14" s="44">
        <f>Revenue!FV55*0.03</f>
        <v>622100.85089943267</v>
      </c>
      <c r="FW14" s="44">
        <f>Revenue!FW55*0.03</f>
        <v>622100.85089943267</v>
      </c>
      <c r="FX14" s="44">
        <f>Revenue!FX55*0.03</f>
        <v>622100.85089943267</v>
      </c>
      <c r="FY14" s="44">
        <f>Revenue!FY55*0.03</f>
        <v>622100.85089943267</v>
      </c>
      <c r="FZ14" s="44">
        <f>Revenue!FZ55*0.03</f>
        <v>622100.85089943267</v>
      </c>
      <c r="GA14" s="44">
        <f>Revenue!GA55*0.03</f>
        <v>622100.85089943267</v>
      </c>
      <c r="GB14" s="44">
        <f>Revenue!GB55*0.03</f>
        <v>622100.85089943267</v>
      </c>
      <c r="GC14" s="44">
        <f>Revenue!GC55*0.03</f>
        <v>622100.85089943267</v>
      </c>
      <c r="GD14" s="44">
        <f>Revenue!GD55*0.03</f>
        <v>622100.85089943267</v>
      </c>
      <c r="GE14" s="44">
        <f>Revenue!GE55*0.03</f>
        <v>622100.85089943267</v>
      </c>
      <c r="GF14" s="44">
        <f>Revenue!GF55*0.03</f>
        <v>622100.85089943267</v>
      </c>
      <c r="GG14" s="44">
        <f>Revenue!GG55*0.03</f>
        <v>622100.85089943267</v>
      </c>
      <c r="GH14" s="44">
        <f>Revenue!GH55*0.03</f>
        <v>622100.85089943267</v>
      </c>
      <c r="GI14" s="44">
        <f>Revenue!GI55*0.03</f>
        <v>622100.85089943267</v>
      </c>
      <c r="GJ14" s="44">
        <f>Revenue!GJ55*0.03</f>
        <v>622100.85089943267</v>
      </c>
      <c r="GK14" s="44">
        <f>Revenue!GK55*0.03</f>
        <v>622100.85089943267</v>
      </c>
      <c r="GL14" s="44">
        <f>Revenue!GL55*0.03</f>
        <v>622100.85089943267</v>
      </c>
      <c r="GM14" s="44">
        <f>Revenue!GM55*0.03</f>
        <v>646027.80670325691</v>
      </c>
      <c r="GN14" s="44">
        <f>Revenue!GN55*0.03</f>
        <v>646027.80670325691</v>
      </c>
      <c r="GO14" s="44">
        <f>Revenue!GO55*0.03</f>
        <v>646027.80670325691</v>
      </c>
      <c r="GP14" s="44">
        <f>Revenue!GP55*0.03</f>
        <v>646027.80670325691</v>
      </c>
      <c r="GQ14" s="44">
        <f>Revenue!GQ55*0.03</f>
        <v>646027.80670325691</v>
      </c>
      <c r="GR14" s="44">
        <f>Revenue!GR55*0.03</f>
        <v>646027.80670325691</v>
      </c>
      <c r="GS14" s="44">
        <f>Revenue!GS55*0.03</f>
        <v>646027.80670325691</v>
      </c>
      <c r="GT14" s="44">
        <f>Revenue!GT55*0.03</f>
        <v>646027.80670325691</v>
      </c>
      <c r="GU14" s="44">
        <f>Revenue!GU55*0.03</f>
        <v>646027.80670325691</v>
      </c>
      <c r="GV14" s="44">
        <f>Revenue!GV55*0.03</f>
        <v>646027.80670325691</v>
      </c>
      <c r="GW14" s="44">
        <f>Revenue!GW55*0.03</f>
        <v>646027.80670325691</v>
      </c>
      <c r="GX14" s="44">
        <f>Revenue!GX55*0.03</f>
        <v>646027.80670325691</v>
      </c>
      <c r="GY14" s="44">
        <f>Revenue!GY55*0.03</f>
        <v>646027.80670325691</v>
      </c>
      <c r="GZ14" s="44">
        <f>Revenue!GZ55*0.03</f>
        <v>646027.80670325691</v>
      </c>
      <c r="HA14" s="44">
        <f>Revenue!HA55*0.03</f>
        <v>646027.80670325691</v>
      </c>
      <c r="HB14" s="44">
        <f>Revenue!HB55*0.03</f>
        <v>646027.80670325691</v>
      </c>
      <c r="HC14" s="44">
        <f>Revenue!HC55*0.03</f>
        <v>646027.80670325691</v>
      </c>
      <c r="HD14" s="44">
        <f>Revenue!HD55*0.03</f>
        <v>646027.80670325691</v>
      </c>
      <c r="HE14" s="44">
        <f>Revenue!HE55*0.03</f>
        <v>646027.80670325691</v>
      </c>
      <c r="HF14" s="44">
        <f>Revenue!HF55*0.03</f>
        <v>646027.80670325691</v>
      </c>
      <c r="HG14" s="44">
        <f>Revenue!HG55*0.03</f>
        <v>646027.80670325691</v>
      </c>
      <c r="HH14" s="44">
        <f>Revenue!HH55*0.03</f>
        <v>646027.80670325691</v>
      </c>
      <c r="HI14" s="44">
        <f>Revenue!HI55*0.03</f>
        <v>646027.80670325691</v>
      </c>
      <c r="HJ14" s="44">
        <f>Revenue!HJ55*0.03</f>
        <v>646027.80670325691</v>
      </c>
      <c r="HK14" s="44">
        <f>Revenue!HK55*0.03</f>
        <v>669954.76250708115</v>
      </c>
      <c r="HL14" s="44">
        <f>Revenue!HL55*0.03</f>
        <v>669954.76250708115</v>
      </c>
      <c r="HM14" s="44">
        <f>Revenue!HM55*0.03</f>
        <v>669954.76250708115</v>
      </c>
      <c r="HN14" s="44">
        <f>Revenue!HN55*0.03</f>
        <v>669954.76250708115</v>
      </c>
      <c r="HO14" s="44">
        <f>Revenue!HO55*0.03</f>
        <v>669954.76250708115</v>
      </c>
      <c r="HP14" s="44">
        <f>Revenue!HP55*0.03</f>
        <v>669954.76250708115</v>
      </c>
      <c r="HQ14" s="44">
        <f>Revenue!HQ55*0.03</f>
        <v>669954.76250708115</v>
      </c>
      <c r="HR14" s="44">
        <f>Revenue!HR55*0.03</f>
        <v>669954.76250708115</v>
      </c>
      <c r="HS14" s="44">
        <f>Revenue!HS55*0.03</f>
        <v>669954.76250708115</v>
      </c>
      <c r="HT14" s="44">
        <f>Revenue!HT55*0.03</f>
        <v>669954.76250708115</v>
      </c>
      <c r="HU14" s="44">
        <f>Revenue!HU55*0.03</f>
        <v>669954.76250708115</v>
      </c>
      <c r="HV14" s="44">
        <f>Revenue!HV55*0.03</f>
        <v>669954.76250708115</v>
      </c>
      <c r="HW14" s="44">
        <f>Revenue!HW55*0.03</f>
        <v>669954.76250708115</v>
      </c>
      <c r="HX14" s="44">
        <f>Revenue!HX55*0.03</f>
        <v>669954.76250708115</v>
      </c>
      <c r="HY14" s="44">
        <f>Revenue!HY55*0.03</f>
        <v>669954.76250708115</v>
      </c>
      <c r="HZ14" s="44">
        <f>Revenue!HZ55*0.03</f>
        <v>669954.76250708115</v>
      </c>
      <c r="IA14" s="44">
        <f>Revenue!IA55*0.03</f>
        <v>669954.76250708115</v>
      </c>
      <c r="IB14" s="44">
        <f>Revenue!IB55*0.03</f>
        <v>669954.76250708115</v>
      </c>
      <c r="IC14" s="44">
        <f>Revenue!IC55*0.03</f>
        <v>669954.76250708115</v>
      </c>
      <c r="ID14" s="44">
        <f>Revenue!ID55*0.03</f>
        <v>669954.76250708115</v>
      </c>
      <c r="IE14" s="44">
        <f>Revenue!IE55*0.03</f>
        <v>669954.76250708115</v>
      </c>
      <c r="IF14" s="44">
        <f>Revenue!IF55*0.03</f>
        <v>669954.76250708115</v>
      </c>
      <c r="IG14" s="44">
        <f>Revenue!IG55*0.03</f>
        <v>669954.76250708115</v>
      </c>
      <c r="IH14" s="44">
        <f>Revenue!IH55*0.03</f>
        <v>669954.76250708115</v>
      </c>
      <c r="II14" s="20">
        <f t="shared" ref="II14:II16" si="301">SUM(C14:IH14)</f>
        <v>116938984.10701253</v>
      </c>
    </row>
    <row r="15" spans="1:243" ht="14.65" thickBot="1" x14ac:dyDescent="0.5">
      <c r="A15" s="16" t="s">
        <v>358</v>
      </c>
      <c r="B15" s="109">
        <v>20000</v>
      </c>
      <c r="C15" s="45">
        <f>IF(C14&gt;0,$B15,0)</f>
        <v>0</v>
      </c>
      <c r="D15" s="45">
        <f t="shared" ref="D15:BO15" si="302">IF(D14&gt;0,$B15,0)</f>
        <v>0</v>
      </c>
      <c r="E15" s="45">
        <f t="shared" si="302"/>
        <v>0</v>
      </c>
      <c r="F15" s="45">
        <f t="shared" si="302"/>
        <v>0</v>
      </c>
      <c r="G15" s="45">
        <f t="shared" si="302"/>
        <v>0</v>
      </c>
      <c r="H15" s="45">
        <f t="shared" si="302"/>
        <v>0</v>
      </c>
      <c r="I15" s="45">
        <f t="shared" si="302"/>
        <v>0</v>
      </c>
      <c r="J15" s="45">
        <f t="shared" si="302"/>
        <v>0</v>
      </c>
      <c r="K15" s="45">
        <f t="shared" si="302"/>
        <v>0</v>
      </c>
      <c r="L15" s="45">
        <f t="shared" si="302"/>
        <v>0</v>
      </c>
      <c r="M15" s="45">
        <f t="shared" si="302"/>
        <v>0</v>
      </c>
      <c r="N15" s="45">
        <f t="shared" si="302"/>
        <v>0</v>
      </c>
      <c r="O15" s="45">
        <f t="shared" si="302"/>
        <v>0</v>
      </c>
      <c r="P15" s="45">
        <f t="shared" si="302"/>
        <v>0</v>
      </c>
      <c r="Q15" s="45">
        <f t="shared" si="302"/>
        <v>0</v>
      </c>
      <c r="R15" s="45">
        <f t="shared" si="302"/>
        <v>0</v>
      </c>
      <c r="S15" s="45">
        <f t="shared" si="302"/>
        <v>0</v>
      </c>
      <c r="T15" s="45">
        <f t="shared" si="302"/>
        <v>0</v>
      </c>
      <c r="U15" s="45">
        <f t="shared" si="302"/>
        <v>0</v>
      </c>
      <c r="V15" s="45">
        <f t="shared" si="302"/>
        <v>0</v>
      </c>
      <c r="W15" s="45">
        <f t="shared" si="302"/>
        <v>0</v>
      </c>
      <c r="X15" s="45">
        <f t="shared" si="302"/>
        <v>0</v>
      </c>
      <c r="Y15" s="45">
        <f t="shared" si="302"/>
        <v>0</v>
      </c>
      <c r="Z15" s="45">
        <f t="shared" si="302"/>
        <v>0</v>
      </c>
      <c r="AA15" s="45">
        <f t="shared" si="302"/>
        <v>20000</v>
      </c>
      <c r="AB15" s="45">
        <f t="shared" si="302"/>
        <v>20000</v>
      </c>
      <c r="AC15" s="45">
        <f t="shared" si="302"/>
        <v>20000</v>
      </c>
      <c r="AD15" s="45">
        <f t="shared" si="302"/>
        <v>20000</v>
      </c>
      <c r="AE15" s="45">
        <f t="shared" si="302"/>
        <v>20000</v>
      </c>
      <c r="AF15" s="45">
        <f t="shared" si="302"/>
        <v>20000</v>
      </c>
      <c r="AG15" s="45">
        <f t="shared" si="302"/>
        <v>20000</v>
      </c>
      <c r="AH15" s="45">
        <f t="shared" si="302"/>
        <v>20000</v>
      </c>
      <c r="AI15" s="45">
        <f t="shared" si="302"/>
        <v>20000</v>
      </c>
      <c r="AJ15" s="45">
        <f t="shared" si="302"/>
        <v>20000</v>
      </c>
      <c r="AK15" s="45">
        <f t="shared" si="302"/>
        <v>20000</v>
      </c>
      <c r="AL15" s="45">
        <f t="shared" si="302"/>
        <v>20000</v>
      </c>
      <c r="AM15" s="45">
        <f t="shared" si="302"/>
        <v>20000</v>
      </c>
      <c r="AN15" s="45">
        <f t="shared" si="302"/>
        <v>20000</v>
      </c>
      <c r="AO15" s="45">
        <f t="shared" si="302"/>
        <v>20000</v>
      </c>
      <c r="AP15" s="45">
        <f t="shared" si="302"/>
        <v>20000</v>
      </c>
      <c r="AQ15" s="45">
        <f t="shared" si="302"/>
        <v>20000</v>
      </c>
      <c r="AR15" s="45">
        <f t="shared" si="302"/>
        <v>20000</v>
      </c>
      <c r="AS15" s="45">
        <f t="shared" si="302"/>
        <v>20000</v>
      </c>
      <c r="AT15" s="45">
        <f t="shared" si="302"/>
        <v>20000</v>
      </c>
      <c r="AU15" s="45">
        <f t="shared" si="302"/>
        <v>20000</v>
      </c>
      <c r="AV15" s="45">
        <f t="shared" si="302"/>
        <v>20000</v>
      </c>
      <c r="AW15" s="45">
        <f t="shared" si="302"/>
        <v>20000</v>
      </c>
      <c r="AX15" s="45">
        <f t="shared" si="302"/>
        <v>20000</v>
      </c>
      <c r="AY15" s="45">
        <f t="shared" si="302"/>
        <v>20000</v>
      </c>
      <c r="AZ15" s="45">
        <f t="shared" si="302"/>
        <v>20000</v>
      </c>
      <c r="BA15" s="45">
        <f t="shared" si="302"/>
        <v>20000</v>
      </c>
      <c r="BB15" s="45">
        <f t="shared" si="302"/>
        <v>20000</v>
      </c>
      <c r="BC15" s="45">
        <f t="shared" si="302"/>
        <v>20000</v>
      </c>
      <c r="BD15" s="45">
        <f t="shared" si="302"/>
        <v>20000</v>
      </c>
      <c r="BE15" s="45">
        <f t="shared" si="302"/>
        <v>20000</v>
      </c>
      <c r="BF15" s="45">
        <f t="shared" si="302"/>
        <v>20000</v>
      </c>
      <c r="BG15" s="45">
        <f t="shared" si="302"/>
        <v>20000</v>
      </c>
      <c r="BH15" s="45">
        <f t="shared" si="302"/>
        <v>20000</v>
      </c>
      <c r="BI15" s="45">
        <f t="shared" si="302"/>
        <v>20000</v>
      </c>
      <c r="BJ15" s="45">
        <f t="shared" si="302"/>
        <v>20000</v>
      </c>
      <c r="BK15" s="45">
        <f t="shared" si="302"/>
        <v>20000</v>
      </c>
      <c r="BL15" s="45">
        <f t="shared" si="302"/>
        <v>20000</v>
      </c>
      <c r="BM15" s="45">
        <f t="shared" si="302"/>
        <v>20000</v>
      </c>
      <c r="BN15" s="45">
        <f t="shared" si="302"/>
        <v>20000</v>
      </c>
      <c r="BO15" s="45">
        <f t="shared" si="302"/>
        <v>20000</v>
      </c>
      <c r="BP15" s="45">
        <f t="shared" ref="BP15:EA15" si="303">IF(BP14&gt;0,$B15,0)</f>
        <v>20000</v>
      </c>
      <c r="BQ15" s="45">
        <f t="shared" si="303"/>
        <v>20000</v>
      </c>
      <c r="BR15" s="45">
        <f t="shared" si="303"/>
        <v>20000</v>
      </c>
      <c r="BS15" s="45">
        <f t="shared" si="303"/>
        <v>20000</v>
      </c>
      <c r="BT15" s="45">
        <f t="shared" si="303"/>
        <v>20000</v>
      </c>
      <c r="BU15" s="45">
        <f t="shared" si="303"/>
        <v>20000</v>
      </c>
      <c r="BV15" s="45">
        <f t="shared" si="303"/>
        <v>20000</v>
      </c>
      <c r="BW15" s="45">
        <f t="shared" si="303"/>
        <v>20000</v>
      </c>
      <c r="BX15" s="45">
        <f t="shared" si="303"/>
        <v>20000</v>
      </c>
      <c r="BY15" s="45">
        <f t="shared" si="303"/>
        <v>20000</v>
      </c>
      <c r="BZ15" s="45">
        <f t="shared" si="303"/>
        <v>20000</v>
      </c>
      <c r="CA15" s="45">
        <f t="shared" si="303"/>
        <v>20000</v>
      </c>
      <c r="CB15" s="45">
        <f t="shared" si="303"/>
        <v>20000</v>
      </c>
      <c r="CC15" s="45">
        <f t="shared" si="303"/>
        <v>20000</v>
      </c>
      <c r="CD15" s="45">
        <f t="shared" si="303"/>
        <v>20000</v>
      </c>
      <c r="CE15" s="45">
        <f t="shared" si="303"/>
        <v>20000</v>
      </c>
      <c r="CF15" s="45">
        <f t="shared" si="303"/>
        <v>20000</v>
      </c>
      <c r="CG15" s="45">
        <f t="shared" si="303"/>
        <v>20000</v>
      </c>
      <c r="CH15" s="45">
        <f t="shared" si="303"/>
        <v>20000</v>
      </c>
      <c r="CI15" s="45">
        <f t="shared" si="303"/>
        <v>20000</v>
      </c>
      <c r="CJ15" s="45">
        <f t="shared" si="303"/>
        <v>20000</v>
      </c>
      <c r="CK15" s="45">
        <f t="shared" si="303"/>
        <v>20000</v>
      </c>
      <c r="CL15" s="45">
        <f t="shared" si="303"/>
        <v>20000</v>
      </c>
      <c r="CM15" s="45">
        <f t="shared" si="303"/>
        <v>20000</v>
      </c>
      <c r="CN15" s="45">
        <f t="shared" si="303"/>
        <v>20000</v>
      </c>
      <c r="CO15" s="45">
        <f t="shared" si="303"/>
        <v>20000</v>
      </c>
      <c r="CP15" s="45">
        <f t="shared" si="303"/>
        <v>20000</v>
      </c>
      <c r="CQ15" s="45">
        <f t="shared" si="303"/>
        <v>20000</v>
      </c>
      <c r="CR15" s="45">
        <f t="shared" si="303"/>
        <v>20000</v>
      </c>
      <c r="CS15" s="45">
        <f t="shared" si="303"/>
        <v>20000</v>
      </c>
      <c r="CT15" s="45">
        <f t="shared" si="303"/>
        <v>20000</v>
      </c>
      <c r="CU15" s="45">
        <f t="shared" si="303"/>
        <v>20000</v>
      </c>
      <c r="CV15" s="45">
        <f t="shared" si="303"/>
        <v>20000</v>
      </c>
      <c r="CW15" s="45">
        <f t="shared" si="303"/>
        <v>20000</v>
      </c>
      <c r="CX15" s="45">
        <f t="shared" si="303"/>
        <v>20000</v>
      </c>
      <c r="CY15" s="45">
        <f t="shared" si="303"/>
        <v>20000</v>
      </c>
      <c r="CZ15" s="45">
        <f t="shared" si="303"/>
        <v>20000</v>
      </c>
      <c r="DA15" s="45">
        <f t="shared" si="303"/>
        <v>20000</v>
      </c>
      <c r="DB15" s="45">
        <f t="shared" si="303"/>
        <v>20000</v>
      </c>
      <c r="DC15" s="45">
        <f t="shared" si="303"/>
        <v>20000</v>
      </c>
      <c r="DD15" s="45">
        <f t="shared" si="303"/>
        <v>20000</v>
      </c>
      <c r="DE15" s="45">
        <f t="shared" si="303"/>
        <v>20000</v>
      </c>
      <c r="DF15" s="45">
        <f t="shared" si="303"/>
        <v>20000</v>
      </c>
      <c r="DG15" s="45">
        <f t="shared" si="303"/>
        <v>20000</v>
      </c>
      <c r="DH15" s="45">
        <f t="shared" si="303"/>
        <v>20000</v>
      </c>
      <c r="DI15" s="45">
        <f t="shared" si="303"/>
        <v>20000</v>
      </c>
      <c r="DJ15" s="45">
        <f t="shared" si="303"/>
        <v>20000</v>
      </c>
      <c r="DK15" s="45">
        <f t="shared" si="303"/>
        <v>20000</v>
      </c>
      <c r="DL15" s="45">
        <f t="shared" si="303"/>
        <v>20000</v>
      </c>
      <c r="DM15" s="45">
        <f t="shared" si="303"/>
        <v>20000</v>
      </c>
      <c r="DN15" s="45">
        <f t="shared" si="303"/>
        <v>20000</v>
      </c>
      <c r="DO15" s="45">
        <f t="shared" si="303"/>
        <v>20000</v>
      </c>
      <c r="DP15" s="45">
        <f t="shared" si="303"/>
        <v>20000</v>
      </c>
      <c r="DQ15" s="45">
        <f t="shared" si="303"/>
        <v>20000</v>
      </c>
      <c r="DR15" s="45">
        <f t="shared" si="303"/>
        <v>20000</v>
      </c>
      <c r="DS15" s="45">
        <f t="shared" si="303"/>
        <v>20000</v>
      </c>
      <c r="DT15" s="45">
        <f t="shared" si="303"/>
        <v>20000</v>
      </c>
      <c r="DU15" s="45">
        <f t="shared" si="303"/>
        <v>20000</v>
      </c>
      <c r="DV15" s="45">
        <f t="shared" si="303"/>
        <v>20000</v>
      </c>
      <c r="DW15" s="45">
        <f t="shared" si="303"/>
        <v>20000</v>
      </c>
      <c r="DX15" s="45">
        <f t="shared" si="303"/>
        <v>20000</v>
      </c>
      <c r="DY15" s="45">
        <f t="shared" si="303"/>
        <v>20000</v>
      </c>
      <c r="DZ15" s="45">
        <f t="shared" si="303"/>
        <v>20000</v>
      </c>
      <c r="EA15" s="45">
        <f t="shared" si="303"/>
        <v>20000</v>
      </c>
      <c r="EB15" s="45">
        <f t="shared" ref="EB15:FZ15" si="304">IF(EB14&gt;0,$B15,0)</f>
        <v>20000</v>
      </c>
      <c r="EC15" s="45">
        <f t="shared" si="304"/>
        <v>20000</v>
      </c>
      <c r="ED15" s="45">
        <f t="shared" si="304"/>
        <v>20000</v>
      </c>
      <c r="EE15" s="45">
        <f t="shared" si="304"/>
        <v>20000</v>
      </c>
      <c r="EF15" s="45">
        <f t="shared" si="304"/>
        <v>20000</v>
      </c>
      <c r="EG15" s="45">
        <f t="shared" si="304"/>
        <v>20000</v>
      </c>
      <c r="EH15" s="45">
        <f t="shared" si="304"/>
        <v>20000</v>
      </c>
      <c r="EI15" s="45">
        <f t="shared" si="304"/>
        <v>20000</v>
      </c>
      <c r="EJ15" s="45">
        <f t="shared" si="304"/>
        <v>20000</v>
      </c>
      <c r="EK15" s="45">
        <f t="shared" si="304"/>
        <v>20000</v>
      </c>
      <c r="EL15" s="45">
        <f t="shared" si="304"/>
        <v>20000</v>
      </c>
      <c r="EM15" s="45">
        <f t="shared" si="304"/>
        <v>20000</v>
      </c>
      <c r="EN15" s="45">
        <f t="shared" si="304"/>
        <v>20000</v>
      </c>
      <c r="EO15" s="45">
        <f t="shared" si="304"/>
        <v>20000</v>
      </c>
      <c r="EP15" s="45">
        <f t="shared" si="304"/>
        <v>20000</v>
      </c>
      <c r="EQ15" s="45">
        <f t="shared" si="304"/>
        <v>20000</v>
      </c>
      <c r="ER15" s="45">
        <f t="shared" si="304"/>
        <v>20000</v>
      </c>
      <c r="ES15" s="45">
        <f t="shared" si="304"/>
        <v>20000</v>
      </c>
      <c r="ET15" s="45">
        <f t="shared" si="304"/>
        <v>20000</v>
      </c>
      <c r="EU15" s="45">
        <f t="shared" si="304"/>
        <v>20000</v>
      </c>
      <c r="EV15" s="45">
        <f t="shared" si="304"/>
        <v>20000</v>
      </c>
      <c r="EW15" s="45">
        <f t="shared" si="304"/>
        <v>20000</v>
      </c>
      <c r="EX15" s="45">
        <f t="shared" si="304"/>
        <v>20000</v>
      </c>
      <c r="EY15" s="45">
        <f t="shared" si="304"/>
        <v>20000</v>
      </c>
      <c r="EZ15" s="45">
        <f t="shared" si="304"/>
        <v>20000</v>
      </c>
      <c r="FA15" s="45">
        <f t="shared" si="304"/>
        <v>20000</v>
      </c>
      <c r="FB15" s="45">
        <f t="shared" si="304"/>
        <v>20000</v>
      </c>
      <c r="FC15" s="45">
        <f t="shared" si="304"/>
        <v>20000</v>
      </c>
      <c r="FD15" s="45">
        <f t="shared" si="304"/>
        <v>20000</v>
      </c>
      <c r="FE15" s="45">
        <f t="shared" si="304"/>
        <v>20000</v>
      </c>
      <c r="FF15" s="45">
        <f t="shared" si="304"/>
        <v>20000</v>
      </c>
      <c r="FG15" s="45">
        <f t="shared" si="304"/>
        <v>20000</v>
      </c>
      <c r="FH15" s="45">
        <f t="shared" si="304"/>
        <v>20000</v>
      </c>
      <c r="FI15" s="45">
        <f t="shared" si="304"/>
        <v>20000</v>
      </c>
      <c r="FJ15" s="45">
        <f t="shared" si="304"/>
        <v>20000</v>
      </c>
      <c r="FK15" s="45">
        <f t="shared" si="304"/>
        <v>20000</v>
      </c>
      <c r="FL15" s="45">
        <f t="shared" si="304"/>
        <v>20000</v>
      </c>
      <c r="FM15" s="45">
        <f t="shared" si="304"/>
        <v>20000</v>
      </c>
      <c r="FN15" s="45">
        <f t="shared" si="304"/>
        <v>20000</v>
      </c>
      <c r="FO15" s="45">
        <f t="shared" si="304"/>
        <v>20000</v>
      </c>
      <c r="FP15" s="45">
        <f t="shared" si="304"/>
        <v>20000</v>
      </c>
      <c r="FQ15" s="45">
        <f t="shared" si="304"/>
        <v>20000</v>
      </c>
      <c r="FR15" s="45">
        <f t="shared" si="304"/>
        <v>20000</v>
      </c>
      <c r="FS15" s="45">
        <f t="shared" si="304"/>
        <v>20000</v>
      </c>
      <c r="FT15" s="45">
        <f t="shared" si="304"/>
        <v>20000</v>
      </c>
      <c r="FU15" s="45">
        <f t="shared" si="304"/>
        <v>20000</v>
      </c>
      <c r="FV15" s="45">
        <f t="shared" si="304"/>
        <v>20000</v>
      </c>
      <c r="FW15" s="45">
        <f t="shared" si="304"/>
        <v>20000</v>
      </c>
      <c r="FX15" s="45">
        <f t="shared" si="304"/>
        <v>20000</v>
      </c>
      <c r="FY15" s="45">
        <f t="shared" si="304"/>
        <v>20000</v>
      </c>
      <c r="FZ15" s="45">
        <f t="shared" si="304"/>
        <v>20000</v>
      </c>
      <c r="GA15" s="45">
        <f t="shared" ref="GA15:IH15" si="305">IF(GA14&gt;0,$B15,0)</f>
        <v>20000</v>
      </c>
      <c r="GB15" s="45">
        <f t="shared" si="305"/>
        <v>20000</v>
      </c>
      <c r="GC15" s="45">
        <f t="shared" si="305"/>
        <v>20000</v>
      </c>
      <c r="GD15" s="45">
        <f t="shared" si="305"/>
        <v>20000</v>
      </c>
      <c r="GE15" s="45">
        <f t="shared" si="305"/>
        <v>20000</v>
      </c>
      <c r="GF15" s="45">
        <f t="shared" si="305"/>
        <v>20000</v>
      </c>
      <c r="GG15" s="45">
        <f t="shared" si="305"/>
        <v>20000</v>
      </c>
      <c r="GH15" s="45">
        <f t="shared" si="305"/>
        <v>20000</v>
      </c>
      <c r="GI15" s="45">
        <f t="shared" si="305"/>
        <v>20000</v>
      </c>
      <c r="GJ15" s="45">
        <f t="shared" si="305"/>
        <v>20000</v>
      </c>
      <c r="GK15" s="45">
        <f t="shared" si="305"/>
        <v>20000</v>
      </c>
      <c r="GL15" s="45">
        <f t="shared" si="305"/>
        <v>20000</v>
      </c>
      <c r="GM15" s="45">
        <f t="shared" si="305"/>
        <v>20000</v>
      </c>
      <c r="GN15" s="45">
        <f t="shared" si="305"/>
        <v>20000</v>
      </c>
      <c r="GO15" s="45">
        <f t="shared" si="305"/>
        <v>20000</v>
      </c>
      <c r="GP15" s="45">
        <f t="shared" si="305"/>
        <v>20000</v>
      </c>
      <c r="GQ15" s="45">
        <f t="shared" si="305"/>
        <v>20000</v>
      </c>
      <c r="GR15" s="45">
        <f t="shared" si="305"/>
        <v>20000</v>
      </c>
      <c r="GS15" s="45">
        <f t="shared" si="305"/>
        <v>20000</v>
      </c>
      <c r="GT15" s="45">
        <f t="shared" si="305"/>
        <v>20000</v>
      </c>
      <c r="GU15" s="45">
        <f t="shared" si="305"/>
        <v>20000</v>
      </c>
      <c r="GV15" s="45">
        <f t="shared" si="305"/>
        <v>20000</v>
      </c>
      <c r="GW15" s="45">
        <f t="shared" si="305"/>
        <v>20000</v>
      </c>
      <c r="GX15" s="45">
        <f t="shared" si="305"/>
        <v>20000</v>
      </c>
      <c r="GY15" s="45">
        <f t="shared" si="305"/>
        <v>20000</v>
      </c>
      <c r="GZ15" s="45">
        <f t="shared" si="305"/>
        <v>20000</v>
      </c>
      <c r="HA15" s="45">
        <f t="shared" si="305"/>
        <v>20000</v>
      </c>
      <c r="HB15" s="45">
        <f t="shared" si="305"/>
        <v>20000</v>
      </c>
      <c r="HC15" s="45">
        <f t="shared" si="305"/>
        <v>20000</v>
      </c>
      <c r="HD15" s="45">
        <f t="shared" si="305"/>
        <v>20000</v>
      </c>
      <c r="HE15" s="45">
        <f t="shared" si="305"/>
        <v>20000</v>
      </c>
      <c r="HF15" s="45">
        <f t="shared" si="305"/>
        <v>20000</v>
      </c>
      <c r="HG15" s="45">
        <f t="shared" si="305"/>
        <v>20000</v>
      </c>
      <c r="HH15" s="45">
        <f t="shared" si="305"/>
        <v>20000</v>
      </c>
      <c r="HI15" s="45">
        <f t="shared" si="305"/>
        <v>20000</v>
      </c>
      <c r="HJ15" s="45">
        <f t="shared" si="305"/>
        <v>20000</v>
      </c>
      <c r="HK15" s="45">
        <f t="shared" si="305"/>
        <v>20000</v>
      </c>
      <c r="HL15" s="45">
        <f t="shared" si="305"/>
        <v>20000</v>
      </c>
      <c r="HM15" s="45">
        <f t="shared" si="305"/>
        <v>20000</v>
      </c>
      <c r="HN15" s="45">
        <f t="shared" si="305"/>
        <v>20000</v>
      </c>
      <c r="HO15" s="45">
        <f t="shared" si="305"/>
        <v>20000</v>
      </c>
      <c r="HP15" s="45">
        <f t="shared" si="305"/>
        <v>20000</v>
      </c>
      <c r="HQ15" s="45">
        <f t="shared" si="305"/>
        <v>20000</v>
      </c>
      <c r="HR15" s="45">
        <f t="shared" si="305"/>
        <v>20000</v>
      </c>
      <c r="HS15" s="45">
        <f t="shared" si="305"/>
        <v>20000</v>
      </c>
      <c r="HT15" s="45">
        <f t="shared" si="305"/>
        <v>20000</v>
      </c>
      <c r="HU15" s="45">
        <f t="shared" si="305"/>
        <v>20000</v>
      </c>
      <c r="HV15" s="45">
        <f t="shared" si="305"/>
        <v>20000</v>
      </c>
      <c r="HW15" s="45">
        <f t="shared" si="305"/>
        <v>20000</v>
      </c>
      <c r="HX15" s="45">
        <f t="shared" si="305"/>
        <v>20000</v>
      </c>
      <c r="HY15" s="45">
        <f t="shared" si="305"/>
        <v>20000</v>
      </c>
      <c r="HZ15" s="45">
        <f t="shared" si="305"/>
        <v>20000</v>
      </c>
      <c r="IA15" s="45">
        <f t="shared" si="305"/>
        <v>20000</v>
      </c>
      <c r="IB15" s="45">
        <f t="shared" si="305"/>
        <v>20000</v>
      </c>
      <c r="IC15" s="45">
        <f t="shared" si="305"/>
        <v>20000</v>
      </c>
      <c r="ID15" s="45">
        <f t="shared" si="305"/>
        <v>20000</v>
      </c>
      <c r="IE15" s="45">
        <f t="shared" si="305"/>
        <v>20000</v>
      </c>
      <c r="IF15" s="45">
        <f t="shared" si="305"/>
        <v>20000</v>
      </c>
      <c r="IG15" s="45">
        <f t="shared" si="305"/>
        <v>20000</v>
      </c>
      <c r="IH15" s="45">
        <f t="shared" si="305"/>
        <v>20000</v>
      </c>
      <c r="II15" s="20">
        <f t="shared" si="301"/>
        <v>4320000</v>
      </c>
    </row>
    <row r="16" spans="1:243" ht="14.65" thickTop="1" x14ac:dyDescent="0.45">
      <c r="A16" s="16" t="s">
        <v>353</v>
      </c>
      <c r="B16" s="16"/>
      <c r="C16" s="110">
        <f>SUM(C13:C15)</f>
        <v>0</v>
      </c>
      <c r="D16" s="110">
        <f t="shared" ref="D16:BO16" si="306">SUM(D13:D15)</f>
        <v>0</v>
      </c>
      <c r="E16" s="110">
        <f t="shared" si="306"/>
        <v>0</v>
      </c>
      <c r="F16" s="110">
        <f t="shared" si="306"/>
        <v>0</v>
      </c>
      <c r="G16" s="110">
        <f t="shared" si="306"/>
        <v>0</v>
      </c>
      <c r="H16" s="110">
        <f t="shared" si="306"/>
        <v>0</v>
      </c>
      <c r="I16" s="110">
        <f t="shared" si="306"/>
        <v>0</v>
      </c>
      <c r="J16" s="110">
        <f t="shared" si="306"/>
        <v>0</v>
      </c>
      <c r="K16" s="110">
        <f t="shared" si="306"/>
        <v>0</v>
      </c>
      <c r="L16" s="110">
        <f t="shared" si="306"/>
        <v>0</v>
      </c>
      <c r="M16" s="110">
        <f t="shared" si="306"/>
        <v>0</v>
      </c>
      <c r="N16" s="110">
        <f t="shared" si="306"/>
        <v>0</v>
      </c>
      <c r="O16" s="110">
        <f t="shared" si="306"/>
        <v>43114.666666666664</v>
      </c>
      <c r="P16" s="110">
        <f t="shared" si="306"/>
        <v>43114.666666666664</v>
      </c>
      <c r="Q16" s="110">
        <f t="shared" si="306"/>
        <v>43114.666666666664</v>
      </c>
      <c r="R16" s="110">
        <f t="shared" si="306"/>
        <v>43114.666666666664</v>
      </c>
      <c r="S16" s="110">
        <f t="shared" si="306"/>
        <v>43114.666666666664</v>
      </c>
      <c r="T16" s="110">
        <f t="shared" si="306"/>
        <v>43114.666666666664</v>
      </c>
      <c r="U16" s="110">
        <f t="shared" si="306"/>
        <v>43114.666666666664</v>
      </c>
      <c r="V16" s="110">
        <f t="shared" si="306"/>
        <v>43114.666666666664</v>
      </c>
      <c r="W16" s="110">
        <f t="shared" si="306"/>
        <v>43114.666666666664</v>
      </c>
      <c r="X16" s="110">
        <f t="shared" si="306"/>
        <v>43114.666666666664</v>
      </c>
      <c r="Y16" s="110">
        <f t="shared" si="306"/>
        <v>43114.666666666664</v>
      </c>
      <c r="Z16" s="110">
        <f t="shared" si="306"/>
        <v>43114.666666666664</v>
      </c>
      <c r="AA16" s="110">
        <f t="shared" si="306"/>
        <v>234002.47234072068</v>
      </c>
      <c r="AB16" s="110">
        <f t="shared" si="306"/>
        <v>234002.47234072068</v>
      </c>
      <c r="AC16" s="110">
        <f t="shared" si="306"/>
        <v>234002.47234072068</v>
      </c>
      <c r="AD16" s="110">
        <f t="shared" si="306"/>
        <v>234002.47234072068</v>
      </c>
      <c r="AE16" s="110">
        <f t="shared" si="306"/>
        <v>234002.47234072068</v>
      </c>
      <c r="AF16" s="110">
        <f t="shared" si="306"/>
        <v>234002.47234072068</v>
      </c>
      <c r="AG16" s="110">
        <f t="shared" si="306"/>
        <v>234002.47234072068</v>
      </c>
      <c r="AH16" s="110">
        <f t="shared" si="306"/>
        <v>234002.47234072068</v>
      </c>
      <c r="AI16" s="110">
        <f t="shared" si="306"/>
        <v>234002.47234072068</v>
      </c>
      <c r="AJ16" s="110">
        <f t="shared" si="306"/>
        <v>234002.47234072068</v>
      </c>
      <c r="AK16" s="110">
        <f t="shared" si="306"/>
        <v>234002.47234072068</v>
      </c>
      <c r="AL16" s="110">
        <f t="shared" si="306"/>
        <v>234002.47234072068</v>
      </c>
      <c r="AM16" s="110">
        <f t="shared" si="306"/>
        <v>345875.67612342339</v>
      </c>
      <c r="AN16" s="110">
        <f t="shared" si="306"/>
        <v>345875.67612342339</v>
      </c>
      <c r="AO16" s="110">
        <f t="shared" si="306"/>
        <v>345875.67612342339</v>
      </c>
      <c r="AP16" s="110">
        <f t="shared" si="306"/>
        <v>345875.67612342339</v>
      </c>
      <c r="AQ16" s="110">
        <f t="shared" si="306"/>
        <v>345875.67612342339</v>
      </c>
      <c r="AR16" s="110">
        <f t="shared" si="306"/>
        <v>345875.67612342339</v>
      </c>
      <c r="AS16" s="110">
        <f t="shared" si="306"/>
        <v>345875.67612342339</v>
      </c>
      <c r="AT16" s="110">
        <f t="shared" si="306"/>
        <v>345875.67612342339</v>
      </c>
      <c r="AU16" s="110">
        <f t="shared" si="306"/>
        <v>345875.67612342339</v>
      </c>
      <c r="AV16" s="110">
        <f t="shared" si="306"/>
        <v>345875.67612342339</v>
      </c>
      <c r="AW16" s="110">
        <f t="shared" si="306"/>
        <v>345875.67612342339</v>
      </c>
      <c r="AX16" s="110">
        <f t="shared" si="306"/>
        <v>345875.67612342339</v>
      </c>
      <c r="AY16" s="110">
        <f t="shared" si="306"/>
        <v>477480.59056809911</v>
      </c>
      <c r="AZ16" s="110">
        <f t="shared" si="306"/>
        <v>477480.59056809911</v>
      </c>
      <c r="BA16" s="110">
        <f t="shared" si="306"/>
        <v>477480.59056809911</v>
      </c>
      <c r="BB16" s="110">
        <f t="shared" si="306"/>
        <v>477480.59056809911</v>
      </c>
      <c r="BC16" s="110">
        <f t="shared" si="306"/>
        <v>477480.59056809911</v>
      </c>
      <c r="BD16" s="110">
        <f t="shared" si="306"/>
        <v>477480.59056809911</v>
      </c>
      <c r="BE16" s="110">
        <f t="shared" si="306"/>
        <v>477480.59056809911</v>
      </c>
      <c r="BF16" s="110">
        <f t="shared" si="306"/>
        <v>477480.59056809911</v>
      </c>
      <c r="BG16" s="110">
        <f t="shared" si="306"/>
        <v>477480.59056809911</v>
      </c>
      <c r="BH16" s="110">
        <f t="shared" si="306"/>
        <v>477480.59056809911</v>
      </c>
      <c r="BI16" s="110">
        <f t="shared" si="306"/>
        <v>477480.59056809911</v>
      </c>
      <c r="BJ16" s="110">
        <f t="shared" si="306"/>
        <v>477480.59056809911</v>
      </c>
      <c r="BK16" s="110">
        <f t="shared" si="306"/>
        <v>565580.7385469774</v>
      </c>
      <c r="BL16" s="110">
        <f t="shared" si="306"/>
        <v>565580.7385469774</v>
      </c>
      <c r="BM16" s="110">
        <f t="shared" si="306"/>
        <v>565580.7385469774</v>
      </c>
      <c r="BN16" s="110">
        <f t="shared" si="306"/>
        <v>565580.7385469774</v>
      </c>
      <c r="BO16" s="110">
        <f t="shared" si="306"/>
        <v>565580.7385469774</v>
      </c>
      <c r="BP16" s="110">
        <f t="shared" ref="BP16:EA16" si="307">SUM(BP13:BP15)</f>
        <v>565580.7385469774</v>
      </c>
      <c r="BQ16" s="110">
        <f t="shared" si="307"/>
        <v>565580.7385469774</v>
      </c>
      <c r="BR16" s="110">
        <f t="shared" si="307"/>
        <v>565580.7385469774</v>
      </c>
      <c r="BS16" s="110">
        <f t="shared" si="307"/>
        <v>565580.7385469774</v>
      </c>
      <c r="BT16" s="110">
        <f t="shared" si="307"/>
        <v>565580.7385469774</v>
      </c>
      <c r="BU16" s="110">
        <f t="shared" si="307"/>
        <v>565580.7385469774</v>
      </c>
      <c r="BV16" s="110">
        <f t="shared" si="307"/>
        <v>565580.7385469774</v>
      </c>
      <c r="BW16" s="110">
        <f t="shared" si="307"/>
        <v>589507.69435080187</v>
      </c>
      <c r="BX16" s="110">
        <f t="shared" si="307"/>
        <v>589507.69435080187</v>
      </c>
      <c r="BY16" s="110">
        <f t="shared" si="307"/>
        <v>589507.69435080187</v>
      </c>
      <c r="BZ16" s="110">
        <f t="shared" si="307"/>
        <v>589507.69435080187</v>
      </c>
      <c r="CA16" s="110">
        <f t="shared" si="307"/>
        <v>589507.69435080187</v>
      </c>
      <c r="CB16" s="110">
        <f t="shared" si="307"/>
        <v>589507.69435080187</v>
      </c>
      <c r="CC16" s="110">
        <f t="shared" si="307"/>
        <v>589507.69435080187</v>
      </c>
      <c r="CD16" s="110">
        <f t="shared" si="307"/>
        <v>589507.69435080187</v>
      </c>
      <c r="CE16" s="110">
        <f t="shared" si="307"/>
        <v>589507.69435080187</v>
      </c>
      <c r="CF16" s="110">
        <f t="shared" si="307"/>
        <v>589507.69435080187</v>
      </c>
      <c r="CG16" s="110">
        <f t="shared" si="307"/>
        <v>589507.69435080187</v>
      </c>
      <c r="CH16" s="110">
        <f t="shared" si="307"/>
        <v>589507.69435080187</v>
      </c>
      <c r="CI16" s="110">
        <f t="shared" si="307"/>
        <v>589507.69435080187</v>
      </c>
      <c r="CJ16" s="110">
        <f t="shared" si="307"/>
        <v>589507.69435080187</v>
      </c>
      <c r="CK16" s="110">
        <f t="shared" si="307"/>
        <v>589507.69435080187</v>
      </c>
      <c r="CL16" s="110">
        <f t="shared" si="307"/>
        <v>589507.69435080187</v>
      </c>
      <c r="CM16" s="110">
        <f t="shared" si="307"/>
        <v>589507.69435080187</v>
      </c>
      <c r="CN16" s="110">
        <f t="shared" si="307"/>
        <v>589507.69435080187</v>
      </c>
      <c r="CO16" s="110">
        <f t="shared" si="307"/>
        <v>589507.69435080187</v>
      </c>
      <c r="CP16" s="110">
        <f t="shared" si="307"/>
        <v>589507.69435080187</v>
      </c>
      <c r="CQ16" s="110">
        <f t="shared" si="307"/>
        <v>589507.69435080187</v>
      </c>
      <c r="CR16" s="110">
        <f t="shared" si="307"/>
        <v>589507.69435080187</v>
      </c>
      <c r="CS16" s="110">
        <f t="shared" si="307"/>
        <v>589507.69435080187</v>
      </c>
      <c r="CT16" s="110">
        <f t="shared" si="307"/>
        <v>589507.69435080187</v>
      </c>
      <c r="CU16" s="110">
        <f t="shared" si="307"/>
        <v>613434.65015462623</v>
      </c>
      <c r="CV16" s="110">
        <f t="shared" si="307"/>
        <v>613434.65015462623</v>
      </c>
      <c r="CW16" s="110">
        <f t="shared" si="307"/>
        <v>613434.65015462623</v>
      </c>
      <c r="CX16" s="110">
        <f t="shared" si="307"/>
        <v>613434.65015462623</v>
      </c>
      <c r="CY16" s="110">
        <f t="shared" si="307"/>
        <v>613434.65015462623</v>
      </c>
      <c r="CZ16" s="110">
        <f t="shared" si="307"/>
        <v>613434.65015462623</v>
      </c>
      <c r="DA16" s="110">
        <f t="shared" si="307"/>
        <v>613434.65015462623</v>
      </c>
      <c r="DB16" s="110">
        <f t="shared" si="307"/>
        <v>613434.65015462623</v>
      </c>
      <c r="DC16" s="110">
        <f t="shared" si="307"/>
        <v>613434.65015462623</v>
      </c>
      <c r="DD16" s="110">
        <f t="shared" si="307"/>
        <v>613434.65015462623</v>
      </c>
      <c r="DE16" s="110">
        <f t="shared" si="307"/>
        <v>613434.65015462623</v>
      </c>
      <c r="DF16" s="110">
        <f t="shared" si="307"/>
        <v>613434.65015462623</v>
      </c>
      <c r="DG16" s="110">
        <f t="shared" si="307"/>
        <v>613434.65015462623</v>
      </c>
      <c r="DH16" s="110">
        <f t="shared" si="307"/>
        <v>613434.65015462623</v>
      </c>
      <c r="DI16" s="110">
        <f t="shared" si="307"/>
        <v>613434.65015462623</v>
      </c>
      <c r="DJ16" s="110">
        <f t="shared" si="307"/>
        <v>613434.65015462623</v>
      </c>
      <c r="DK16" s="110">
        <f t="shared" si="307"/>
        <v>613434.65015462623</v>
      </c>
      <c r="DL16" s="110">
        <f t="shared" si="307"/>
        <v>613434.65015462623</v>
      </c>
      <c r="DM16" s="110">
        <f t="shared" si="307"/>
        <v>613434.65015462623</v>
      </c>
      <c r="DN16" s="110">
        <f t="shared" si="307"/>
        <v>613434.65015462623</v>
      </c>
      <c r="DO16" s="110">
        <f t="shared" si="307"/>
        <v>613434.65015462623</v>
      </c>
      <c r="DP16" s="110">
        <f t="shared" si="307"/>
        <v>613434.65015462623</v>
      </c>
      <c r="DQ16" s="110">
        <f t="shared" si="307"/>
        <v>613434.65015462623</v>
      </c>
      <c r="DR16" s="110">
        <f t="shared" si="307"/>
        <v>613434.65015462623</v>
      </c>
      <c r="DS16" s="110">
        <f t="shared" si="307"/>
        <v>637361.60595845059</v>
      </c>
      <c r="DT16" s="110">
        <f t="shared" si="307"/>
        <v>637361.60595845059</v>
      </c>
      <c r="DU16" s="110">
        <f t="shared" si="307"/>
        <v>637361.60595845059</v>
      </c>
      <c r="DV16" s="110">
        <f t="shared" si="307"/>
        <v>637361.60595845059</v>
      </c>
      <c r="DW16" s="110">
        <f t="shared" si="307"/>
        <v>637361.60595845059</v>
      </c>
      <c r="DX16" s="110">
        <f t="shared" si="307"/>
        <v>637361.60595845059</v>
      </c>
      <c r="DY16" s="110">
        <f t="shared" si="307"/>
        <v>637361.60595845059</v>
      </c>
      <c r="DZ16" s="110">
        <f t="shared" si="307"/>
        <v>637361.60595845059</v>
      </c>
      <c r="EA16" s="110">
        <f t="shared" si="307"/>
        <v>637361.60595845059</v>
      </c>
      <c r="EB16" s="110">
        <f t="shared" ref="EB16:GM16" si="308">SUM(EB13:EB15)</f>
        <v>637361.60595845059</v>
      </c>
      <c r="EC16" s="110">
        <f t="shared" si="308"/>
        <v>637361.60595845059</v>
      </c>
      <c r="ED16" s="110">
        <f t="shared" si="308"/>
        <v>637361.60595845059</v>
      </c>
      <c r="EE16" s="110">
        <f t="shared" si="308"/>
        <v>637361.60595845059</v>
      </c>
      <c r="EF16" s="110">
        <f t="shared" si="308"/>
        <v>637361.60595845059</v>
      </c>
      <c r="EG16" s="110">
        <f t="shared" si="308"/>
        <v>637361.60595845059</v>
      </c>
      <c r="EH16" s="110">
        <f t="shared" si="308"/>
        <v>637361.60595845059</v>
      </c>
      <c r="EI16" s="110">
        <f t="shared" si="308"/>
        <v>637361.60595845059</v>
      </c>
      <c r="EJ16" s="110">
        <f t="shared" si="308"/>
        <v>637361.60595845059</v>
      </c>
      <c r="EK16" s="110">
        <f t="shared" si="308"/>
        <v>637361.60595845059</v>
      </c>
      <c r="EL16" s="110">
        <f t="shared" si="308"/>
        <v>637361.60595845059</v>
      </c>
      <c r="EM16" s="110">
        <f t="shared" si="308"/>
        <v>637361.60595845059</v>
      </c>
      <c r="EN16" s="110">
        <f t="shared" si="308"/>
        <v>637361.60595845059</v>
      </c>
      <c r="EO16" s="110">
        <f t="shared" si="308"/>
        <v>637361.60595845059</v>
      </c>
      <c r="EP16" s="110">
        <f t="shared" si="308"/>
        <v>637361.60595845059</v>
      </c>
      <c r="EQ16" s="110">
        <f t="shared" si="308"/>
        <v>661288.56176227494</v>
      </c>
      <c r="ER16" s="110">
        <f t="shared" si="308"/>
        <v>661288.56176227494</v>
      </c>
      <c r="ES16" s="110">
        <f t="shared" si="308"/>
        <v>661288.56176227494</v>
      </c>
      <c r="ET16" s="110">
        <f t="shared" si="308"/>
        <v>661288.56176227494</v>
      </c>
      <c r="EU16" s="110">
        <f t="shared" si="308"/>
        <v>661288.56176227494</v>
      </c>
      <c r="EV16" s="110">
        <f t="shared" si="308"/>
        <v>661288.56176227494</v>
      </c>
      <c r="EW16" s="110">
        <f t="shared" si="308"/>
        <v>661288.56176227494</v>
      </c>
      <c r="EX16" s="110">
        <f t="shared" si="308"/>
        <v>661288.56176227494</v>
      </c>
      <c r="EY16" s="110">
        <f t="shared" si="308"/>
        <v>661288.56176227494</v>
      </c>
      <c r="EZ16" s="110">
        <f t="shared" si="308"/>
        <v>661288.56176227494</v>
      </c>
      <c r="FA16" s="110">
        <f t="shared" si="308"/>
        <v>661288.56176227494</v>
      </c>
      <c r="FB16" s="110">
        <f t="shared" si="308"/>
        <v>661288.56176227494</v>
      </c>
      <c r="FC16" s="110">
        <f t="shared" si="308"/>
        <v>661288.56176227494</v>
      </c>
      <c r="FD16" s="110">
        <f t="shared" si="308"/>
        <v>661288.56176227494</v>
      </c>
      <c r="FE16" s="110">
        <f t="shared" si="308"/>
        <v>661288.56176227494</v>
      </c>
      <c r="FF16" s="110">
        <f t="shared" si="308"/>
        <v>661288.56176227494</v>
      </c>
      <c r="FG16" s="110">
        <f t="shared" si="308"/>
        <v>661288.56176227494</v>
      </c>
      <c r="FH16" s="110">
        <f t="shared" si="308"/>
        <v>661288.56176227494</v>
      </c>
      <c r="FI16" s="110">
        <f t="shared" si="308"/>
        <v>661288.56176227494</v>
      </c>
      <c r="FJ16" s="110">
        <f t="shared" si="308"/>
        <v>661288.56176227494</v>
      </c>
      <c r="FK16" s="110">
        <f t="shared" si="308"/>
        <v>661288.56176227494</v>
      </c>
      <c r="FL16" s="110">
        <f t="shared" si="308"/>
        <v>661288.56176227494</v>
      </c>
      <c r="FM16" s="110">
        <f t="shared" si="308"/>
        <v>661288.56176227494</v>
      </c>
      <c r="FN16" s="110">
        <f t="shared" si="308"/>
        <v>661288.56176227494</v>
      </c>
      <c r="FO16" s="110">
        <f t="shared" si="308"/>
        <v>685215.5175660993</v>
      </c>
      <c r="FP16" s="110">
        <f t="shared" si="308"/>
        <v>685215.5175660993</v>
      </c>
      <c r="FQ16" s="110">
        <f t="shared" si="308"/>
        <v>685215.5175660993</v>
      </c>
      <c r="FR16" s="110">
        <f t="shared" si="308"/>
        <v>685215.5175660993</v>
      </c>
      <c r="FS16" s="110">
        <f t="shared" si="308"/>
        <v>685215.5175660993</v>
      </c>
      <c r="FT16" s="110">
        <f t="shared" si="308"/>
        <v>685215.5175660993</v>
      </c>
      <c r="FU16" s="110">
        <f t="shared" si="308"/>
        <v>685215.5175660993</v>
      </c>
      <c r="FV16" s="110">
        <f t="shared" si="308"/>
        <v>685215.5175660993</v>
      </c>
      <c r="FW16" s="110">
        <f t="shared" si="308"/>
        <v>685215.5175660993</v>
      </c>
      <c r="FX16" s="110">
        <f t="shared" si="308"/>
        <v>685215.5175660993</v>
      </c>
      <c r="FY16" s="110">
        <f t="shared" si="308"/>
        <v>685215.5175660993</v>
      </c>
      <c r="FZ16" s="110">
        <f t="shared" si="308"/>
        <v>685215.5175660993</v>
      </c>
      <c r="GA16" s="110">
        <f t="shared" si="308"/>
        <v>685215.5175660993</v>
      </c>
      <c r="GB16" s="110">
        <f t="shared" si="308"/>
        <v>685215.5175660993</v>
      </c>
      <c r="GC16" s="110">
        <f t="shared" si="308"/>
        <v>685215.5175660993</v>
      </c>
      <c r="GD16" s="110">
        <f t="shared" si="308"/>
        <v>685215.5175660993</v>
      </c>
      <c r="GE16" s="110">
        <f t="shared" si="308"/>
        <v>685215.5175660993</v>
      </c>
      <c r="GF16" s="110">
        <f t="shared" si="308"/>
        <v>685215.5175660993</v>
      </c>
      <c r="GG16" s="110">
        <f t="shared" si="308"/>
        <v>685215.5175660993</v>
      </c>
      <c r="GH16" s="110">
        <f t="shared" si="308"/>
        <v>685215.5175660993</v>
      </c>
      <c r="GI16" s="110">
        <f t="shared" si="308"/>
        <v>685215.5175660993</v>
      </c>
      <c r="GJ16" s="110">
        <f t="shared" si="308"/>
        <v>685215.5175660993</v>
      </c>
      <c r="GK16" s="110">
        <f t="shared" si="308"/>
        <v>685215.5175660993</v>
      </c>
      <c r="GL16" s="110">
        <f t="shared" si="308"/>
        <v>685215.5175660993</v>
      </c>
      <c r="GM16" s="110">
        <f t="shared" si="308"/>
        <v>709142.47336992354</v>
      </c>
      <c r="GN16" s="110">
        <f t="shared" ref="GN16:IH16" si="309">SUM(GN13:GN15)</f>
        <v>709142.47336992354</v>
      </c>
      <c r="GO16" s="110">
        <f t="shared" si="309"/>
        <v>709142.47336992354</v>
      </c>
      <c r="GP16" s="110">
        <f t="shared" si="309"/>
        <v>709142.47336992354</v>
      </c>
      <c r="GQ16" s="110">
        <f t="shared" si="309"/>
        <v>709142.47336992354</v>
      </c>
      <c r="GR16" s="110">
        <f t="shared" si="309"/>
        <v>709142.47336992354</v>
      </c>
      <c r="GS16" s="110">
        <f t="shared" si="309"/>
        <v>709142.47336992354</v>
      </c>
      <c r="GT16" s="110">
        <f t="shared" si="309"/>
        <v>709142.47336992354</v>
      </c>
      <c r="GU16" s="110">
        <f t="shared" si="309"/>
        <v>709142.47336992354</v>
      </c>
      <c r="GV16" s="110">
        <f t="shared" si="309"/>
        <v>709142.47336992354</v>
      </c>
      <c r="GW16" s="110">
        <f t="shared" si="309"/>
        <v>709142.47336992354</v>
      </c>
      <c r="GX16" s="110">
        <f t="shared" si="309"/>
        <v>709142.47336992354</v>
      </c>
      <c r="GY16" s="110">
        <f t="shared" si="309"/>
        <v>709142.47336992354</v>
      </c>
      <c r="GZ16" s="110">
        <f t="shared" si="309"/>
        <v>709142.47336992354</v>
      </c>
      <c r="HA16" s="110">
        <f t="shared" si="309"/>
        <v>709142.47336992354</v>
      </c>
      <c r="HB16" s="110">
        <f t="shared" si="309"/>
        <v>709142.47336992354</v>
      </c>
      <c r="HC16" s="110">
        <f t="shared" si="309"/>
        <v>709142.47336992354</v>
      </c>
      <c r="HD16" s="110">
        <f t="shared" si="309"/>
        <v>709142.47336992354</v>
      </c>
      <c r="HE16" s="110">
        <f t="shared" si="309"/>
        <v>709142.47336992354</v>
      </c>
      <c r="HF16" s="110">
        <f t="shared" si="309"/>
        <v>709142.47336992354</v>
      </c>
      <c r="HG16" s="110">
        <f t="shared" si="309"/>
        <v>709142.47336992354</v>
      </c>
      <c r="HH16" s="110">
        <f t="shared" si="309"/>
        <v>709142.47336992354</v>
      </c>
      <c r="HI16" s="110">
        <f t="shared" si="309"/>
        <v>709142.47336992354</v>
      </c>
      <c r="HJ16" s="110">
        <f t="shared" si="309"/>
        <v>709142.47336992354</v>
      </c>
      <c r="HK16" s="110">
        <f t="shared" si="309"/>
        <v>733069.42917374778</v>
      </c>
      <c r="HL16" s="110">
        <f t="shared" si="309"/>
        <v>733069.42917374778</v>
      </c>
      <c r="HM16" s="110">
        <f t="shared" si="309"/>
        <v>733069.42917374778</v>
      </c>
      <c r="HN16" s="110">
        <f t="shared" si="309"/>
        <v>733069.42917374778</v>
      </c>
      <c r="HO16" s="110">
        <f t="shared" si="309"/>
        <v>733069.42917374778</v>
      </c>
      <c r="HP16" s="110">
        <f t="shared" si="309"/>
        <v>733069.42917374778</v>
      </c>
      <c r="HQ16" s="110">
        <f t="shared" si="309"/>
        <v>733069.42917374778</v>
      </c>
      <c r="HR16" s="110">
        <f t="shared" si="309"/>
        <v>733069.42917374778</v>
      </c>
      <c r="HS16" s="110">
        <f t="shared" si="309"/>
        <v>733069.42917374778</v>
      </c>
      <c r="HT16" s="110">
        <f t="shared" si="309"/>
        <v>733069.42917374778</v>
      </c>
      <c r="HU16" s="110">
        <f t="shared" si="309"/>
        <v>733069.42917374778</v>
      </c>
      <c r="HV16" s="110">
        <f t="shared" si="309"/>
        <v>733069.42917374778</v>
      </c>
      <c r="HW16" s="110">
        <f t="shared" si="309"/>
        <v>733069.42917374778</v>
      </c>
      <c r="HX16" s="110">
        <f t="shared" si="309"/>
        <v>733069.42917374778</v>
      </c>
      <c r="HY16" s="110">
        <f t="shared" si="309"/>
        <v>733069.42917374778</v>
      </c>
      <c r="HZ16" s="110">
        <f t="shared" si="309"/>
        <v>733069.42917374778</v>
      </c>
      <c r="IA16" s="110">
        <f t="shared" si="309"/>
        <v>733069.42917374778</v>
      </c>
      <c r="IB16" s="110">
        <f t="shared" si="309"/>
        <v>733069.42917374778</v>
      </c>
      <c r="IC16" s="110">
        <f t="shared" si="309"/>
        <v>733069.42917374778</v>
      </c>
      <c r="ID16" s="110">
        <f t="shared" si="309"/>
        <v>733069.42917374778</v>
      </c>
      <c r="IE16" s="110">
        <f t="shared" si="309"/>
        <v>733069.42917374778</v>
      </c>
      <c r="IF16" s="110">
        <f t="shared" si="309"/>
        <v>733069.42917374778</v>
      </c>
      <c r="IG16" s="110">
        <f t="shared" si="309"/>
        <v>733069.42917374778</v>
      </c>
      <c r="IH16" s="110">
        <f t="shared" si="309"/>
        <v>733069.42917374778</v>
      </c>
      <c r="II16" s="20">
        <f t="shared" si="301"/>
        <v>131089128.10701293</v>
      </c>
    </row>
    <row r="17" spans="1:243" x14ac:dyDescent="0.45">
      <c r="II17" s="33"/>
    </row>
    <row r="18" spans="1:243" x14ac:dyDescent="0.45">
      <c r="A18" s="21" t="s">
        <v>221</v>
      </c>
      <c r="B18" s="21" t="s">
        <v>167</v>
      </c>
      <c r="C18" s="69">
        <f t="shared" ref="C18:BN18" si="310">SUM(C19:C37)</f>
        <v>861601.199449974</v>
      </c>
      <c r="D18" s="69">
        <f t="shared" si="310"/>
        <v>479101.199449974</v>
      </c>
      <c r="E18" s="69">
        <f t="shared" si="310"/>
        <v>479101.199449974</v>
      </c>
      <c r="F18" s="69">
        <f t="shared" si="310"/>
        <v>479101.199449974</v>
      </c>
      <c r="G18" s="69">
        <f t="shared" si="310"/>
        <v>479101.199449974</v>
      </c>
      <c r="H18" s="69">
        <f t="shared" si="310"/>
        <v>479101.199449974</v>
      </c>
      <c r="I18" s="69">
        <f t="shared" si="310"/>
        <v>479101.199449974</v>
      </c>
      <c r="J18" s="69">
        <f t="shared" si="310"/>
        <v>479101.199449974</v>
      </c>
      <c r="K18" s="69">
        <f t="shared" si="310"/>
        <v>479101.199449974</v>
      </c>
      <c r="L18" s="69">
        <f t="shared" si="310"/>
        <v>479101.199449974</v>
      </c>
      <c r="M18" s="69">
        <f t="shared" si="310"/>
        <v>479101.199449974</v>
      </c>
      <c r="N18" s="69">
        <f t="shared" si="310"/>
        <v>479101.199449974</v>
      </c>
      <c r="O18" s="69">
        <f t="shared" si="310"/>
        <v>619101.199449974</v>
      </c>
      <c r="P18" s="69">
        <f t="shared" si="310"/>
        <v>479101.199449974</v>
      </c>
      <c r="Q18" s="69">
        <f t="shared" si="310"/>
        <v>479101.199449974</v>
      </c>
      <c r="R18" s="69">
        <f t="shared" si="310"/>
        <v>479101.199449974</v>
      </c>
      <c r="S18" s="69">
        <f t="shared" si="310"/>
        <v>479101.199449974</v>
      </c>
      <c r="T18" s="69">
        <f t="shared" si="310"/>
        <v>479101.199449974</v>
      </c>
      <c r="U18" s="69">
        <f t="shared" si="310"/>
        <v>479101.199449974</v>
      </c>
      <c r="V18" s="69">
        <f t="shared" si="310"/>
        <v>479101.199449974</v>
      </c>
      <c r="W18" s="69">
        <f t="shared" si="310"/>
        <v>479101.199449974</v>
      </c>
      <c r="X18" s="69">
        <f t="shared" si="310"/>
        <v>479101.199449974</v>
      </c>
      <c r="Y18" s="69">
        <f t="shared" si="310"/>
        <v>479101.199449974</v>
      </c>
      <c r="Z18" s="69">
        <f t="shared" si="310"/>
        <v>479101.199449974</v>
      </c>
      <c r="AA18" s="69">
        <f t="shared" si="310"/>
        <v>1192303.5983499219</v>
      </c>
      <c r="AB18" s="69">
        <f t="shared" si="310"/>
        <v>1192303.5983499219</v>
      </c>
      <c r="AC18" s="69">
        <f t="shared" si="310"/>
        <v>1192303.5983499219</v>
      </c>
      <c r="AD18" s="69">
        <f t="shared" si="310"/>
        <v>1192303.5983499219</v>
      </c>
      <c r="AE18" s="69">
        <f t="shared" si="310"/>
        <v>1192303.5983499219</v>
      </c>
      <c r="AF18" s="69">
        <f t="shared" si="310"/>
        <v>1192303.5983499219</v>
      </c>
      <c r="AG18" s="69">
        <f t="shared" si="310"/>
        <v>1192303.5983499219</v>
      </c>
      <c r="AH18" s="69">
        <f t="shared" si="310"/>
        <v>1192303.5983499219</v>
      </c>
      <c r="AI18" s="69">
        <f t="shared" si="310"/>
        <v>1192303.5983499219</v>
      </c>
      <c r="AJ18" s="69">
        <f t="shared" si="310"/>
        <v>1192303.5983499219</v>
      </c>
      <c r="AK18" s="69">
        <f t="shared" si="310"/>
        <v>1192303.5983499219</v>
      </c>
      <c r="AL18" s="69">
        <f t="shared" si="310"/>
        <v>1192303.5983499219</v>
      </c>
      <c r="AM18" s="69">
        <f t="shared" si="310"/>
        <v>1192303.5983499219</v>
      </c>
      <c r="AN18" s="69">
        <f t="shared" si="310"/>
        <v>1192303.5983499219</v>
      </c>
      <c r="AO18" s="69">
        <f t="shared" si="310"/>
        <v>1192303.5983499219</v>
      </c>
      <c r="AP18" s="69">
        <f t="shared" si="310"/>
        <v>1192303.5983499219</v>
      </c>
      <c r="AQ18" s="69">
        <f t="shared" si="310"/>
        <v>1192303.5983499219</v>
      </c>
      <c r="AR18" s="69">
        <f t="shared" si="310"/>
        <v>1192303.5983499219</v>
      </c>
      <c r="AS18" s="69">
        <f t="shared" si="310"/>
        <v>1192303.5983499219</v>
      </c>
      <c r="AT18" s="69">
        <f t="shared" si="310"/>
        <v>1192303.5983499219</v>
      </c>
      <c r="AU18" s="69">
        <f t="shared" si="310"/>
        <v>1192303.5983499219</v>
      </c>
      <c r="AV18" s="69">
        <f t="shared" si="310"/>
        <v>1192303.5983499219</v>
      </c>
      <c r="AW18" s="69">
        <f t="shared" si="310"/>
        <v>1192303.5983499219</v>
      </c>
      <c r="AX18" s="69">
        <f t="shared" si="310"/>
        <v>1192303.5983499219</v>
      </c>
      <c r="AY18" s="69">
        <f t="shared" si="310"/>
        <v>1192303.5983499219</v>
      </c>
      <c r="AZ18" s="69">
        <f t="shared" si="310"/>
        <v>1192303.5983499219</v>
      </c>
      <c r="BA18" s="69">
        <f t="shared" si="310"/>
        <v>1192303.5983499219</v>
      </c>
      <c r="BB18" s="69">
        <f t="shared" si="310"/>
        <v>1192303.5983499219</v>
      </c>
      <c r="BC18" s="69">
        <f t="shared" si="310"/>
        <v>1192303.5983499219</v>
      </c>
      <c r="BD18" s="69">
        <f t="shared" si="310"/>
        <v>1192303.5983499219</v>
      </c>
      <c r="BE18" s="69">
        <f t="shared" si="310"/>
        <v>1192303.5983499219</v>
      </c>
      <c r="BF18" s="69">
        <f t="shared" si="310"/>
        <v>1192303.5983499219</v>
      </c>
      <c r="BG18" s="69">
        <f t="shared" si="310"/>
        <v>1192303.5983499219</v>
      </c>
      <c r="BH18" s="69">
        <f t="shared" si="310"/>
        <v>1192303.5983499219</v>
      </c>
      <c r="BI18" s="69">
        <f t="shared" si="310"/>
        <v>1192303.5983499219</v>
      </c>
      <c r="BJ18" s="69">
        <f t="shared" si="310"/>
        <v>1192303.5983499219</v>
      </c>
      <c r="BK18" s="69">
        <f t="shared" si="310"/>
        <v>1192303.5983499219</v>
      </c>
      <c r="BL18" s="69">
        <f t="shared" si="310"/>
        <v>1192303.5983499219</v>
      </c>
      <c r="BM18" s="69">
        <f t="shared" si="310"/>
        <v>1192303.5983499219</v>
      </c>
      <c r="BN18" s="69">
        <f t="shared" si="310"/>
        <v>1192303.5983499219</v>
      </c>
      <c r="BO18" s="69">
        <f t="shared" ref="BO18:DZ18" si="311">SUM(BO19:BO37)</f>
        <v>1192303.5983499219</v>
      </c>
      <c r="BP18" s="69">
        <f t="shared" si="311"/>
        <v>1192303.5983499219</v>
      </c>
      <c r="BQ18" s="69">
        <f t="shared" si="311"/>
        <v>1192303.5983499219</v>
      </c>
      <c r="BR18" s="69">
        <f t="shared" si="311"/>
        <v>1192303.5983499219</v>
      </c>
      <c r="BS18" s="69">
        <f t="shared" si="311"/>
        <v>1192303.5983499219</v>
      </c>
      <c r="BT18" s="69">
        <f t="shared" si="311"/>
        <v>1192303.5983499219</v>
      </c>
      <c r="BU18" s="69">
        <f t="shared" si="311"/>
        <v>1192303.5983499219</v>
      </c>
      <c r="BV18" s="69">
        <f t="shared" si="311"/>
        <v>1192303.5983499219</v>
      </c>
      <c r="BW18" s="69">
        <f t="shared" si="311"/>
        <v>1586404.797799896</v>
      </c>
      <c r="BX18" s="69">
        <f t="shared" si="311"/>
        <v>1586404.797799896</v>
      </c>
      <c r="BY18" s="69">
        <f t="shared" si="311"/>
        <v>1586404.797799896</v>
      </c>
      <c r="BZ18" s="69">
        <f t="shared" si="311"/>
        <v>1586404.797799896</v>
      </c>
      <c r="CA18" s="69">
        <f t="shared" si="311"/>
        <v>1586404.797799896</v>
      </c>
      <c r="CB18" s="69">
        <f t="shared" si="311"/>
        <v>1586404.797799896</v>
      </c>
      <c r="CC18" s="69">
        <f t="shared" si="311"/>
        <v>1586404.797799896</v>
      </c>
      <c r="CD18" s="69">
        <f t="shared" si="311"/>
        <v>1586404.797799896</v>
      </c>
      <c r="CE18" s="69">
        <f t="shared" si="311"/>
        <v>1586404.797799896</v>
      </c>
      <c r="CF18" s="69">
        <f t="shared" si="311"/>
        <v>1586404.797799896</v>
      </c>
      <c r="CG18" s="69">
        <f t="shared" si="311"/>
        <v>1586404.797799896</v>
      </c>
      <c r="CH18" s="69">
        <f t="shared" si="311"/>
        <v>1586404.797799896</v>
      </c>
      <c r="CI18" s="69">
        <f t="shared" si="311"/>
        <v>1586404.797799896</v>
      </c>
      <c r="CJ18" s="69">
        <f t="shared" si="311"/>
        <v>1586404.797799896</v>
      </c>
      <c r="CK18" s="69">
        <f t="shared" si="311"/>
        <v>1586404.797799896</v>
      </c>
      <c r="CL18" s="69">
        <f t="shared" si="311"/>
        <v>1586404.797799896</v>
      </c>
      <c r="CM18" s="69">
        <f t="shared" si="311"/>
        <v>1586404.797799896</v>
      </c>
      <c r="CN18" s="69">
        <f t="shared" si="311"/>
        <v>1633696.9417338928</v>
      </c>
      <c r="CO18" s="69">
        <f t="shared" si="311"/>
        <v>1633696.9417338928</v>
      </c>
      <c r="CP18" s="69">
        <f t="shared" si="311"/>
        <v>1633696.9417338928</v>
      </c>
      <c r="CQ18" s="69">
        <f t="shared" si="311"/>
        <v>1633696.9417338928</v>
      </c>
      <c r="CR18" s="69">
        <f t="shared" si="311"/>
        <v>1633696.9417338928</v>
      </c>
      <c r="CS18" s="69">
        <f t="shared" si="311"/>
        <v>1633696.9417338928</v>
      </c>
      <c r="CT18" s="69">
        <f t="shared" si="311"/>
        <v>1633696.9417338928</v>
      </c>
      <c r="CU18" s="69">
        <f t="shared" si="311"/>
        <v>1680989.0856678898</v>
      </c>
      <c r="CV18" s="69">
        <f t="shared" si="311"/>
        <v>1680989.0856678898</v>
      </c>
      <c r="CW18" s="69">
        <f t="shared" si="311"/>
        <v>1680989.0856678898</v>
      </c>
      <c r="CX18" s="69">
        <f t="shared" si="311"/>
        <v>1680989.0856678898</v>
      </c>
      <c r="CY18" s="69">
        <f t="shared" si="311"/>
        <v>1680989.0856678898</v>
      </c>
      <c r="CZ18" s="69">
        <f t="shared" si="311"/>
        <v>1680989.0856678898</v>
      </c>
      <c r="DA18" s="69">
        <f t="shared" si="311"/>
        <v>1680989.0856678898</v>
      </c>
      <c r="DB18" s="69">
        <f t="shared" si="311"/>
        <v>1680989.0856678898</v>
      </c>
      <c r="DC18" s="69">
        <f t="shared" si="311"/>
        <v>1680989.0856678898</v>
      </c>
      <c r="DD18" s="69">
        <f t="shared" si="311"/>
        <v>1680989.0856678898</v>
      </c>
      <c r="DE18" s="69">
        <f t="shared" si="311"/>
        <v>1680989.0856678898</v>
      </c>
      <c r="DF18" s="69">
        <f t="shared" si="311"/>
        <v>1680989.0856678898</v>
      </c>
      <c r="DG18" s="69">
        <f t="shared" si="311"/>
        <v>1728281.2296018864</v>
      </c>
      <c r="DH18" s="69">
        <f t="shared" si="311"/>
        <v>1728281.2296018864</v>
      </c>
      <c r="DI18" s="69">
        <f t="shared" si="311"/>
        <v>1728281.2296018864</v>
      </c>
      <c r="DJ18" s="69">
        <f t="shared" si="311"/>
        <v>1728281.2296018864</v>
      </c>
      <c r="DK18" s="69">
        <f t="shared" si="311"/>
        <v>1728281.2296018864</v>
      </c>
      <c r="DL18" s="69">
        <f t="shared" si="311"/>
        <v>1728281.2296018864</v>
      </c>
      <c r="DM18" s="69">
        <f t="shared" si="311"/>
        <v>1728281.2296018864</v>
      </c>
      <c r="DN18" s="69">
        <f t="shared" si="311"/>
        <v>1728281.2296018864</v>
      </c>
      <c r="DO18" s="69">
        <f t="shared" si="311"/>
        <v>1728281.2296018864</v>
      </c>
      <c r="DP18" s="69">
        <f t="shared" si="311"/>
        <v>1728281.2296018864</v>
      </c>
      <c r="DQ18" s="69">
        <f t="shared" si="311"/>
        <v>1728281.2296018864</v>
      </c>
      <c r="DR18" s="69">
        <f t="shared" si="311"/>
        <v>1728281.2296018864</v>
      </c>
      <c r="DS18" s="69">
        <f t="shared" si="311"/>
        <v>1775573.3735358836</v>
      </c>
      <c r="DT18" s="69">
        <f t="shared" si="311"/>
        <v>1775573.3735358836</v>
      </c>
      <c r="DU18" s="69">
        <f t="shared" si="311"/>
        <v>1775573.3735358836</v>
      </c>
      <c r="DV18" s="69">
        <f t="shared" si="311"/>
        <v>1775573.3735358836</v>
      </c>
      <c r="DW18" s="69">
        <f t="shared" si="311"/>
        <v>1775573.3735358836</v>
      </c>
      <c r="DX18" s="69">
        <f t="shared" si="311"/>
        <v>1775573.3735358836</v>
      </c>
      <c r="DY18" s="69">
        <f t="shared" si="311"/>
        <v>1775573.3735358836</v>
      </c>
      <c r="DZ18" s="69">
        <f t="shared" si="311"/>
        <v>1775573.3735358836</v>
      </c>
      <c r="EA18" s="69">
        <f t="shared" ref="EA18:GL18" si="312">SUM(EA19:EA37)</f>
        <v>1775573.3735358836</v>
      </c>
      <c r="EB18" s="69">
        <f t="shared" si="312"/>
        <v>1775573.3735358836</v>
      </c>
      <c r="EC18" s="69">
        <f t="shared" si="312"/>
        <v>1775573.3735358836</v>
      </c>
      <c r="ED18" s="69">
        <f t="shared" si="312"/>
        <v>1775573.3735358836</v>
      </c>
      <c r="EE18" s="69">
        <f t="shared" si="312"/>
        <v>1822865.5174698804</v>
      </c>
      <c r="EF18" s="69">
        <f t="shared" si="312"/>
        <v>1822865.5174698804</v>
      </c>
      <c r="EG18" s="69">
        <f t="shared" si="312"/>
        <v>1822865.5174698804</v>
      </c>
      <c r="EH18" s="69">
        <f t="shared" si="312"/>
        <v>1822865.5174698804</v>
      </c>
      <c r="EI18" s="69">
        <f t="shared" si="312"/>
        <v>1822865.5174698804</v>
      </c>
      <c r="EJ18" s="69">
        <f t="shared" si="312"/>
        <v>1822865.5174698804</v>
      </c>
      <c r="EK18" s="69">
        <f t="shared" si="312"/>
        <v>1822865.5174698804</v>
      </c>
      <c r="EL18" s="69">
        <f t="shared" si="312"/>
        <v>1822865.5174698804</v>
      </c>
      <c r="EM18" s="69">
        <f t="shared" si="312"/>
        <v>1822865.5174698804</v>
      </c>
      <c r="EN18" s="69">
        <f t="shared" si="312"/>
        <v>1822865.5174698804</v>
      </c>
      <c r="EO18" s="69">
        <f t="shared" si="312"/>
        <v>1822865.5174698804</v>
      </c>
      <c r="EP18" s="69">
        <f t="shared" si="312"/>
        <v>1822865.5174698804</v>
      </c>
      <c r="EQ18" s="69">
        <f t="shared" si="312"/>
        <v>1870157.6614038774</v>
      </c>
      <c r="ER18" s="69">
        <f t="shared" si="312"/>
        <v>1870157.6614038774</v>
      </c>
      <c r="ES18" s="69">
        <f t="shared" si="312"/>
        <v>1870157.6614038774</v>
      </c>
      <c r="ET18" s="69">
        <f t="shared" si="312"/>
        <v>1870157.6614038774</v>
      </c>
      <c r="EU18" s="69">
        <f t="shared" si="312"/>
        <v>1870157.6614038774</v>
      </c>
      <c r="EV18" s="69">
        <f t="shared" si="312"/>
        <v>1870157.6614038774</v>
      </c>
      <c r="EW18" s="69">
        <f t="shared" si="312"/>
        <v>1870157.6614038774</v>
      </c>
      <c r="EX18" s="69">
        <f t="shared" si="312"/>
        <v>1870157.6614038774</v>
      </c>
      <c r="EY18" s="69">
        <f t="shared" si="312"/>
        <v>1870157.6614038774</v>
      </c>
      <c r="EZ18" s="69">
        <f t="shared" si="312"/>
        <v>1870157.6614038774</v>
      </c>
      <c r="FA18" s="69">
        <f t="shared" si="312"/>
        <v>1870157.6614038774</v>
      </c>
      <c r="FB18" s="69">
        <f t="shared" si="312"/>
        <v>1870157.6614038774</v>
      </c>
      <c r="FC18" s="69">
        <f t="shared" si="312"/>
        <v>1917449.8053378742</v>
      </c>
      <c r="FD18" s="69">
        <f t="shared" si="312"/>
        <v>1917449.8053378742</v>
      </c>
      <c r="FE18" s="69">
        <f t="shared" si="312"/>
        <v>1917449.8053378742</v>
      </c>
      <c r="FF18" s="69">
        <f t="shared" si="312"/>
        <v>1917449.8053378742</v>
      </c>
      <c r="FG18" s="69">
        <f t="shared" si="312"/>
        <v>1917449.8053378742</v>
      </c>
      <c r="FH18" s="69">
        <f t="shared" si="312"/>
        <v>1917449.8053378742</v>
      </c>
      <c r="FI18" s="69">
        <f t="shared" si="312"/>
        <v>1917449.8053378742</v>
      </c>
      <c r="FJ18" s="69">
        <f t="shared" si="312"/>
        <v>1917449.8053378742</v>
      </c>
      <c r="FK18" s="69">
        <f t="shared" si="312"/>
        <v>1917449.8053378742</v>
      </c>
      <c r="FL18" s="69">
        <f t="shared" si="312"/>
        <v>1917449.8053378742</v>
      </c>
      <c r="FM18" s="69">
        <f t="shared" si="312"/>
        <v>1917449.8053378742</v>
      </c>
      <c r="FN18" s="69">
        <f t="shared" si="312"/>
        <v>1917449.8053378742</v>
      </c>
      <c r="FO18" s="69">
        <f t="shared" si="312"/>
        <v>1964741.9492718708</v>
      </c>
      <c r="FP18" s="69">
        <f t="shared" si="312"/>
        <v>1964741.9492718708</v>
      </c>
      <c r="FQ18" s="69">
        <f t="shared" si="312"/>
        <v>1964741.9492718708</v>
      </c>
      <c r="FR18" s="69">
        <f t="shared" si="312"/>
        <v>1964741.9492718708</v>
      </c>
      <c r="FS18" s="69">
        <f t="shared" si="312"/>
        <v>1964741.9492718708</v>
      </c>
      <c r="FT18" s="69">
        <f t="shared" si="312"/>
        <v>1964741.9492718708</v>
      </c>
      <c r="FU18" s="69">
        <f t="shared" si="312"/>
        <v>1964741.9492718708</v>
      </c>
      <c r="FV18" s="69">
        <f t="shared" si="312"/>
        <v>1964741.9492718708</v>
      </c>
      <c r="FW18" s="69">
        <f t="shared" si="312"/>
        <v>1964741.9492718708</v>
      </c>
      <c r="FX18" s="69">
        <f t="shared" si="312"/>
        <v>1964741.9492718708</v>
      </c>
      <c r="FY18" s="69">
        <f t="shared" si="312"/>
        <v>1964741.9492718708</v>
      </c>
      <c r="FZ18" s="69">
        <f t="shared" si="312"/>
        <v>1964741.9492718708</v>
      </c>
      <c r="GA18" s="69">
        <f t="shared" si="312"/>
        <v>2012034.0932058678</v>
      </c>
      <c r="GB18" s="69">
        <f t="shared" si="312"/>
        <v>2012034.0932058678</v>
      </c>
      <c r="GC18" s="69">
        <f t="shared" si="312"/>
        <v>2012034.0932058678</v>
      </c>
      <c r="GD18" s="69">
        <f t="shared" si="312"/>
        <v>2012034.0932058678</v>
      </c>
      <c r="GE18" s="69">
        <f t="shared" si="312"/>
        <v>2012034.0932058678</v>
      </c>
      <c r="GF18" s="69">
        <f t="shared" si="312"/>
        <v>2012034.0932058678</v>
      </c>
      <c r="GG18" s="69">
        <f t="shared" si="312"/>
        <v>2012034.0932058678</v>
      </c>
      <c r="GH18" s="69">
        <f t="shared" si="312"/>
        <v>2012034.0932058678</v>
      </c>
      <c r="GI18" s="69">
        <f t="shared" si="312"/>
        <v>2012034.0932058678</v>
      </c>
      <c r="GJ18" s="69">
        <f t="shared" si="312"/>
        <v>2012034.0932058678</v>
      </c>
      <c r="GK18" s="69">
        <f t="shared" si="312"/>
        <v>2012034.0932058678</v>
      </c>
      <c r="GL18" s="69">
        <f t="shared" si="312"/>
        <v>2012034.0932058678</v>
      </c>
      <c r="GM18" s="69">
        <f t="shared" ref="GM18:IH18" si="313">SUM(GM19:GM37)</f>
        <v>2059326.2371398648</v>
      </c>
      <c r="GN18" s="69">
        <f t="shared" si="313"/>
        <v>2059326.2371398648</v>
      </c>
      <c r="GO18" s="69">
        <f t="shared" si="313"/>
        <v>2059326.2371398648</v>
      </c>
      <c r="GP18" s="69">
        <f t="shared" si="313"/>
        <v>2059326.2371398648</v>
      </c>
      <c r="GQ18" s="69">
        <f t="shared" si="313"/>
        <v>2059326.2371398648</v>
      </c>
      <c r="GR18" s="69">
        <f t="shared" si="313"/>
        <v>2059326.2371398648</v>
      </c>
      <c r="GS18" s="69">
        <f t="shared" si="313"/>
        <v>2059326.2371398648</v>
      </c>
      <c r="GT18" s="69">
        <f t="shared" si="313"/>
        <v>2059326.2371398648</v>
      </c>
      <c r="GU18" s="69">
        <f t="shared" si="313"/>
        <v>2059326.2371398648</v>
      </c>
      <c r="GV18" s="69">
        <f t="shared" si="313"/>
        <v>2059326.2371398648</v>
      </c>
      <c r="GW18" s="69">
        <f t="shared" si="313"/>
        <v>2059326.2371398648</v>
      </c>
      <c r="GX18" s="69">
        <f t="shared" si="313"/>
        <v>2059326.2371398648</v>
      </c>
      <c r="GY18" s="69">
        <f t="shared" si="313"/>
        <v>2106618.3810738618</v>
      </c>
      <c r="GZ18" s="69">
        <f t="shared" si="313"/>
        <v>2106618.3810738618</v>
      </c>
      <c r="HA18" s="69">
        <f t="shared" si="313"/>
        <v>2106618.3810738618</v>
      </c>
      <c r="HB18" s="69">
        <f t="shared" si="313"/>
        <v>2106618.3810738618</v>
      </c>
      <c r="HC18" s="69">
        <f t="shared" si="313"/>
        <v>2106618.3810738618</v>
      </c>
      <c r="HD18" s="69">
        <f t="shared" si="313"/>
        <v>2106618.3810738618</v>
      </c>
      <c r="HE18" s="69">
        <f t="shared" si="313"/>
        <v>2106618.3810738618</v>
      </c>
      <c r="HF18" s="69">
        <f t="shared" si="313"/>
        <v>2106618.3810738618</v>
      </c>
      <c r="HG18" s="69">
        <f t="shared" si="313"/>
        <v>2106618.3810738618</v>
      </c>
      <c r="HH18" s="69">
        <f t="shared" si="313"/>
        <v>2106618.3810738618</v>
      </c>
      <c r="HI18" s="69">
        <f t="shared" si="313"/>
        <v>2106618.3810738618</v>
      </c>
      <c r="HJ18" s="69">
        <f t="shared" si="313"/>
        <v>2106618.3810738618</v>
      </c>
      <c r="HK18" s="69">
        <f t="shared" si="313"/>
        <v>2106618.3810738618</v>
      </c>
      <c r="HL18" s="69">
        <f t="shared" si="313"/>
        <v>2106618.3810738618</v>
      </c>
      <c r="HM18" s="69">
        <f t="shared" si="313"/>
        <v>2106618.3810738618</v>
      </c>
      <c r="HN18" s="69">
        <f t="shared" si="313"/>
        <v>2106618.3810738618</v>
      </c>
      <c r="HO18" s="69">
        <f t="shared" si="313"/>
        <v>2106618.3810738618</v>
      </c>
      <c r="HP18" s="69">
        <f t="shared" si="313"/>
        <v>2106618.3810738618</v>
      </c>
      <c r="HQ18" s="69">
        <f t="shared" si="313"/>
        <v>2106618.3810738618</v>
      </c>
      <c r="HR18" s="69">
        <f t="shared" si="313"/>
        <v>2106618.3810738618</v>
      </c>
      <c r="HS18" s="69">
        <f t="shared" si="313"/>
        <v>2106618.3810738618</v>
      </c>
      <c r="HT18" s="69">
        <f t="shared" si="313"/>
        <v>2106618.3810738618</v>
      </c>
      <c r="HU18" s="69">
        <f t="shared" si="313"/>
        <v>2106618.3810738618</v>
      </c>
      <c r="HV18" s="69">
        <f t="shared" si="313"/>
        <v>2106618.3810738618</v>
      </c>
      <c r="HW18" s="69">
        <f t="shared" si="313"/>
        <v>2106618.3810738618</v>
      </c>
      <c r="HX18" s="69">
        <f t="shared" si="313"/>
        <v>2106618.3810738618</v>
      </c>
      <c r="HY18" s="69">
        <f t="shared" si="313"/>
        <v>2106618.3810738618</v>
      </c>
      <c r="HZ18" s="69">
        <f t="shared" si="313"/>
        <v>2106618.3810738618</v>
      </c>
      <c r="IA18" s="69">
        <f t="shared" si="313"/>
        <v>2106618.3810738618</v>
      </c>
      <c r="IB18" s="69">
        <f t="shared" si="313"/>
        <v>2106618.3810738618</v>
      </c>
      <c r="IC18" s="69">
        <f t="shared" si="313"/>
        <v>2106618.3810738618</v>
      </c>
      <c r="ID18" s="69">
        <f t="shared" si="313"/>
        <v>2106618.3810738618</v>
      </c>
      <c r="IE18" s="69">
        <f t="shared" si="313"/>
        <v>2106618.3810738618</v>
      </c>
      <c r="IF18" s="69">
        <f t="shared" si="313"/>
        <v>2106618.3810738618</v>
      </c>
      <c r="IG18" s="69">
        <f t="shared" si="313"/>
        <v>2106618.3810738618</v>
      </c>
      <c r="IH18" s="69">
        <f t="shared" si="313"/>
        <v>2106618.3810738618</v>
      </c>
      <c r="II18" s="69">
        <f>SUM(C18:IH18)</f>
        <v>385471550.81260777</v>
      </c>
    </row>
    <row r="19" spans="1:243" x14ac:dyDescent="0.45">
      <c r="A19" s="16" t="s">
        <v>762</v>
      </c>
      <c r="B19" s="18">
        <v>75000</v>
      </c>
      <c r="C19" s="13">
        <f>IF('CAPEX Schedule'!C6=1,$B$19,0)</f>
        <v>75000</v>
      </c>
      <c r="D19" s="13">
        <f>IF('CAPEX Schedule'!D6=1,$B$19,0)</f>
        <v>75000</v>
      </c>
      <c r="E19" s="13">
        <f>IF('CAPEX Schedule'!E6=1,$B$19,0)</f>
        <v>75000</v>
      </c>
      <c r="F19" s="13">
        <f>IF('CAPEX Schedule'!F6=1,$B$19,0)</f>
        <v>75000</v>
      </c>
      <c r="G19" s="13">
        <f>IF('CAPEX Schedule'!G6=1,$B$19,0)</f>
        <v>75000</v>
      </c>
      <c r="H19" s="13">
        <f>IF('CAPEX Schedule'!H6=1,$B$19,0)</f>
        <v>75000</v>
      </c>
      <c r="I19" s="13">
        <f>IF('CAPEX Schedule'!I6=1,$B$19,0)</f>
        <v>75000</v>
      </c>
      <c r="J19" s="13">
        <f>IF('CAPEX Schedule'!J6=1,$B$19,0)</f>
        <v>75000</v>
      </c>
      <c r="K19" s="13">
        <f>IF('CAPEX Schedule'!K6=1,$B$19,0)</f>
        <v>75000</v>
      </c>
      <c r="L19" s="13">
        <f>IF('CAPEX Schedule'!L6=1,$B$19,0)</f>
        <v>75000</v>
      </c>
      <c r="M19" s="13">
        <f>IF('CAPEX Schedule'!M6=1,$B$19,0)</f>
        <v>75000</v>
      </c>
      <c r="N19" s="13">
        <f>IF('CAPEX Schedule'!N6=1,$B$19,0)</f>
        <v>75000</v>
      </c>
      <c r="O19" s="13">
        <f>IF('CAPEX Schedule'!O6=1,$B$19,0)</f>
        <v>75000</v>
      </c>
      <c r="P19" s="13">
        <f>IF('CAPEX Schedule'!P6=1,$B$19,0)</f>
        <v>75000</v>
      </c>
      <c r="Q19" s="13">
        <f>IF('CAPEX Schedule'!Q6=1,$B$19,0)</f>
        <v>75000</v>
      </c>
      <c r="R19" s="13">
        <f>IF('CAPEX Schedule'!R6=1,$B$19,0)</f>
        <v>75000</v>
      </c>
      <c r="S19" s="13">
        <f>IF('CAPEX Schedule'!S6=1,$B$19,0)</f>
        <v>75000</v>
      </c>
      <c r="T19" s="13">
        <f>IF('CAPEX Schedule'!T6=1,$B$19,0)</f>
        <v>75000</v>
      </c>
      <c r="U19" s="13">
        <f>IF('CAPEX Schedule'!U6=1,$B$19,0)</f>
        <v>75000</v>
      </c>
      <c r="V19" s="13">
        <f>IF('CAPEX Schedule'!V6=1,$B$19,0)</f>
        <v>75000</v>
      </c>
      <c r="W19" s="13">
        <f>IF('CAPEX Schedule'!W6=1,$B$19,0)</f>
        <v>75000</v>
      </c>
      <c r="X19" s="13">
        <f>IF('CAPEX Schedule'!X6=1,$B$19,0)</f>
        <v>75000</v>
      </c>
      <c r="Y19" s="13">
        <f>IF('CAPEX Schedule'!Y6=1,$B$19,0)</f>
        <v>75000</v>
      </c>
      <c r="Z19" s="13">
        <f>IF('CAPEX Schedule'!Z6=1,$B$19,0)</f>
        <v>75000</v>
      </c>
      <c r="AA19" s="13">
        <f>IF('CAPEX Schedule'!AA6=1,$B$19,0)</f>
        <v>0</v>
      </c>
      <c r="AB19" s="13">
        <f>IF('CAPEX Schedule'!AB6=1,$B$19,0)</f>
        <v>0</v>
      </c>
      <c r="AC19" s="13">
        <f>IF('CAPEX Schedule'!AC6=1,$B$19,0)</f>
        <v>0</v>
      </c>
      <c r="AD19" s="13">
        <f>IF('CAPEX Schedule'!AD6=1,$B$19,0)</f>
        <v>0</v>
      </c>
      <c r="AE19" s="13">
        <f>IF('CAPEX Schedule'!AE6=1,$B$19,0)</f>
        <v>0</v>
      </c>
      <c r="AF19" s="13">
        <f>IF('CAPEX Schedule'!AF6=1,$B$19,0)</f>
        <v>0</v>
      </c>
      <c r="AG19" s="13">
        <f>IF('CAPEX Schedule'!AG6=1,$B$19,0)</f>
        <v>0</v>
      </c>
      <c r="AH19" s="13">
        <f>IF('CAPEX Schedule'!AH6=1,$B$19,0)</f>
        <v>0</v>
      </c>
      <c r="AI19" s="13">
        <f>IF('CAPEX Schedule'!AI6=1,$B$19,0)</f>
        <v>0</v>
      </c>
      <c r="AJ19" s="13">
        <f>IF('CAPEX Schedule'!AJ6=1,$B$19,0)</f>
        <v>0</v>
      </c>
      <c r="AK19" s="13">
        <f>IF('CAPEX Schedule'!AK6=1,$B$19,0)</f>
        <v>0</v>
      </c>
      <c r="AL19" s="13">
        <f>IF('CAPEX Schedule'!AL6=1,$B$19,0)</f>
        <v>0</v>
      </c>
      <c r="AM19" s="13">
        <f>IF('CAPEX Schedule'!AM6=1,$B$19,0)</f>
        <v>0</v>
      </c>
      <c r="AN19" s="13">
        <f>IF('CAPEX Schedule'!AN6=1,$B$19,0)</f>
        <v>0</v>
      </c>
      <c r="AO19" s="13">
        <f>IF('CAPEX Schedule'!AO6=1,$B$19,0)</f>
        <v>0</v>
      </c>
      <c r="AP19" s="13">
        <f>IF('CAPEX Schedule'!AP6=1,$B$19,0)</f>
        <v>0</v>
      </c>
      <c r="AQ19" s="13">
        <f>IF('CAPEX Schedule'!AQ6=1,$B$19,0)</f>
        <v>0</v>
      </c>
      <c r="AR19" s="13">
        <f>IF('CAPEX Schedule'!AR6=1,$B$19,0)</f>
        <v>0</v>
      </c>
      <c r="AS19" s="13">
        <f>IF('CAPEX Schedule'!AS6=1,$B$19,0)</f>
        <v>0</v>
      </c>
      <c r="AT19" s="13">
        <f>IF('CAPEX Schedule'!AT6=1,$B$19,0)</f>
        <v>0</v>
      </c>
      <c r="AU19" s="13">
        <f>IF('CAPEX Schedule'!AU6=1,$B$19,0)</f>
        <v>0</v>
      </c>
      <c r="AV19" s="13">
        <f>IF('CAPEX Schedule'!AV6=1,$B$19,0)</f>
        <v>0</v>
      </c>
      <c r="AW19" s="13">
        <f>IF('CAPEX Schedule'!AW6=1,$B$19,0)</f>
        <v>0</v>
      </c>
      <c r="AX19" s="13">
        <f>IF('CAPEX Schedule'!AX6=1,$B$19,0)</f>
        <v>0</v>
      </c>
      <c r="AY19" s="13">
        <f>IF('CAPEX Schedule'!AY6=1,$B$19,0)</f>
        <v>0</v>
      </c>
      <c r="AZ19" s="13">
        <f>IF('CAPEX Schedule'!AZ6=1,$B$19,0)</f>
        <v>0</v>
      </c>
      <c r="BA19" s="13">
        <f>IF('CAPEX Schedule'!BA6=1,$B$19,0)</f>
        <v>0</v>
      </c>
      <c r="BB19" s="13">
        <f>IF('CAPEX Schedule'!BB6=1,$B$19,0)</f>
        <v>0</v>
      </c>
      <c r="BC19" s="13">
        <f>IF('CAPEX Schedule'!BC6=1,$B$19,0)</f>
        <v>0</v>
      </c>
      <c r="BD19" s="13">
        <f>IF('CAPEX Schedule'!BD6=1,$B$19,0)</f>
        <v>0</v>
      </c>
      <c r="BE19" s="13">
        <f>IF('CAPEX Schedule'!BE6=1,$B$19,0)</f>
        <v>0</v>
      </c>
      <c r="BF19" s="13">
        <f>IF('CAPEX Schedule'!BF6=1,$B$19,0)</f>
        <v>0</v>
      </c>
      <c r="BG19" s="13">
        <f>IF('CAPEX Schedule'!BG6=1,$B$19,0)</f>
        <v>0</v>
      </c>
      <c r="BH19" s="13">
        <f>IF('CAPEX Schedule'!BH6=1,$B$19,0)</f>
        <v>0</v>
      </c>
      <c r="BI19" s="13">
        <f>IF('CAPEX Schedule'!BI6=1,$B$19,0)</f>
        <v>0</v>
      </c>
      <c r="BJ19" s="13">
        <f>IF('CAPEX Schedule'!BJ6=1,$B$19,0)</f>
        <v>0</v>
      </c>
      <c r="BK19" s="13">
        <f>IF('CAPEX Schedule'!BK6=1,$B$19,0)</f>
        <v>0</v>
      </c>
      <c r="BL19" s="13">
        <f>IF('CAPEX Schedule'!BL6=1,$B$19,0)</f>
        <v>0</v>
      </c>
      <c r="BM19" s="13">
        <f>IF('CAPEX Schedule'!BM6=1,$B$19,0)</f>
        <v>0</v>
      </c>
      <c r="BN19" s="13">
        <f>IF('CAPEX Schedule'!BN6=1,$B$19,0)</f>
        <v>0</v>
      </c>
      <c r="BO19" s="13">
        <f>IF('CAPEX Schedule'!BO6=1,$B$19,0)</f>
        <v>0</v>
      </c>
      <c r="BP19" s="13">
        <f>IF('CAPEX Schedule'!BP6=1,$B$19,0)</f>
        <v>0</v>
      </c>
      <c r="BQ19" s="13">
        <f>IF('CAPEX Schedule'!BQ6=1,$B$19,0)</f>
        <v>0</v>
      </c>
      <c r="BR19" s="13">
        <f>IF('CAPEX Schedule'!BR6=1,$B$19,0)</f>
        <v>0</v>
      </c>
      <c r="BS19" s="13">
        <f>IF('CAPEX Schedule'!BS6=1,$B$19,0)</f>
        <v>0</v>
      </c>
      <c r="BT19" s="13">
        <f>IF('CAPEX Schedule'!BT6=1,$B$19,0)</f>
        <v>0</v>
      </c>
      <c r="BU19" s="13">
        <f>IF('CAPEX Schedule'!BU6=1,$B$19,0)</f>
        <v>0</v>
      </c>
      <c r="BV19" s="13">
        <f>IF('CAPEX Schedule'!BV6=1,$B$19,0)</f>
        <v>0</v>
      </c>
      <c r="BW19" s="13">
        <f>IF('CAPEX Schedule'!BW6=1,$B$19,0)</f>
        <v>0</v>
      </c>
      <c r="BX19" s="13">
        <f>IF('CAPEX Schedule'!BX6=1,$B$19,0)</f>
        <v>0</v>
      </c>
      <c r="BY19" s="13">
        <f>IF('CAPEX Schedule'!BY6=1,$B$19,0)</f>
        <v>0</v>
      </c>
      <c r="BZ19" s="13">
        <f>IF('CAPEX Schedule'!BZ6=1,$B$19,0)</f>
        <v>0</v>
      </c>
      <c r="CA19" s="13">
        <f>IF('CAPEX Schedule'!CA6=1,$B$19,0)</f>
        <v>0</v>
      </c>
      <c r="CB19" s="13">
        <f>IF('CAPEX Schedule'!CB6=1,$B$19,0)</f>
        <v>0</v>
      </c>
      <c r="CC19" s="13">
        <f>IF('CAPEX Schedule'!CC6=1,$B$19,0)</f>
        <v>0</v>
      </c>
      <c r="CD19" s="13">
        <f>IF('CAPEX Schedule'!CD6=1,$B$19,0)</f>
        <v>0</v>
      </c>
      <c r="CE19" s="13">
        <f>IF('CAPEX Schedule'!CE6=1,$B$19,0)</f>
        <v>0</v>
      </c>
      <c r="CF19" s="13">
        <f>IF('CAPEX Schedule'!CF6=1,$B$19,0)</f>
        <v>0</v>
      </c>
      <c r="CG19" s="13">
        <f>IF('CAPEX Schedule'!CG6=1,$B$19,0)</f>
        <v>0</v>
      </c>
      <c r="CH19" s="13">
        <f>IF('CAPEX Schedule'!CH6=1,$B$19,0)</f>
        <v>0</v>
      </c>
      <c r="CI19" s="13">
        <f>IF('CAPEX Schedule'!CI6=1,$B$19,0)</f>
        <v>0</v>
      </c>
      <c r="CJ19" s="13">
        <f>IF('CAPEX Schedule'!CJ6=1,$B$19,0)</f>
        <v>0</v>
      </c>
      <c r="CK19" s="13">
        <f>IF('CAPEX Schedule'!CK6=1,$B$19,0)</f>
        <v>0</v>
      </c>
      <c r="CL19" s="13">
        <f>IF('CAPEX Schedule'!CL6=1,$B$19,0)</f>
        <v>0</v>
      </c>
      <c r="CM19" s="13">
        <f>IF('CAPEX Schedule'!CM6=1,$B$19,0)</f>
        <v>0</v>
      </c>
      <c r="CN19" s="13">
        <f>IF('CAPEX Schedule'!CN6=1,$B$19,0)</f>
        <v>0</v>
      </c>
      <c r="CO19" s="13">
        <f>IF('CAPEX Schedule'!CO6=1,$B$19,0)</f>
        <v>0</v>
      </c>
      <c r="CP19" s="13">
        <f>IF('CAPEX Schedule'!CP6=1,$B$19,0)</f>
        <v>0</v>
      </c>
      <c r="CQ19" s="13">
        <f>IF('CAPEX Schedule'!CQ6=1,$B$19,0)</f>
        <v>0</v>
      </c>
      <c r="CR19" s="13">
        <f>IF('CAPEX Schedule'!CR6=1,$B$19,0)</f>
        <v>0</v>
      </c>
      <c r="CS19" s="13">
        <f>IF('CAPEX Schedule'!CS6=1,$B$19,0)</f>
        <v>0</v>
      </c>
      <c r="CT19" s="13">
        <f>IF('CAPEX Schedule'!CT6=1,$B$19,0)</f>
        <v>0</v>
      </c>
      <c r="CU19" s="13">
        <f>IF('CAPEX Schedule'!CU6=1,$B$19,0)</f>
        <v>0</v>
      </c>
      <c r="CV19" s="13">
        <f>IF('CAPEX Schedule'!CV6=1,$B$19,0)</f>
        <v>0</v>
      </c>
      <c r="CW19" s="13">
        <f>IF('CAPEX Schedule'!CW6=1,$B$19,0)</f>
        <v>0</v>
      </c>
      <c r="CX19" s="13">
        <f>IF('CAPEX Schedule'!CX6=1,$B$19,0)</f>
        <v>0</v>
      </c>
      <c r="CY19" s="13">
        <f>IF('CAPEX Schedule'!CY6=1,$B$19,0)</f>
        <v>0</v>
      </c>
      <c r="CZ19" s="13">
        <f>IF('CAPEX Schedule'!CZ6=1,$B$19,0)</f>
        <v>0</v>
      </c>
      <c r="DA19" s="13">
        <f>IF('CAPEX Schedule'!DA6=1,$B$19,0)</f>
        <v>0</v>
      </c>
      <c r="DB19" s="13">
        <f>IF('CAPEX Schedule'!DB6=1,$B$19,0)</f>
        <v>0</v>
      </c>
      <c r="DC19" s="13">
        <f>IF('CAPEX Schedule'!DC6=1,$B$19,0)</f>
        <v>0</v>
      </c>
      <c r="DD19" s="13">
        <f>IF('CAPEX Schedule'!DD6=1,$B$19,0)</f>
        <v>0</v>
      </c>
      <c r="DE19" s="13">
        <f>IF('CAPEX Schedule'!DE6=1,$B$19,0)</f>
        <v>0</v>
      </c>
      <c r="DF19" s="13">
        <f>IF('CAPEX Schedule'!DF6=1,$B$19,0)</f>
        <v>0</v>
      </c>
      <c r="DG19" s="13">
        <f>IF('CAPEX Schedule'!DG6=1,$B$19,0)</f>
        <v>0</v>
      </c>
      <c r="DH19" s="13">
        <f>IF('CAPEX Schedule'!DH6=1,$B$19,0)</f>
        <v>0</v>
      </c>
      <c r="DI19" s="13">
        <f>IF('CAPEX Schedule'!DI6=1,$B$19,0)</f>
        <v>0</v>
      </c>
      <c r="DJ19" s="13">
        <f>IF('CAPEX Schedule'!DJ6=1,$B$19,0)</f>
        <v>0</v>
      </c>
      <c r="DK19" s="13">
        <f>IF('CAPEX Schedule'!DK6=1,$B$19,0)</f>
        <v>0</v>
      </c>
      <c r="DL19" s="13">
        <f>IF('CAPEX Schedule'!DL6=1,$B$19,0)</f>
        <v>0</v>
      </c>
      <c r="DM19" s="13">
        <f>IF('CAPEX Schedule'!DM6=1,$B$19,0)</f>
        <v>0</v>
      </c>
      <c r="DN19" s="13">
        <f>IF('CAPEX Schedule'!DN6=1,$B$19,0)</f>
        <v>0</v>
      </c>
      <c r="DO19" s="13">
        <f>IF('CAPEX Schedule'!DO6=1,$B$19,0)</f>
        <v>0</v>
      </c>
      <c r="DP19" s="13">
        <f>IF('CAPEX Schedule'!DP6=1,$B$19,0)</f>
        <v>0</v>
      </c>
      <c r="DQ19" s="13">
        <f>IF('CAPEX Schedule'!DQ6=1,$B$19,0)</f>
        <v>0</v>
      </c>
      <c r="DR19" s="13">
        <f>IF('CAPEX Schedule'!DR6=1,$B$19,0)</f>
        <v>0</v>
      </c>
      <c r="DS19" s="13">
        <f>IF('CAPEX Schedule'!DS6=1,$B$19,0)</f>
        <v>0</v>
      </c>
      <c r="DT19" s="13">
        <f>IF('CAPEX Schedule'!DT6=1,$B$19,0)</f>
        <v>0</v>
      </c>
      <c r="DU19" s="13">
        <f>IF('CAPEX Schedule'!DU6=1,$B$19,0)</f>
        <v>0</v>
      </c>
      <c r="DV19" s="13">
        <f>IF('CAPEX Schedule'!DV6=1,$B$19,0)</f>
        <v>0</v>
      </c>
      <c r="DW19" s="13">
        <f>IF('CAPEX Schedule'!DW6=1,$B$19,0)</f>
        <v>0</v>
      </c>
      <c r="DX19" s="13">
        <f>IF('CAPEX Schedule'!DX6=1,$B$19,0)</f>
        <v>0</v>
      </c>
      <c r="DY19" s="13">
        <f>IF('CAPEX Schedule'!DY6=1,$B$19,0)</f>
        <v>0</v>
      </c>
      <c r="DZ19" s="13">
        <f>IF('CAPEX Schedule'!DZ6=1,$B$19,0)</f>
        <v>0</v>
      </c>
      <c r="EA19" s="13">
        <f>IF('CAPEX Schedule'!EA6=1,$B$19,0)</f>
        <v>0</v>
      </c>
      <c r="EB19" s="13">
        <f>IF('CAPEX Schedule'!EB6=1,$B$19,0)</f>
        <v>0</v>
      </c>
      <c r="EC19" s="13">
        <f>IF('CAPEX Schedule'!EC6=1,$B$19,0)</f>
        <v>0</v>
      </c>
      <c r="ED19" s="13">
        <f>IF('CAPEX Schedule'!ED6=1,$B$19,0)</f>
        <v>0</v>
      </c>
      <c r="EE19" s="13">
        <f>IF('CAPEX Schedule'!EE6=1,$B$19,0)</f>
        <v>0</v>
      </c>
      <c r="EF19" s="13">
        <f>IF('CAPEX Schedule'!EF6=1,$B$19,0)</f>
        <v>0</v>
      </c>
      <c r="EG19" s="13">
        <f>IF('CAPEX Schedule'!EG6=1,$B$19,0)</f>
        <v>0</v>
      </c>
      <c r="EH19" s="13">
        <f>IF('CAPEX Schedule'!EH6=1,$B$19,0)</f>
        <v>0</v>
      </c>
      <c r="EI19" s="13">
        <f>IF('CAPEX Schedule'!EI6=1,$B$19,0)</f>
        <v>0</v>
      </c>
      <c r="EJ19" s="13">
        <f>IF('CAPEX Schedule'!EJ6=1,$B$19,0)</f>
        <v>0</v>
      </c>
      <c r="EK19" s="13">
        <f>IF('CAPEX Schedule'!EK6=1,$B$19,0)</f>
        <v>0</v>
      </c>
      <c r="EL19" s="13">
        <f>IF('CAPEX Schedule'!EL6=1,$B$19,0)</f>
        <v>0</v>
      </c>
      <c r="EM19" s="13">
        <f>IF('CAPEX Schedule'!EM6=1,$B$19,0)</f>
        <v>0</v>
      </c>
      <c r="EN19" s="13">
        <f>IF('CAPEX Schedule'!EN6=1,$B$19,0)</f>
        <v>0</v>
      </c>
      <c r="EO19" s="13">
        <f>IF('CAPEX Schedule'!EO6=1,$B$19,0)</f>
        <v>0</v>
      </c>
      <c r="EP19" s="13">
        <f>IF('CAPEX Schedule'!EP6=1,$B$19,0)</f>
        <v>0</v>
      </c>
      <c r="EQ19" s="13">
        <f>IF('CAPEX Schedule'!EQ6=1,$B$19,0)</f>
        <v>0</v>
      </c>
      <c r="ER19" s="13">
        <f>IF('CAPEX Schedule'!ER6=1,$B$19,0)</f>
        <v>0</v>
      </c>
      <c r="ES19" s="13">
        <f>IF('CAPEX Schedule'!ES6=1,$B$19,0)</f>
        <v>0</v>
      </c>
      <c r="ET19" s="13">
        <f>IF('CAPEX Schedule'!ET6=1,$B$19,0)</f>
        <v>0</v>
      </c>
      <c r="EU19" s="13">
        <f>IF('CAPEX Schedule'!EU6=1,$B$19,0)</f>
        <v>0</v>
      </c>
      <c r="EV19" s="13">
        <f>IF('CAPEX Schedule'!EV6=1,$B$19,0)</f>
        <v>0</v>
      </c>
      <c r="EW19" s="13">
        <f>IF('CAPEX Schedule'!EW6=1,$B$19,0)</f>
        <v>0</v>
      </c>
      <c r="EX19" s="13">
        <f>IF('CAPEX Schedule'!EX6=1,$B$19,0)</f>
        <v>0</v>
      </c>
      <c r="EY19" s="13">
        <f>IF('CAPEX Schedule'!EY6=1,$B$19,0)</f>
        <v>0</v>
      </c>
      <c r="EZ19" s="13">
        <f>IF('CAPEX Schedule'!EZ6=1,$B$19,0)</f>
        <v>0</v>
      </c>
      <c r="FA19" s="13">
        <f>IF('CAPEX Schedule'!FA6=1,$B$19,0)</f>
        <v>0</v>
      </c>
      <c r="FB19" s="13">
        <f>IF('CAPEX Schedule'!FB6=1,$B$19,0)</f>
        <v>0</v>
      </c>
      <c r="FC19" s="13">
        <f>IF('CAPEX Schedule'!FC6=1,$B$19,0)</f>
        <v>0</v>
      </c>
      <c r="FD19" s="13">
        <f>IF('CAPEX Schedule'!FD6=1,$B$19,0)</f>
        <v>0</v>
      </c>
      <c r="FE19" s="13">
        <f>IF('CAPEX Schedule'!FE6=1,$B$19,0)</f>
        <v>0</v>
      </c>
      <c r="FF19" s="13">
        <f>IF('CAPEX Schedule'!FF6=1,$B$19,0)</f>
        <v>0</v>
      </c>
      <c r="FG19" s="13">
        <f>IF('CAPEX Schedule'!FG6=1,$B$19,0)</f>
        <v>0</v>
      </c>
      <c r="FH19" s="13">
        <f>IF('CAPEX Schedule'!FH6=1,$B$19,0)</f>
        <v>0</v>
      </c>
      <c r="FI19" s="13">
        <f>IF('CAPEX Schedule'!FI6=1,$B$19,0)</f>
        <v>0</v>
      </c>
      <c r="FJ19" s="13">
        <f>IF('CAPEX Schedule'!FJ6=1,$B$19,0)</f>
        <v>0</v>
      </c>
      <c r="FK19" s="13">
        <f>IF('CAPEX Schedule'!FK6=1,$B$19,0)</f>
        <v>0</v>
      </c>
      <c r="FL19" s="13">
        <f>IF('CAPEX Schedule'!FL6=1,$B$19,0)</f>
        <v>0</v>
      </c>
      <c r="FM19" s="13">
        <f>IF('CAPEX Schedule'!FM6=1,$B$19,0)</f>
        <v>0</v>
      </c>
      <c r="FN19" s="13">
        <f>IF('CAPEX Schedule'!FN6=1,$B$19,0)</f>
        <v>0</v>
      </c>
      <c r="FO19" s="13">
        <f>IF('CAPEX Schedule'!FO6=1,$B$19,0)</f>
        <v>0</v>
      </c>
      <c r="FP19" s="13">
        <f>IF('CAPEX Schedule'!FP6=1,$B$19,0)</f>
        <v>0</v>
      </c>
      <c r="FQ19" s="13">
        <f>IF('CAPEX Schedule'!FQ6=1,$B$19,0)</f>
        <v>0</v>
      </c>
      <c r="FR19" s="13">
        <f>IF('CAPEX Schedule'!FR6=1,$B$19,0)</f>
        <v>0</v>
      </c>
      <c r="FS19" s="13">
        <f>IF('CAPEX Schedule'!FS6=1,$B$19,0)</f>
        <v>0</v>
      </c>
      <c r="FT19" s="13">
        <f>IF('CAPEX Schedule'!FT6=1,$B$19,0)</f>
        <v>0</v>
      </c>
      <c r="FU19" s="13">
        <f>IF('CAPEX Schedule'!FU6=1,$B$19,0)</f>
        <v>0</v>
      </c>
      <c r="FV19" s="13">
        <f>IF('CAPEX Schedule'!FV6=1,$B$19,0)</f>
        <v>0</v>
      </c>
      <c r="FW19" s="13">
        <f>IF('CAPEX Schedule'!FW6=1,$B$19,0)</f>
        <v>0</v>
      </c>
      <c r="FX19" s="13">
        <f>IF('CAPEX Schedule'!FX6=1,$B$19,0)</f>
        <v>0</v>
      </c>
      <c r="FY19" s="13">
        <f>IF('CAPEX Schedule'!FY6=1,$B$19,0)</f>
        <v>0</v>
      </c>
      <c r="FZ19" s="13">
        <f>IF('CAPEX Schedule'!FZ6=1,$B$19,0)</f>
        <v>0</v>
      </c>
      <c r="GA19" s="13">
        <f>IF('CAPEX Schedule'!GA6=1,$B$19,0)</f>
        <v>0</v>
      </c>
      <c r="GB19" s="13">
        <f>IF('CAPEX Schedule'!GB6=1,$B$19,0)</f>
        <v>0</v>
      </c>
      <c r="GC19" s="13">
        <f>IF('CAPEX Schedule'!GC6=1,$B$19,0)</f>
        <v>0</v>
      </c>
      <c r="GD19" s="13">
        <f>IF('CAPEX Schedule'!GD6=1,$B$19,0)</f>
        <v>0</v>
      </c>
      <c r="GE19" s="13">
        <f>IF('CAPEX Schedule'!GE6=1,$B$19,0)</f>
        <v>0</v>
      </c>
      <c r="GF19" s="13">
        <f>IF('CAPEX Schedule'!GF6=1,$B$19,0)</f>
        <v>0</v>
      </c>
      <c r="GG19" s="13">
        <f>IF('CAPEX Schedule'!GG6=1,$B$19,0)</f>
        <v>0</v>
      </c>
      <c r="GH19" s="13">
        <f>IF('CAPEX Schedule'!GH6=1,$B$19,0)</f>
        <v>0</v>
      </c>
      <c r="GI19" s="13">
        <f>IF('CAPEX Schedule'!GI6=1,$B$19,0)</f>
        <v>0</v>
      </c>
      <c r="GJ19" s="13">
        <f>IF('CAPEX Schedule'!GJ6=1,$B$19,0)</f>
        <v>0</v>
      </c>
      <c r="GK19" s="13">
        <f>IF('CAPEX Schedule'!GK6=1,$B$19,0)</f>
        <v>0</v>
      </c>
      <c r="GL19" s="13">
        <f>IF('CAPEX Schedule'!GL6=1,$B$19,0)</f>
        <v>0</v>
      </c>
      <c r="GM19" s="13">
        <f>IF('CAPEX Schedule'!GM6=1,$B$19,0)</f>
        <v>0</v>
      </c>
      <c r="GN19" s="13">
        <f>IF('CAPEX Schedule'!GN6=1,$B$19,0)</f>
        <v>0</v>
      </c>
      <c r="GO19" s="13">
        <f>IF('CAPEX Schedule'!GO6=1,$B$19,0)</f>
        <v>0</v>
      </c>
      <c r="GP19" s="13">
        <f>IF('CAPEX Schedule'!GP6=1,$B$19,0)</f>
        <v>0</v>
      </c>
      <c r="GQ19" s="13">
        <f>IF('CAPEX Schedule'!GQ6=1,$B$19,0)</f>
        <v>0</v>
      </c>
      <c r="GR19" s="13">
        <f>IF('CAPEX Schedule'!GR6=1,$B$19,0)</f>
        <v>0</v>
      </c>
      <c r="GS19" s="13">
        <f>IF('CAPEX Schedule'!GS6=1,$B$19,0)</f>
        <v>0</v>
      </c>
      <c r="GT19" s="13">
        <f>IF('CAPEX Schedule'!GT6=1,$B$19,0)</f>
        <v>0</v>
      </c>
      <c r="GU19" s="13">
        <f>IF('CAPEX Schedule'!GU6=1,$B$19,0)</f>
        <v>0</v>
      </c>
      <c r="GV19" s="13">
        <f>IF('CAPEX Schedule'!GV6=1,$B$19,0)</f>
        <v>0</v>
      </c>
      <c r="GW19" s="13">
        <f>IF('CAPEX Schedule'!GW6=1,$B$19,0)</f>
        <v>0</v>
      </c>
      <c r="GX19" s="13">
        <f>IF('CAPEX Schedule'!GX6=1,$B$19,0)</f>
        <v>0</v>
      </c>
      <c r="GY19" s="13">
        <f>IF('CAPEX Schedule'!GY6=1,$B$19,0)</f>
        <v>0</v>
      </c>
      <c r="GZ19" s="13">
        <f>IF('CAPEX Schedule'!GZ6=1,$B$19,0)</f>
        <v>0</v>
      </c>
      <c r="HA19" s="13">
        <f>IF('CAPEX Schedule'!HA6=1,$B$19,0)</f>
        <v>0</v>
      </c>
      <c r="HB19" s="13">
        <f>IF('CAPEX Schedule'!HB6=1,$B$19,0)</f>
        <v>0</v>
      </c>
      <c r="HC19" s="13">
        <f>IF('CAPEX Schedule'!HC6=1,$B$19,0)</f>
        <v>0</v>
      </c>
      <c r="HD19" s="13">
        <f>IF('CAPEX Schedule'!HD6=1,$B$19,0)</f>
        <v>0</v>
      </c>
      <c r="HE19" s="13">
        <f>IF('CAPEX Schedule'!HE6=1,$B$19,0)</f>
        <v>0</v>
      </c>
      <c r="HF19" s="13">
        <f>IF('CAPEX Schedule'!HF6=1,$B$19,0)</f>
        <v>0</v>
      </c>
      <c r="HG19" s="13">
        <f>IF('CAPEX Schedule'!HG6=1,$B$19,0)</f>
        <v>0</v>
      </c>
      <c r="HH19" s="13">
        <f>IF('CAPEX Schedule'!HH6=1,$B$19,0)</f>
        <v>0</v>
      </c>
      <c r="HI19" s="13">
        <f>IF('CAPEX Schedule'!HI6=1,$B$19,0)</f>
        <v>0</v>
      </c>
      <c r="HJ19" s="13">
        <f>IF('CAPEX Schedule'!HJ6=1,$B$19,0)</f>
        <v>0</v>
      </c>
      <c r="HK19" s="13">
        <f>IF('CAPEX Schedule'!HK6=1,$B$19,0)</f>
        <v>0</v>
      </c>
      <c r="HL19" s="13">
        <f>IF('CAPEX Schedule'!HL6=1,$B$19,0)</f>
        <v>0</v>
      </c>
      <c r="HM19" s="13">
        <f>IF('CAPEX Schedule'!HM6=1,$B$19,0)</f>
        <v>0</v>
      </c>
      <c r="HN19" s="13">
        <f>IF('CAPEX Schedule'!HN6=1,$B$19,0)</f>
        <v>0</v>
      </c>
      <c r="HO19" s="13">
        <f>IF('CAPEX Schedule'!HO6=1,$B$19,0)</f>
        <v>0</v>
      </c>
      <c r="HP19" s="13">
        <f>IF('CAPEX Schedule'!HP6=1,$B$19,0)</f>
        <v>0</v>
      </c>
      <c r="HQ19" s="13">
        <f>IF('CAPEX Schedule'!HQ6=1,$B$19,0)</f>
        <v>0</v>
      </c>
      <c r="HR19" s="13">
        <f>IF('CAPEX Schedule'!HR6=1,$B$19,0)</f>
        <v>0</v>
      </c>
      <c r="HS19" s="13">
        <f>IF('CAPEX Schedule'!HS6=1,$B$19,0)</f>
        <v>0</v>
      </c>
      <c r="HT19" s="13">
        <f>IF('CAPEX Schedule'!HT6=1,$B$19,0)</f>
        <v>0</v>
      </c>
      <c r="HU19" s="13">
        <f>IF('CAPEX Schedule'!HU6=1,$B$19,0)</f>
        <v>0</v>
      </c>
      <c r="HV19" s="13">
        <f>IF('CAPEX Schedule'!HV6=1,$B$19,0)</f>
        <v>0</v>
      </c>
      <c r="HW19" s="13">
        <f>IF('CAPEX Schedule'!HW6=1,$B$19,0)</f>
        <v>0</v>
      </c>
      <c r="HX19" s="13">
        <f>IF('CAPEX Schedule'!HX6=1,$B$19,0)</f>
        <v>0</v>
      </c>
      <c r="HY19" s="13">
        <f>IF('CAPEX Schedule'!HY6=1,$B$19,0)</f>
        <v>0</v>
      </c>
      <c r="HZ19" s="13">
        <f>IF('CAPEX Schedule'!HZ6=1,$B$19,0)</f>
        <v>0</v>
      </c>
      <c r="IA19" s="13">
        <f>IF('CAPEX Schedule'!IA6=1,$B$19,0)</f>
        <v>0</v>
      </c>
      <c r="IB19" s="13">
        <f>IF('CAPEX Schedule'!IB6=1,$B$19,0)</f>
        <v>0</v>
      </c>
      <c r="IC19" s="13">
        <f>IF('CAPEX Schedule'!IC6=1,$B$19,0)</f>
        <v>0</v>
      </c>
      <c r="ID19" s="13">
        <f>IF('CAPEX Schedule'!ID6=1,$B$19,0)</f>
        <v>0</v>
      </c>
      <c r="IE19" s="13">
        <f>IF('CAPEX Schedule'!IE6=1,$B$19,0)</f>
        <v>0</v>
      </c>
      <c r="IF19" s="13">
        <f>IF('CAPEX Schedule'!IF6=1,$B$19,0)</f>
        <v>0</v>
      </c>
      <c r="IG19" s="13">
        <f>IF('CAPEX Schedule'!IG6=1,$B$19,0)</f>
        <v>0</v>
      </c>
      <c r="IH19" s="13">
        <f>IF('CAPEX Schedule'!IH6=1,$B$19,0)</f>
        <v>0</v>
      </c>
      <c r="II19" s="69">
        <f t="shared" ref="II19:II38" si="314">SUM(C19:IH19)</f>
        <v>1800000</v>
      </c>
    </row>
    <row r="20" spans="1:243" x14ac:dyDescent="0.45">
      <c r="A20" s="16" t="s">
        <v>424</v>
      </c>
      <c r="B20" s="18">
        <v>10000</v>
      </c>
      <c r="C20" s="13">
        <f>$B20*C$9</f>
        <v>2500</v>
      </c>
      <c r="D20" s="13">
        <f t="shared" ref="D20:BO21" si="315">$B20*D$9</f>
        <v>2500</v>
      </c>
      <c r="E20" s="13">
        <f t="shared" si="315"/>
        <v>2500</v>
      </c>
      <c r="F20" s="13">
        <f t="shared" si="315"/>
        <v>2500</v>
      </c>
      <c r="G20" s="13">
        <f t="shared" si="315"/>
        <v>2500</v>
      </c>
      <c r="H20" s="13">
        <f t="shared" si="315"/>
        <v>2500</v>
      </c>
      <c r="I20" s="13">
        <f t="shared" si="315"/>
        <v>2500</v>
      </c>
      <c r="J20" s="13">
        <f t="shared" si="315"/>
        <v>2500</v>
      </c>
      <c r="K20" s="13">
        <f t="shared" si="315"/>
        <v>2500</v>
      </c>
      <c r="L20" s="13">
        <f t="shared" si="315"/>
        <v>2500</v>
      </c>
      <c r="M20" s="13">
        <f t="shared" si="315"/>
        <v>2500</v>
      </c>
      <c r="N20" s="13">
        <f t="shared" si="315"/>
        <v>2500</v>
      </c>
      <c r="O20" s="13">
        <f t="shared" si="315"/>
        <v>2500</v>
      </c>
      <c r="P20" s="13">
        <f t="shared" si="315"/>
        <v>2500</v>
      </c>
      <c r="Q20" s="13">
        <f t="shared" si="315"/>
        <v>2500</v>
      </c>
      <c r="R20" s="13">
        <f t="shared" si="315"/>
        <v>2500</v>
      </c>
      <c r="S20" s="13">
        <f t="shared" si="315"/>
        <v>2500</v>
      </c>
      <c r="T20" s="13">
        <f t="shared" si="315"/>
        <v>2500</v>
      </c>
      <c r="U20" s="13">
        <f t="shared" si="315"/>
        <v>2500</v>
      </c>
      <c r="V20" s="13">
        <f t="shared" si="315"/>
        <v>2500</v>
      </c>
      <c r="W20" s="13">
        <f t="shared" si="315"/>
        <v>2500</v>
      </c>
      <c r="X20" s="13">
        <f t="shared" si="315"/>
        <v>2500</v>
      </c>
      <c r="Y20" s="13">
        <f t="shared" si="315"/>
        <v>2500</v>
      </c>
      <c r="Z20" s="13">
        <f t="shared" si="315"/>
        <v>2500</v>
      </c>
      <c r="AA20" s="13">
        <f t="shared" si="315"/>
        <v>7500</v>
      </c>
      <c r="AB20" s="13">
        <f t="shared" si="315"/>
        <v>7500</v>
      </c>
      <c r="AC20" s="13">
        <f t="shared" si="315"/>
        <v>7500</v>
      </c>
      <c r="AD20" s="13">
        <f t="shared" si="315"/>
        <v>7500</v>
      </c>
      <c r="AE20" s="13">
        <f t="shared" si="315"/>
        <v>7500</v>
      </c>
      <c r="AF20" s="13">
        <f t="shared" si="315"/>
        <v>7500</v>
      </c>
      <c r="AG20" s="13">
        <f t="shared" si="315"/>
        <v>7500</v>
      </c>
      <c r="AH20" s="13">
        <f t="shared" si="315"/>
        <v>7500</v>
      </c>
      <c r="AI20" s="13">
        <f t="shared" si="315"/>
        <v>7500</v>
      </c>
      <c r="AJ20" s="13">
        <f t="shared" si="315"/>
        <v>7500</v>
      </c>
      <c r="AK20" s="13">
        <f t="shared" si="315"/>
        <v>7500</v>
      </c>
      <c r="AL20" s="13">
        <f t="shared" si="315"/>
        <v>7500</v>
      </c>
      <c r="AM20" s="13">
        <f t="shared" si="315"/>
        <v>7500</v>
      </c>
      <c r="AN20" s="13">
        <f t="shared" si="315"/>
        <v>7500</v>
      </c>
      <c r="AO20" s="13">
        <f t="shared" si="315"/>
        <v>7500</v>
      </c>
      <c r="AP20" s="13">
        <f t="shared" si="315"/>
        <v>7500</v>
      </c>
      <c r="AQ20" s="13">
        <f t="shared" si="315"/>
        <v>7500</v>
      </c>
      <c r="AR20" s="13">
        <f t="shared" si="315"/>
        <v>7500</v>
      </c>
      <c r="AS20" s="13">
        <f t="shared" si="315"/>
        <v>7500</v>
      </c>
      <c r="AT20" s="13">
        <f t="shared" si="315"/>
        <v>7500</v>
      </c>
      <c r="AU20" s="13">
        <f t="shared" si="315"/>
        <v>7500</v>
      </c>
      <c r="AV20" s="13">
        <f t="shared" si="315"/>
        <v>7500</v>
      </c>
      <c r="AW20" s="13">
        <f t="shared" si="315"/>
        <v>7500</v>
      </c>
      <c r="AX20" s="13">
        <f t="shared" si="315"/>
        <v>7500</v>
      </c>
      <c r="AY20" s="13">
        <f t="shared" si="315"/>
        <v>7500</v>
      </c>
      <c r="AZ20" s="13">
        <f t="shared" si="315"/>
        <v>7500</v>
      </c>
      <c r="BA20" s="13">
        <f t="shared" si="315"/>
        <v>7500</v>
      </c>
      <c r="BB20" s="13">
        <f t="shared" si="315"/>
        <v>7500</v>
      </c>
      <c r="BC20" s="13">
        <f t="shared" si="315"/>
        <v>7500</v>
      </c>
      <c r="BD20" s="13">
        <f t="shared" si="315"/>
        <v>7500</v>
      </c>
      <c r="BE20" s="13">
        <f t="shared" si="315"/>
        <v>7500</v>
      </c>
      <c r="BF20" s="13">
        <f t="shared" si="315"/>
        <v>7500</v>
      </c>
      <c r="BG20" s="13">
        <f t="shared" si="315"/>
        <v>7500</v>
      </c>
      <c r="BH20" s="13">
        <f t="shared" si="315"/>
        <v>7500</v>
      </c>
      <c r="BI20" s="13">
        <f t="shared" si="315"/>
        <v>7500</v>
      </c>
      <c r="BJ20" s="13">
        <f t="shared" si="315"/>
        <v>7500</v>
      </c>
      <c r="BK20" s="13">
        <f t="shared" si="315"/>
        <v>7500</v>
      </c>
      <c r="BL20" s="13">
        <f t="shared" si="315"/>
        <v>7500</v>
      </c>
      <c r="BM20" s="13">
        <f t="shared" si="315"/>
        <v>7500</v>
      </c>
      <c r="BN20" s="13">
        <f t="shared" si="315"/>
        <v>7500</v>
      </c>
      <c r="BO20" s="13">
        <f t="shared" si="315"/>
        <v>7500</v>
      </c>
      <c r="BP20" s="13">
        <f t="shared" ref="BP20:EA20" si="316">$B20*BP$9</f>
        <v>7500</v>
      </c>
      <c r="BQ20" s="13">
        <f t="shared" si="316"/>
        <v>7500</v>
      </c>
      <c r="BR20" s="13">
        <f t="shared" si="316"/>
        <v>7500</v>
      </c>
      <c r="BS20" s="13">
        <f t="shared" si="316"/>
        <v>7500</v>
      </c>
      <c r="BT20" s="13">
        <f t="shared" si="316"/>
        <v>7500</v>
      </c>
      <c r="BU20" s="13">
        <f t="shared" si="316"/>
        <v>7500</v>
      </c>
      <c r="BV20" s="13">
        <f t="shared" si="316"/>
        <v>7500</v>
      </c>
      <c r="BW20" s="13">
        <f t="shared" si="316"/>
        <v>10000</v>
      </c>
      <c r="BX20" s="13">
        <f t="shared" si="316"/>
        <v>10000</v>
      </c>
      <c r="BY20" s="13">
        <f t="shared" si="316"/>
        <v>10000</v>
      </c>
      <c r="BZ20" s="13">
        <f t="shared" si="316"/>
        <v>10000</v>
      </c>
      <c r="CA20" s="13">
        <f t="shared" si="316"/>
        <v>10000</v>
      </c>
      <c r="CB20" s="13">
        <f t="shared" si="316"/>
        <v>10000</v>
      </c>
      <c r="CC20" s="13">
        <f t="shared" si="316"/>
        <v>10000</v>
      </c>
      <c r="CD20" s="13">
        <f t="shared" si="316"/>
        <v>10000</v>
      </c>
      <c r="CE20" s="13">
        <f t="shared" si="316"/>
        <v>10000</v>
      </c>
      <c r="CF20" s="13">
        <f t="shared" si="316"/>
        <v>10000</v>
      </c>
      <c r="CG20" s="13">
        <f t="shared" si="316"/>
        <v>10000</v>
      </c>
      <c r="CH20" s="13">
        <f t="shared" si="316"/>
        <v>10000</v>
      </c>
      <c r="CI20" s="13">
        <f t="shared" si="316"/>
        <v>10000</v>
      </c>
      <c r="CJ20" s="13">
        <f t="shared" si="316"/>
        <v>10000</v>
      </c>
      <c r="CK20" s="13">
        <f t="shared" si="316"/>
        <v>10000</v>
      </c>
      <c r="CL20" s="13">
        <f t="shared" si="316"/>
        <v>10000</v>
      </c>
      <c r="CM20" s="13">
        <f t="shared" si="316"/>
        <v>10000</v>
      </c>
      <c r="CN20" s="13">
        <f t="shared" si="316"/>
        <v>10300</v>
      </c>
      <c r="CO20" s="13">
        <f t="shared" si="316"/>
        <v>10300</v>
      </c>
      <c r="CP20" s="13">
        <f t="shared" si="316"/>
        <v>10300</v>
      </c>
      <c r="CQ20" s="13">
        <f t="shared" si="316"/>
        <v>10300</v>
      </c>
      <c r="CR20" s="13">
        <f t="shared" si="316"/>
        <v>10300</v>
      </c>
      <c r="CS20" s="13">
        <f t="shared" si="316"/>
        <v>10300</v>
      </c>
      <c r="CT20" s="13">
        <f t="shared" si="316"/>
        <v>10300</v>
      </c>
      <c r="CU20" s="13">
        <f t="shared" si="316"/>
        <v>10600</v>
      </c>
      <c r="CV20" s="13">
        <f t="shared" si="316"/>
        <v>10600</v>
      </c>
      <c r="CW20" s="13">
        <f t="shared" si="316"/>
        <v>10600</v>
      </c>
      <c r="CX20" s="13">
        <f t="shared" si="316"/>
        <v>10600</v>
      </c>
      <c r="CY20" s="13">
        <f t="shared" si="316"/>
        <v>10600</v>
      </c>
      <c r="CZ20" s="13">
        <f t="shared" si="316"/>
        <v>10600</v>
      </c>
      <c r="DA20" s="13">
        <f t="shared" si="316"/>
        <v>10600</v>
      </c>
      <c r="DB20" s="13">
        <f t="shared" si="316"/>
        <v>10600</v>
      </c>
      <c r="DC20" s="13">
        <f t="shared" si="316"/>
        <v>10600</v>
      </c>
      <c r="DD20" s="13">
        <f t="shared" si="316"/>
        <v>10600</v>
      </c>
      <c r="DE20" s="13">
        <f t="shared" si="316"/>
        <v>10600</v>
      </c>
      <c r="DF20" s="13">
        <f t="shared" si="316"/>
        <v>10600</v>
      </c>
      <c r="DG20" s="13">
        <f t="shared" si="316"/>
        <v>10900</v>
      </c>
      <c r="DH20" s="13">
        <f t="shared" si="316"/>
        <v>10900</v>
      </c>
      <c r="DI20" s="13">
        <f t="shared" si="316"/>
        <v>10900</v>
      </c>
      <c r="DJ20" s="13">
        <f t="shared" si="316"/>
        <v>10900</v>
      </c>
      <c r="DK20" s="13">
        <f t="shared" si="316"/>
        <v>10900</v>
      </c>
      <c r="DL20" s="13">
        <f t="shared" si="316"/>
        <v>10900</v>
      </c>
      <c r="DM20" s="13">
        <f t="shared" si="316"/>
        <v>10900</v>
      </c>
      <c r="DN20" s="13">
        <f t="shared" si="316"/>
        <v>10900</v>
      </c>
      <c r="DO20" s="13">
        <f t="shared" si="316"/>
        <v>10900</v>
      </c>
      <c r="DP20" s="13">
        <f t="shared" si="316"/>
        <v>10900</v>
      </c>
      <c r="DQ20" s="13">
        <f t="shared" si="316"/>
        <v>10900</v>
      </c>
      <c r="DR20" s="13">
        <f t="shared" si="316"/>
        <v>10900</v>
      </c>
      <c r="DS20" s="13">
        <f t="shared" si="316"/>
        <v>11200.000000000002</v>
      </c>
      <c r="DT20" s="13">
        <f t="shared" si="316"/>
        <v>11200.000000000002</v>
      </c>
      <c r="DU20" s="13">
        <f t="shared" si="316"/>
        <v>11200.000000000002</v>
      </c>
      <c r="DV20" s="13">
        <f t="shared" si="316"/>
        <v>11200.000000000002</v>
      </c>
      <c r="DW20" s="13">
        <f t="shared" si="316"/>
        <v>11200.000000000002</v>
      </c>
      <c r="DX20" s="13">
        <f t="shared" si="316"/>
        <v>11200.000000000002</v>
      </c>
      <c r="DY20" s="13">
        <f t="shared" si="316"/>
        <v>11200.000000000002</v>
      </c>
      <c r="DZ20" s="13">
        <f t="shared" si="316"/>
        <v>11200.000000000002</v>
      </c>
      <c r="EA20" s="13">
        <f t="shared" si="316"/>
        <v>11200.000000000002</v>
      </c>
      <c r="EB20" s="13">
        <f t="shared" ref="EB20:FZ22" si="317">$B20*EB$9</f>
        <v>11200.000000000002</v>
      </c>
      <c r="EC20" s="13">
        <f t="shared" si="317"/>
        <v>11200.000000000002</v>
      </c>
      <c r="ED20" s="13">
        <f t="shared" si="317"/>
        <v>11200.000000000002</v>
      </c>
      <c r="EE20" s="13">
        <f t="shared" si="317"/>
        <v>11500.000000000002</v>
      </c>
      <c r="EF20" s="13">
        <f t="shared" si="317"/>
        <v>11500.000000000002</v>
      </c>
      <c r="EG20" s="13">
        <f t="shared" si="317"/>
        <v>11500.000000000002</v>
      </c>
      <c r="EH20" s="13">
        <f t="shared" si="317"/>
        <v>11500.000000000002</v>
      </c>
      <c r="EI20" s="13">
        <f t="shared" si="317"/>
        <v>11500.000000000002</v>
      </c>
      <c r="EJ20" s="13">
        <f t="shared" si="317"/>
        <v>11500.000000000002</v>
      </c>
      <c r="EK20" s="13">
        <f t="shared" si="317"/>
        <v>11500.000000000002</v>
      </c>
      <c r="EL20" s="13">
        <f t="shared" si="317"/>
        <v>11500.000000000002</v>
      </c>
      <c r="EM20" s="13">
        <f t="shared" si="317"/>
        <v>11500.000000000002</v>
      </c>
      <c r="EN20" s="13">
        <f t="shared" si="317"/>
        <v>11500.000000000002</v>
      </c>
      <c r="EO20" s="13">
        <f t="shared" si="317"/>
        <v>11500.000000000002</v>
      </c>
      <c r="EP20" s="13">
        <f t="shared" si="317"/>
        <v>11500.000000000002</v>
      </c>
      <c r="EQ20" s="13">
        <f t="shared" si="317"/>
        <v>11800.000000000002</v>
      </c>
      <c r="ER20" s="13">
        <f t="shared" si="317"/>
        <v>11800.000000000002</v>
      </c>
      <c r="ES20" s="13">
        <f t="shared" si="317"/>
        <v>11800.000000000002</v>
      </c>
      <c r="ET20" s="13">
        <f t="shared" si="317"/>
        <v>11800.000000000002</v>
      </c>
      <c r="EU20" s="13">
        <f t="shared" si="317"/>
        <v>11800.000000000002</v>
      </c>
      <c r="EV20" s="13">
        <f t="shared" si="317"/>
        <v>11800.000000000002</v>
      </c>
      <c r="EW20" s="13">
        <f t="shared" si="317"/>
        <v>11800.000000000002</v>
      </c>
      <c r="EX20" s="13">
        <f t="shared" si="317"/>
        <v>11800.000000000002</v>
      </c>
      <c r="EY20" s="13">
        <f t="shared" si="317"/>
        <v>11800.000000000002</v>
      </c>
      <c r="EZ20" s="13">
        <f t="shared" si="317"/>
        <v>11800.000000000002</v>
      </c>
      <c r="FA20" s="13">
        <f t="shared" si="317"/>
        <v>11800.000000000002</v>
      </c>
      <c r="FB20" s="13">
        <f t="shared" si="317"/>
        <v>11800.000000000002</v>
      </c>
      <c r="FC20" s="13">
        <f t="shared" si="317"/>
        <v>12100.000000000002</v>
      </c>
      <c r="FD20" s="13">
        <f t="shared" si="317"/>
        <v>12100.000000000002</v>
      </c>
      <c r="FE20" s="13">
        <f t="shared" si="317"/>
        <v>12100.000000000002</v>
      </c>
      <c r="FF20" s="13">
        <f t="shared" si="317"/>
        <v>12100.000000000002</v>
      </c>
      <c r="FG20" s="13">
        <f t="shared" si="317"/>
        <v>12100.000000000002</v>
      </c>
      <c r="FH20" s="13">
        <f t="shared" si="317"/>
        <v>12100.000000000002</v>
      </c>
      <c r="FI20" s="13">
        <f t="shared" si="317"/>
        <v>12100.000000000002</v>
      </c>
      <c r="FJ20" s="13">
        <f t="shared" si="317"/>
        <v>12100.000000000002</v>
      </c>
      <c r="FK20" s="13">
        <f t="shared" si="317"/>
        <v>12100.000000000002</v>
      </c>
      <c r="FL20" s="13">
        <f t="shared" si="317"/>
        <v>12100.000000000002</v>
      </c>
      <c r="FM20" s="13">
        <f t="shared" si="317"/>
        <v>12100.000000000002</v>
      </c>
      <c r="FN20" s="13">
        <f t="shared" si="317"/>
        <v>12100.000000000002</v>
      </c>
      <c r="FO20" s="13">
        <f t="shared" si="317"/>
        <v>12400.000000000002</v>
      </c>
      <c r="FP20" s="13">
        <f t="shared" si="317"/>
        <v>12400.000000000002</v>
      </c>
      <c r="FQ20" s="13">
        <f t="shared" si="317"/>
        <v>12400.000000000002</v>
      </c>
      <c r="FR20" s="13">
        <f t="shared" si="317"/>
        <v>12400.000000000002</v>
      </c>
      <c r="FS20" s="13">
        <f t="shared" si="317"/>
        <v>12400.000000000002</v>
      </c>
      <c r="FT20" s="13">
        <f t="shared" si="317"/>
        <v>12400.000000000002</v>
      </c>
      <c r="FU20" s="13">
        <f t="shared" si="317"/>
        <v>12400.000000000002</v>
      </c>
      <c r="FV20" s="13">
        <f t="shared" si="317"/>
        <v>12400.000000000002</v>
      </c>
      <c r="FW20" s="13">
        <f t="shared" si="317"/>
        <v>12400.000000000002</v>
      </c>
      <c r="FX20" s="13">
        <f t="shared" si="317"/>
        <v>12400.000000000002</v>
      </c>
      <c r="FY20" s="13">
        <f t="shared" si="317"/>
        <v>12400.000000000002</v>
      </c>
      <c r="FZ20" s="13">
        <f t="shared" si="317"/>
        <v>12400.000000000002</v>
      </c>
      <c r="GA20" s="13">
        <f t="shared" ref="GA20:IH23" si="318">$B20*GA$9</f>
        <v>12700.000000000002</v>
      </c>
      <c r="GB20" s="13">
        <f t="shared" si="318"/>
        <v>12700.000000000002</v>
      </c>
      <c r="GC20" s="13">
        <f t="shared" si="318"/>
        <v>12700.000000000002</v>
      </c>
      <c r="GD20" s="13">
        <f t="shared" si="318"/>
        <v>12700.000000000002</v>
      </c>
      <c r="GE20" s="13">
        <f t="shared" si="318"/>
        <v>12700.000000000002</v>
      </c>
      <c r="GF20" s="13">
        <f t="shared" si="318"/>
        <v>12700.000000000002</v>
      </c>
      <c r="GG20" s="13">
        <f t="shared" si="318"/>
        <v>12700.000000000002</v>
      </c>
      <c r="GH20" s="13">
        <f t="shared" si="318"/>
        <v>12700.000000000002</v>
      </c>
      <c r="GI20" s="13">
        <f t="shared" si="318"/>
        <v>12700.000000000002</v>
      </c>
      <c r="GJ20" s="13">
        <f t="shared" si="318"/>
        <v>12700.000000000002</v>
      </c>
      <c r="GK20" s="13">
        <f t="shared" si="318"/>
        <v>12700.000000000002</v>
      </c>
      <c r="GL20" s="13">
        <f t="shared" si="318"/>
        <v>12700.000000000002</v>
      </c>
      <c r="GM20" s="13">
        <f t="shared" si="318"/>
        <v>13000.000000000002</v>
      </c>
      <c r="GN20" s="13">
        <f t="shared" si="318"/>
        <v>13000.000000000002</v>
      </c>
      <c r="GO20" s="13">
        <f t="shared" si="318"/>
        <v>13000.000000000002</v>
      </c>
      <c r="GP20" s="13">
        <f t="shared" ref="GP20:IH20" si="319">$B20*GP$9</f>
        <v>13000.000000000002</v>
      </c>
      <c r="GQ20" s="13">
        <f t="shared" si="319"/>
        <v>13000.000000000002</v>
      </c>
      <c r="GR20" s="13">
        <f t="shared" si="319"/>
        <v>13000.000000000002</v>
      </c>
      <c r="GS20" s="13">
        <f t="shared" si="319"/>
        <v>13000.000000000002</v>
      </c>
      <c r="GT20" s="13">
        <f t="shared" si="319"/>
        <v>13000.000000000002</v>
      </c>
      <c r="GU20" s="13">
        <f t="shared" si="319"/>
        <v>13000.000000000002</v>
      </c>
      <c r="GV20" s="13">
        <f t="shared" si="319"/>
        <v>13000.000000000002</v>
      </c>
      <c r="GW20" s="13">
        <f t="shared" si="319"/>
        <v>13000.000000000002</v>
      </c>
      <c r="GX20" s="13">
        <f t="shared" si="319"/>
        <v>13000.000000000002</v>
      </c>
      <c r="GY20" s="13">
        <f t="shared" si="319"/>
        <v>13300.000000000004</v>
      </c>
      <c r="GZ20" s="13">
        <f t="shared" si="319"/>
        <v>13300.000000000004</v>
      </c>
      <c r="HA20" s="13">
        <f t="shared" si="319"/>
        <v>13300.000000000004</v>
      </c>
      <c r="HB20" s="13">
        <f t="shared" si="319"/>
        <v>13300.000000000004</v>
      </c>
      <c r="HC20" s="13">
        <f t="shared" si="319"/>
        <v>13300.000000000004</v>
      </c>
      <c r="HD20" s="13">
        <f t="shared" si="319"/>
        <v>13300.000000000004</v>
      </c>
      <c r="HE20" s="13">
        <f t="shared" si="319"/>
        <v>13300.000000000004</v>
      </c>
      <c r="HF20" s="13">
        <f t="shared" si="319"/>
        <v>13300.000000000004</v>
      </c>
      <c r="HG20" s="13">
        <f t="shared" si="319"/>
        <v>13300.000000000004</v>
      </c>
      <c r="HH20" s="13">
        <f t="shared" si="319"/>
        <v>13300.000000000004</v>
      </c>
      <c r="HI20" s="13">
        <f t="shared" si="319"/>
        <v>13300.000000000004</v>
      </c>
      <c r="HJ20" s="13">
        <f t="shared" si="319"/>
        <v>13300.000000000004</v>
      </c>
      <c r="HK20" s="13">
        <f t="shared" si="319"/>
        <v>13300.000000000004</v>
      </c>
      <c r="HL20" s="13">
        <f t="shared" si="319"/>
        <v>13300.000000000004</v>
      </c>
      <c r="HM20" s="13">
        <f t="shared" si="319"/>
        <v>13300.000000000004</v>
      </c>
      <c r="HN20" s="13">
        <f t="shared" si="319"/>
        <v>13300.000000000004</v>
      </c>
      <c r="HO20" s="13">
        <f t="shared" si="319"/>
        <v>13300.000000000004</v>
      </c>
      <c r="HP20" s="13">
        <f t="shared" si="319"/>
        <v>13300.000000000004</v>
      </c>
      <c r="HQ20" s="13">
        <f t="shared" si="319"/>
        <v>13300.000000000004</v>
      </c>
      <c r="HR20" s="13">
        <f t="shared" si="319"/>
        <v>13300.000000000004</v>
      </c>
      <c r="HS20" s="13">
        <f t="shared" si="319"/>
        <v>13300.000000000004</v>
      </c>
      <c r="HT20" s="13">
        <f t="shared" si="319"/>
        <v>13300.000000000004</v>
      </c>
      <c r="HU20" s="13">
        <f t="shared" si="319"/>
        <v>13300.000000000004</v>
      </c>
      <c r="HV20" s="13">
        <f t="shared" si="319"/>
        <v>13300.000000000004</v>
      </c>
      <c r="HW20" s="13">
        <f t="shared" si="319"/>
        <v>13300.000000000004</v>
      </c>
      <c r="HX20" s="13">
        <f t="shared" si="319"/>
        <v>13300.000000000004</v>
      </c>
      <c r="HY20" s="13">
        <f t="shared" si="319"/>
        <v>13300.000000000004</v>
      </c>
      <c r="HZ20" s="13">
        <f t="shared" si="319"/>
        <v>13300.000000000004</v>
      </c>
      <c r="IA20" s="13">
        <f t="shared" si="319"/>
        <v>13300.000000000004</v>
      </c>
      <c r="IB20" s="13">
        <f t="shared" si="319"/>
        <v>13300.000000000004</v>
      </c>
      <c r="IC20" s="13">
        <f t="shared" si="319"/>
        <v>13300.000000000004</v>
      </c>
      <c r="ID20" s="13">
        <f t="shared" si="319"/>
        <v>13300.000000000004</v>
      </c>
      <c r="IE20" s="13">
        <f t="shared" si="319"/>
        <v>13300.000000000004</v>
      </c>
      <c r="IF20" s="13">
        <f t="shared" si="319"/>
        <v>13300.000000000004</v>
      </c>
      <c r="IG20" s="13">
        <f t="shared" si="319"/>
        <v>13300.000000000004</v>
      </c>
      <c r="IH20" s="13">
        <f t="shared" si="319"/>
        <v>13300.000000000004</v>
      </c>
      <c r="II20" s="69">
        <f t="shared" si="314"/>
        <v>2415300</v>
      </c>
    </row>
    <row r="21" spans="1:243" x14ac:dyDescent="0.45">
      <c r="A21" s="16" t="s">
        <v>237</v>
      </c>
      <c r="B21" s="18">
        <v>10000</v>
      </c>
      <c r="C21" s="13">
        <f t="shared" ref="C21:R35" si="320">$B21*C$9</f>
        <v>2500</v>
      </c>
      <c r="D21" s="13">
        <f t="shared" si="320"/>
        <v>2500</v>
      </c>
      <c r="E21" s="13">
        <f t="shared" si="320"/>
        <v>2500</v>
      </c>
      <c r="F21" s="13">
        <f t="shared" si="320"/>
        <v>2500</v>
      </c>
      <c r="G21" s="13">
        <f t="shared" si="320"/>
        <v>2500</v>
      </c>
      <c r="H21" s="13">
        <f t="shared" si="320"/>
        <v>2500</v>
      </c>
      <c r="I21" s="13">
        <f t="shared" si="320"/>
        <v>2500</v>
      </c>
      <c r="J21" s="13">
        <f t="shared" si="320"/>
        <v>2500</v>
      </c>
      <c r="K21" s="13">
        <f t="shared" si="320"/>
        <v>2500</v>
      </c>
      <c r="L21" s="13">
        <f t="shared" si="320"/>
        <v>2500</v>
      </c>
      <c r="M21" s="13">
        <f t="shared" si="320"/>
        <v>2500</v>
      </c>
      <c r="N21" s="13">
        <f t="shared" si="320"/>
        <v>2500</v>
      </c>
      <c r="O21" s="13">
        <f t="shared" si="320"/>
        <v>2500</v>
      </c>
      <c r="P21" s="13">
        <f t="shared" si="320"/>
        <v>2500</v>
      </c>
      <c r="Q21" s="13">
        <f t="shared" si="320"/>
        <v>2500</v>
      </c>
      <c r="R21" s="13">
        <f t="shared" si="320"/>
        <v>2500</v>
      </c>
      <c r="S21" s="13">
        <f t="shared" si="315"/>
        <v>2500</v>
      </c>
      <c r="T21" s="13">
        <f t="shared" si="315"/>
        <v>2500</v>
      </c>
      <c r="U21" s="13">
        <f t="shared" si="315"/>
        <v>2500</v>
      </c>
      <c r="V21" s="13">
        <f t="shared" si="315"/>
        <v>2500</v>
      </c>
      <c r="W21" s="13">
        <f t="shared" si="315"/>
        <v>2500</v>
      </c>
      <c r="X21" s="13">
        <f t="shared" si="315"/>
        <v>2500</v>
      </c>
      <c r="Y21" s="13">
        <f t="shared" si="315"/>
        <v>2500</v>
      </c>
      <c r="Z21" s="13">
        <f t="shared" si="315"/>
        <v>2500</v>
      </c>
      <c r="AA21" s="13">
        <f t="shared" si="315"/>
        <v>7500</v>
      </c>
      <c r="AB21" s="13">
        <f t="shared" si="315"/>
        <v>7500</v>
      </c>
      <c r="AC21" s="13">
        <f t="shared" si="315"/>
        <v>7500</v>
      </c>
      <c r="AD21" s="13">
        <f t="shared" si="315"/>
        <v>7500</v>
      </c>
      <c r="AE21" s="13">
        <f t="shared" si="315"/>
        <v>7500</v>
      </c>
      <c r="AF21" s="13">
        <f t="shared" si="315"/>
        <v>7500</v>
      </c>
      <c r="AG21" s="13">
        <f t="shared" si="315"/>
        <v>7500</v>
      </c>
      <c r="AH21" s="13">
        <f t="shared" si="315"/>
        <v>7500</v>
      </c>
      <c r="AI21" s="13">
        <f t="shared" si="315"/>
        <v>7500</v>
      </c>
      <c r="AJ21" s="13">
        <f t="shared" si="315"/>
        <v>7500</v>
      </c>
      <c r="AK21" s="13">
        <f t="shared" si="315"/>
        <v>7500</v>
      </c>
      <c r="AL21" s="13">
        <f t="shared" si="315"/>
        <v>7500</v>
      </c>
      <c r="AM21" s="13">
        <f t="shared" si="315"/>
        <v>7500</v>
      </c>
      <c r="AN21" s="13">
        <f t="shared" si="315"/>
        <v>7500</v>
      </c>
      <c r="AO21" s="13">
        <f t="shared" si="315"/>
        <v>7500</v>
      </c>
      <c r="AP21" s="13">
        <f t="shared" si="315"/>
        <v>7500</v>
      </c>
      <c r="AQ21" s="13">
        <f t="shared" si="315"/>
        <v>7500</v>
      </c>
      <c r="AR21" s="13">
        <f t="shared" si="315"/>
        <v>7500</v>
      </c>
      <c r="AS21" s="13">
        <f t="shared" si="315"/>
        <v>7500</v>
      </c>
      <c r="AT21" s="13">
        <f t="shared" si="315"/>
        <v>7500</v>
      </c>
      <c r="AU21" s="13">
        <f t="shared" si="315"/>
        <v>7500</v>
      </c>
      <c r="AV21" s="13">
        <f t="shared" si="315"/>
        <v>7500</v>
      </c>
      <c r="AW21" s="13">
        <f t="shared" si="315"/>
        <v>7500</v>
      </c>
      <c r="AX21" s="13">
        <f t="shared" si="315"/>
        <v>7500</v>
      </c>
      <c r="AY21" s="13">
        <f t="shared" si="315"/>
        <v>7500</v>
      </c>
      <c r="AZ21" s="13">
        <f t="shared" si="315"/>
        <v>7500</v>
      </c>
      <c r="BA21" s="13">
        <f t="shared" si="315"/>
        <v>7500</v>
      </c>
      <c r="BB21" s="13">
        <f t="shared" si="315"/>
        <v>7500</v>
      </c>
      <c r="BC21" s="13">
        <f t="shared" si="315"/>
        <v>7500</v>
      </c>
      <c r="BD21" s="13">
        <f t="shared" si="315"/>
        <v>7500</v>
      </c>
      <c r="BE21" s="13">
        <f t="shared" si="315"/>
        <v>7500</v>
      </c>
      <c r="BF21" s="13">
        <f t="shared" si="315"/>
        <v>7500</v>
      </c>
      <c r="BG21" s="13">
        <f t="shared" si="315"/>
        <v>7500</v>
      </c>
      <c r="BH21" s="13">
        <f t="shared" si="315"/>
        <v>7500</v>
      </c>
      <c r="BI21" s="13">
        <f t="shared" si="315"/>
        <v>7500</v>
      </c>
      <c r="BJ21" s="13">
        <f t="shared" si="315"/>
        <v>7500</v>
      </c>
      <c r="BK21" s="13">
        <f t="shared" si="315"/>
        <v>7500</v>
      </c>
      <c r="BL21" s="13">
        <f t="shared" si="315"/>
        <v>7500</v>
      </c>
      <c r="BM21" s="13">
        <f t="shared" si="315"/>
        <v>7500</v>
      </c>
      <c r="BN21" s="13">
        <f t="shared" si="315"/>
        <v>7500</v>
      </c>
      <c r="BO21" s="13">
        <f t="shared" si="315"/>
        <v>7500</v>
      </c>
      <c r="BP21" s="13">
        <f t="shared" ref="BP21:EA23" si="321">$B21*BP$9</f>
        <v>7500</v>
      </c>
      <c r="BQ21" s="13">
        <f t="shared" si="321"/>
        <v>7500</v>
      </c>
      <c r="BR21" s="13">
        <f t="shared" si="321"/>
        <v>7500</v>
      </c>
      <c r="BS21" s="13">
        <f t="shared" si="321"/>
        <v>7500</v>
      </c>
      <c r="BT21" s="13">
        <f t="shared" si="321"/>
        <v>7500</v>
      </c>
      <c r="BU21" s="13">
        <f t="shared" si="321"/>
        <v>7500</v>
      </c>
      <c r="BV21" s="13">
        <f t="shared" si="321"/>
        <v>7500</v>
      </c>
      <c r="BW21" s="13">
        <f t="shared" si="321"/>
        <v>10000</v>
      </c>
      <c r="BX21" s="13">
        <f t="shared" si="321"/>
        <v>10000</v>
      </c>
      <c r="BY21" s="13">
        <f t="shared" si="321"/>
        <v>10000</v>
      </c>
      <c r="BZ21" s="13">
        <f t="shared" si="321"/>
        <v>10000</v>
      </c>
      <c r="CA21" s="13">
        <f t="shared" si="321"/>
        <v>10000</v>
      </c>
      <c r="CB21" s="13">
        <f t="shared" si="321"/>
        <v>10000</v>
      </c>
      <c r="CC21" s="13">
        <f t="shared" si="321"/>
        <v>10000</v>
      </c>
      <c r="CD21" s="13">
        <f t="shared" si="321"/>
        <v>10000</v>
      </c>
      <c r="CE21" s="13">
        <f t="shared" si="321"/>
        <v>10000</v>
      </c>
      <c r="CF21" s="13">
        <f t="shared" si="321"/>
        <v>10000</v>
      </c>
      <c r="CG21" s="13">
        <f t="shared" si="321"/>
        <v>10000</v>
      </c>
      <c r="CH21" s="13">
        <f t="shared" si="321"/>
        <v>10000</v>
      </c>
      <c r="CI21" s="13">
        <f t="shared" si="321"/>
        <v>10000</v>
      </c>
      <c r="CJ21" s="13">
        <f t="shared" si="321"/>
        <v>10000</v>
      </c>
      <c r="CK21" s="13">
        <f t="shared" si="321"/>
        <v>10000</v>
      </c>
      <c r="CL21" s="13">
        <f t="shared" si="321"/>
        <v>10000</v>
      </c>
      <c r="CM21" s="13">
        <f t="shared" si="321"/>
        <v>10000</v>
      </c>
      <c r="CN21" s="13">
        <f t="shared" si="321"/>
        <v>10300</v>
      </c>
      <c r="CO21" s="13">
        <f t="shared" si="321"/>
        <v>10300</v>
      </c>
      <c r="CP21" s="13">
        <f t="shared" si="321"/>
        <v>10300</v>
      </c>
      <c r="CQ21" s="13">
        <f t="shared" si="321"/>
        <v>10300</v>
      </c>
      <c r="CR21" s="13">
        <f t="shared" si="321"/>
        <v>10300</v>
      </c>
      <c r="CS21" s="13">
        <f t="shared" si="321"/>
        <v>10300</v>
      </c>
      <c r="CT21" s="13">
        <f t="shared" si="321"/>
        <v>10300</v>
      </c>
      <c r="CU21" s="13">
        <f t="shared" si="321"/>
        <v>10600</v>
      </c>
      <c r="CV21" s="13">
        <f t="shared" si="321"/>
        <v>10600</v>
      </c>
      <c r="CW21" s="13">
        <f t="shared" si="321"/>
        <v>10600</v>
      </c>
      <c r="CX21" s="13">
        <f t="shared" si="321"/>
        <v>10600</v>
      </c>
      <c r="CY21" s="13">
        <f t="shared" si="321"/>
        <v>10600</v>
      </c>
      <c r="CZ21" s="13">
        <f t="shared" si="321"/>
        <v>10600</v>
      </c>
      <c r="DA21" s="13">
        <f t="shared" si="321"/>
        <v>10600</v>
      </c>
      <c r="DB21" s="13">
        <f t="shared" si="321"/>
        <v>10600</v>
      </c>
      <c r="DC21" s="13">
        <f t="shared" si="321"/>
        <v>10600</v>
      </c>
      <c r="DD21" s="13">
        <f t="shared" si="321"/>
        <v>10600</v>
      </c>
      <c r="DE21" s="13">
        <f t="shared" si="321"/>
        <v>10600</v>
      </c>
      <c r="DF21" s="13">
        <f t="shared" si="321"/>
        <v>10600</v>
      </c>
      <c r="DG21" s="13">
        <f t="shared" si="321"/>
        <v>10900</v>
      </c>
      <c r="DH21" s="13">
        <f t="shared" si="321"/>
        <v>10900</v>
      </c>
      <c r="DI21" s="13">
        <f t="shared" si="321"/>
        <v>10900</v>
      </c>
      <c r="DJ21" s="13">
        <f t="shared" si="321"/>
        <v>10900</v>
      </c>
      <c r="DK21" s="13">
        <f t="shared" si="321"/>
        <v>10900</v>
      </c>
      <c r="DL21" s="13">
        <f t="shared" si="321"/>
        <v>10900</v>
      </c>
      <c r="DM21" s="13">
        <f t="shared" si="321"/>
        <v>10900</v>
      </c>
      <c r="DN21" s="13">
        <f t="shared" si="321"/>
        <v>10900</v>
      </c>
      <c r="DO21" s="13">
        <f t="shared" si="321"/>
        <v>10900</v>
      </c>
      <c r="DP21" s="13">
        <f t="shared" si="321"/>
        <v>10900</v>
      </c>
      <c r="DQ21" s="13">
        <f t="shared" si="321"/>
        <v>10900</v>
      </c>
      <c r="DR21" s="13">
        <f t="shared" si="321"/>
        <v>10900</v>
      </c>
      <c r="DS21" s="13">
        <f t="shared" si="321"/>
        <v>11200.000000000002</v>
      </c>
      <c r="DT21" s="13">
        <f t="shared" si="321"/>
        <v>11200.000000000002</v>
      </c>
      <c r="DU21" s="13">
        <f t="shared" si="321"/>
        <v>11200.000000000002</v>
      </c>
      <c r="DV21" s="13">
        <f t="shared" si="321"/>
        <v>11200.000000000002</v>
      </c>
      <c r="DW21" s="13">
        <f t="shared" si="321"/>
        <v>11200.000000000002</v>
      </c>
      <c r="DX21" s="13">
        <f t="shared" si="321"/>
        <v>11200.000000000002</v>
      </c>
      <c r="DY21" s="13">
        <f t="shared" si="321"/>
        <v>11200.000000000002</v>
      </c>
      <c r="DZ21" s="13">
        <f t="shared" si="321"/>
        <v>11200.000000000002</v>
      </c>
      <c r="EA21" s="13">
        <f t="shared" si="321"/>
        <v>11200.000000000002</v>
      </c>
      <c r="EB21" s="13">
        <f t="shared" si="317"/>
        <v>11200.000000000002</v>
      </c>
      <c r="EC21" s="13">
        <f t="shared" si="317"/>
        <v>11200.000000000002</v>
      </c>
      <c r="ED21" s="13">
        <f t="shared" si="317"/>
        <v>11200.000000000002</v>
      </c>
      <c r="EE21" s="13">
        <f t="shared" si="317"/>
        <v>11500.000000000002</v>
      </c>
      <c r="EF21" s="13">
        <f t="shared" si="317"/>
        <v>11500.000000000002</v>
      </c>
      <c r="EG21" s="13">
        <f t="shared" si="317"/>
        <v>11500.000000000002</v>
      </c>
      <c r="EH21" s="13">
        <f t="shared" si="317"/>
        <v>11500.000000000002</v>
      </c>
      <c r="EI21" s="13">
        <f t="shared" si="317"/>
        <v>11500.000000000002</v>
      </c>
      <c r="EJ21" s="13">
        <f t="shared" si="317"/>
        <v>11500.000000000002</v>
      </c>
      <c r="EK21" s="13">
        <f t="shared" si="317"/>
        <v>11500.000000000002</v>
      </c>
      <c r="EL21" s="13">
        <f t="shared" si="317"/>
        <v>11500.000000000002</v>
      </c>
      <c r="EM21" s="13">
        <f t="shared" si="317"/>
        <v>11500.000000000002</v>
      </c>
      <c r="EN21" s="13">
        <f t="shared" si="317"/>
        <v>11500.000000000002</v>
      </c>
      <c r="EO21" s="13">
        <f t="shared" si="317"/>
        <v>11500.000000000002</v>
      </c>
      <c r="EP21" s="13">
        <f t="shared" si="317"/>
        <v>11500.000000000002</v>
      </c>
      <c r="EQ21" s="13">
        <f t="shared" si="317"/>
        <v>11800.000000000002</v>
      </c>
      <c r="ER21" s="13">
        <f t="shared" si="317"/>
        <v>11800.000000000002</v>
      </c>
      <c r="ES21" s="13">
        <f t="shared" si="317"/>
        <v>11800.000000000002</v>
      </c>
      <c r="ET21" s="13">
        <f t="shared" si="317"/>
        <v>11800.000000000002</v>
      </c>
      <c r="EU21" s="13">
        <f t="shared" si="317"/>
        <v>11800.000000000002</v>
      </c>
      <c r="EV21" s="13">
        <f t="shared" si="317"/>
        <v>11800.000000000002</v>
      </c>
      <c r="EW21" s="13">
        <f t="shared" si="317"/>
        <v>11800.000000000002</v>
      </c>
      <c r="EX21" s="13">
        <f t="shared" si="317"/>
        <v>11800.000000000002</v>
      </c>
      <c r="EY21" s="13">
        <f t="shared" si="317"/>
        <v>11800.000000000002</v>
      </c>
      <c r="EZ21" s="13">
        <f t="shared" si="317"/>
        <v>11800.000000000002</v>
      </c>
      <c r="FA21" s="13">
        <f t="shared" si="317"/>
        <v>11800.000000000002</v>
      </c>
      <c r="FB21" s="13">
        <f t="shared" si="317"/>
        <v>11800.000000000002</v>
      </c>
      <c r="FC21" s="13">
        <f t="shared" si="317"/>
        <v>12100.000000000002</v>
      </c>
      <c r="FD21" s="13">
        <f t="shared" si="317"/>
        <v>12100.000000000002</v>
      </c>
      <c r="FE21" s="13">
        <f t="shared" si="317"/>
        <v>12100.000000000002</v>
      </c>
      <c r="FF21" s="13">
        <f t="shared" si="317"/>
        <v>12100.000000000002</v>
      </c>
      <c r="FG21" s="13">
        <f t="shared" si="317"/>
        <v>12100.000000000002</v>
      </c>
      <c r="FH21" s="13">
        <f t="shared" si="317"/>
        <v>12100.000000000002</v>
      </c>
      <c r="FI21" s="13">
        <f t="shared" si="317"/>
        <v>12100.000000000002</v>
      </c>
      <c r="FJ21" s="13">
        <f t="shared" si="317"/>
        <v>12100.000000000002</v>
      </c>
      <c r="FK21" s="13">
        <f t="shared" si="317"/>
        <v>12100.000000000002</v>
      </c>
      <c r="FL21" s="13">
        <f t="shared" si="317"/>
        <v>12100.000000000002</v>
      </c>
      <c r="FM21" s="13">
        <f t="shared" si="317"/>
        <v>12100.000000000002</v>
      </c>
      <c r="FN21" s="13">
        <f t="shared" si="317"/>
        <v>12100.000000000002</v>
      </c>
      <c r="FO21" s="13">
        <f t="shared" si="317"/>
        <v>12400.000000000002</v>
      </c>
      <c r="FP21" s="13">
        <f t="shared" si="317"/>
        <v>12400.000000000002</v>
      </c>
      <c r="FQ21" s="13">
        <f t="shared" si="317"/>
        <v>12400.000000000002</v>
      </c>
      <c r="FR21" s="13">
        <f t="shared" si="317"/>
        <v>12400.000000000002</v>
      </c>
      <c r="FS21" s="13">
        <f t="shared" si="317"/>
        <v>12400.000000000002</v>
      </c>
      <c r="FT21" s="13">
        <f t="shared" si="317"/>
        <v>12400.000000000002</v>
      </c>
      <c r="FU21" s="13">
        <f t="shared" si="317"/>
        <v>12400.000000000002</v>
      </c>
      <c r="FV21" s="13">
        <f t="shared" si="317"/>
        <v>12400.000000000002</v>
      </c>
      <c r="FW21" s="13">
        <f t="shared" si="317"/>
        <v>12400.000000000002</v>
      </c>
      <c r="FX21" s="13">
        <f t="shared" si="317"/>
        <v>12400.000000000002</v>
      </c>
      <c r="FY21" s="13">
        <f t="shared" si="317"/>
        <v>12400.000000000002</v>
      </c>
      <c r="FZ21" s="13">
        <f t="shared" si="317"/>
        <v>12400.000000000002</v>
      </c>
      <c r="GA21" s="13">
        <f t="shared" si="318"/>
        <v>12700.000000000002</v>
      </c>
      <c r="GB21" s="13">
        <f t="shared" si="318"/>
        <v>12700.000000000002</v>
      </c>
      <c r="GC21" s="13">
        <f t="shared" si="318"/>
        <v>12700.000000000002</v>
      </c>
      <c r="GD21" s="13">
        <f t="shared" si="318"/>
        <v>12700.000000000002</v>
      </c>
      <c r="GE21" s="13">
        <f t="shared" si="318"/>
        <v>12700.000000000002</v>
      </c>
      <c r="GF21" s="13">
        <f t="shared" si="318"/>
        <v>12700.000000000002</v>
      </c>
      <c r="GG21" s="13">
        <f t="shared" si="318"/>
        <v>12700.000000000002</v>
      </c>
      <c r="GH21" s="13">
        <f t="shared" si="318"/>
        <v>12700.000000000002</v>
      </c>
      <c r="GI21" s="13">
        <f t="shared" si="318"/>
        <v>12700.000000000002</v>
      </c>
      <c r="GJ21" s="13">
        <f t="shared" si="318"/>
        <v>12700.000000000002</v>
      </c>
      <c r="GK21" s="13">
        <f t="shared" si="318"/>
        <v>12700.000000000002</v>
      </c>
      <c r="GL21" s="13">
        <f t="shared" si="318"/>
        <v>12700.000000000002</v>
      </c>
      <c r="GM21" s="13">
        <f t="shared" si="318"/>
        <v>13000.000000000002</v>
      </c>
      <c r="GN21" s="13">
        <f t="shared" si="318"/>
        <v>13000.000000000002</v>
      </c>
      <c r="GO21" s="13">
        <f t="shared" si="318"/>
        <v>13000.000000000002</v>
      </c>
      <c r="GP21" s="13">
        <f t="shared" si="318"/>
        <v>13000.000000000002</v>
      </c>
      <c r="GQ21" s="13">
        <f t="shared" si="318"/>
        <v>13000.000000000002</v>
      </c>
      <c r="GR21" s="13">
        <f t="shared" si="318"/>
        <v>13000.000000000002</v>
      </c>
      <c r="GS21" s="13">
        <f t="shared" si="318"/>
        <v>13000.000000000002</v>
      </c>
      <c r="GT21" s="13">
        <f t="shared" si="318"/>
        <v>13000.000000000002</v>
      </c>
      <c r="GU21" s="13">
        <f t="shared" si="318"/>
        <v>13000.000000000002</v>
      </c>
      <c r="GV21" s="13">
        <f t="shared" si="318"/>
        <v>13000.000000000002</v>
      </c>
      <c r="GW21" s="13">
        <f t="shared" si="318"/>
        <v>13000.000000000002</v>
      </c>
      <c r="GX21" s="13">
        <f t="shared" si="318"/>
        <v>13000.000000000002</v>
      </c>
      <c r="GY21" s="13">
        <f t="shared" si="318"/>
        <v>13300.000000000004</v>
      </c>
      <c r="GZ21" s="13">
        <f t="shared" si="318"/>
        <v>13300.000000000004</v>
      </c>
      <c r="HA21" s="13">
        <f t="shared" si="318"/>
        <v>13300.000000000004</v>
      </c>
      <c r="HB21" s="13">
        <f t="shared" si="318"/>
        <v>13300.000000000004</v>
      </c>
      <c r="HC21" s="13">
        <f t="shared" si="318"/>
        <v>13300.000000000004</v>
      </c>
      <c r="HD21" s="13">
        <f t="shared" si="318"/>
        <v>13300.000000000004</v>
      </c>
      <c r="HE21" s="13">
        <f t="shared" si="318"/>
        <v>13300.000000000004</v>
      </c>
      <c r="HF21" s="13">
        <f t="shared" si="318"/>
        <v>13300.000000000004</v>
      </c>
      <c r="HG21" s="13">
        <f t="shared" si="318"/>
        <v>13300.000000000004</v>
      </c>
      <c r="HH21" s="13">
        <f t="shared" si="318"/>
        <v>13300.000000000004</v>
      </c>
      <c r="HI21" s="13">
        <f t="shared" si="318"/>
        <v>13300.000000000004</v>
      </c>
      <c r="HJ21" s="13">
        <f t="shared" si="318"/>
        <v>13300.000000000004</v>
      </c>
      <c r="HK21" s="13">
        <f t="shared" si="318"/>
        <v>13300.000000000004</v>
      </c>
      <c r="HL21" s="13">
        <f t="shared" si="318"/>
        <v>13300.000000000004</v>
      </c>
      <c r="HM21" s="13">
        <f t="shared" si="318"/>
        <v>13300.000000000004</v>
      </c>
      <c r="HN21" s="13">
        <f t="shared" si="318"/>
        <v>13300.000000000004</v>
      </c>
      <c r="HO21" s="13">
        <f t="shared" si="318"/>
        <v>13300.000000000004</v>
      </c>
      <c r="HP21" s="13">
        <f t="shared" si="318"/>
        <v>13300.000000000004</v>
      </c>
      <c r="HQ21" s="13">
        <f t="shared" si="318"/>
        <v>13300.000000000004</v>
      </c>
      <c r="HR21" s="13">
        <f t="shared" si="318"/>
        <v>13300.000000000004</v>
      </c>
      <c r="HS21" s="13">
        <f t="shared" si="318"/>
        <v>13300.000000000004</v>
      </c>
      <c r="HT21" s="13">
        <f t="shared" si="318"/>
        <v>13300.000000000004</v>
      </c>
      <c r="HU21" s="13">
        <f t="shared" si="318"/>
        <v>13300.000000000004</v>
      </c>
      <c r="HV21" s="13">
        <f t="shared" si="318"/>
        <v>13300.000000000004</v>
      </c>
      <c r="HW21" s="13">
        <f t="shared" si="318"/>
        <v>13300.000000000004</v>
      </c>
      <c r="HX21" s="13">
        <f t="shared" si="318"/>
        <v>13300.000000000004</v>
      </c>
      <c r="HY21" s="13">
        <f t="shared" si="318"/>
        <v>13300.000000000004</v>
      </c>
      <c r="HZ21" s="13">
        <f t="shared" si="318"/>
        <v>13300.000000000004</v>
      </c>
      <c r="IA21" s="13">
        <f t="shared" si="318"/>
        <v>13300.000000000004</v>
      </c>
      <c r="IB21" s="13">
        <f t="shared" si="318"/>
        <v>13300.000000000004</v>
      </c>
      <c r="IC21" s="13">
        <f t="shared" si="318"/>
        <v>13300.000000000004</v>
      </c>
      <c r="ID21" s="13">
        <f t="shared" si="318"/>
        <v>13300.000000000004</v>
      </c>
      <c r="IE21" s="13">
        <f t="shared" si="318"/>
        <v>13300.000000000004</v>
      </c>
      <c r="IF21" s="13">
        <f t="shared" si="318"/>
        <v>13300.000000000004</v>
      </c>
      <c r="IG21" s="13">
        <f t="shared" si="318"/>
        <v>13300.000000000004</v>
      </c>
      <c r="IH21" s="13">
        <f t="shared" si="318"/>
        <v>13300.000000000004</v>
      </c>
      <c r="II21" s="69">
        <f t="shared" si="314"/>
        <v>2415300</v>
      </c>
    </row>
    <row r="22" spans="1:243" x14ac:dyDescent="0.45">
      <c r="A22" s="16" t="s">
        <v>222</v>
      </c>
      <c r="B22" s="18">
        <v>45000</v>
      </c>
      <c r="C22" s="13">
        <f t="shared" si="320"/>
        <v>11250</v>
      </c>
      <c r="D22" s="13">
        <f t="shared" ref="D22:BO25" si="322">$B22*D$9</f>
        <v>11250</v>
      </c>
      <c r="E22" s="13">
        <f t="shared" si="322"/>
        <v>11250</v>
      </c>
      <c r="F22" s="13">
        <f t="shared" si="322"/>
        <v>11250</v>
      </c>
      <c r="G22" s="13">
        <f t="shared" si="322"/>
        <v>11250</v>
      </c>
      <c r="H22" s="13">
        <f t="shared" si="322"/>
        <v>11250</v>
      </c>
      <c r="I22" s="13">
        <f t="shared" si="322"/>
        <v>11250</v>
      </c>
      <c r="J22" s="13">
        <f t="shared" si="322"/>
        <v>11250</v>
      </c>
      <c r="K22" s="13">
        <f t="shared" si="322"/>
        <v>11250</v>
      </c>
      <c r="L22" s="13">
        <f t="shared" si="322"/>
        <v>11250</v>
      </c>
      <c r="M22" s="13">
        <f t="shared" si="322"/>
        <v>11250</v>
      </c>
      <c r="N22" s="13">
        <f t="shared" si="322"/>
        <v>11250</v>
      </c>
      <c r="O22" s="13">
        <f t="shared" si="322"/>
        <v>11250</v>
      </c>
      <c r="P22" s="13">
        <f t="shared" si="322"/>
        <v>11250</v>
      </c>
      <c r="Q22" s="13">
        <f t="shared" si="322"/>
        <v>11250</v>
      </c>
      <c r="R22" s="13">
        <f t="shared" si="322"/>
        <v>11250</v>
      </c>
      <c r="S22" s="13">
        <f t="shared" si="322"/>
        <v>11250</v>
      </c>
      <c r="T22" s="13">
        <f t="shared" si="322"/>
        <v>11250</v>
      </c>
      <c r="U22" s="13">
        <f t="shared" si="322"/>
        <v>11250</v>
      </c>
      <c r="V22" s="13">
        <f t="shared" si="322"/>
        <v>11250</v>
      </c>
      <c r="W22" s="13">
        <f t="shared" si="322"/>
        <v>11250</v>
      </c>
      <c r="X22" s="13">
        <f t="shared" si="322"/>
        <v>11250</v>
      </c>
      <c r="Y22" s="13">
        <f t="shared" si="322"/>
        <v>11250</v>
      </c>
      <c r="Z22" s="13">
        <f t="shared" si="322"/>
        <v>11250</v>
      </c>
      <c r="AA22" s="13">
        <f t="shared" si="322"/>
        <v>33750</v>
      </c>
      <c r="AB22" s="13">
        <f t="shared" si="322"/>
        <v>33750</v>
      </c>
      <c r="AC22" s="13">
        <f t="shared" si="322"/>
        <v>33750</v>
      </c>
      <c r="AD22" s="13">
        <f t="shared" si="322"/>
        <v>33750</v>
      </c>
      <c r="AE22" s="13">
        <f t="shared" si="322"/>
        <v>33750</v>
      </c>
      <c r="AF22" s="13">
        <f t="shared" si="322"/>
        <v>33750</v>
      </c>
      <c r="AG22" s="13">
        <f t="shared" si="322"/>
        <v>33750</v>
      </c>
      <c r="AH22" s="13">
        <f t="shared" si="322"/>
        <v>33750</v>
      </c>
      <c r="AI22" s="13">
        <f t="shared" si="322"/>
        <v>33750</v>
      </c>
      <c r="AJ22" s="13">
        <f t="shared" si="322"/>
        <v>33750</v>
      </c>
      <c r="AK22" s="13">
        <f t="shared" si="322"/>
        <v>33750</v>
      </c>
      <c r="AL22" s="13">
        <f t="shared" si="322"/>
        <v>33750</v>
      </c>
      <c r="AM22" s="13">
        <f t="shared" si="322"/>
        <v>33750</v>
      </c>
      <c r="AN22" s="13">
        <f t="shared" si="322"/>
        <v>33750</v>
      </c>
      <c r="AO22" s="13">
        <f t="shared" si="322"/>
        <v>33750</v>
      </c>
      <c r="AP22" s="13">
        <f t="shared" si="322"/>
        <v>33750</v>
      </c>
      <c r="AQ22" s="13">
        <f t="shared" si="322"/>
        <v>33750</v>
      </c>
      <c r="AR22" s="13">
        <f t="shared" si="322"/>
        <v>33750</v>
      </c>
      <c r="AS22" s="13">
        <f t="shared" si="322"/>
        <v>33750</v>
      </c>
      <c r="AT22" s="13">
        <f t="shared" si="322"/>
        <v>33750</v>
      </c>
      <c r="AU22" s="13">
        <f t="shared" si="322"/>
        <v>33750</v>
      </c>
      <c r="AV22" s="13">
        <f t="shared" si="322"/>
        <v>33750</v>
      </c>
      <c r="AW22" s="13">
        <f t="shared" si="322"/>
        <v>33750</v>
      </c>
      <c r="AX22" s="13">
        <f t="shared" si="322"/>
        <v>33750</v>
      </c>
      <c r="AY22" s="13">
        <f t="shared" si="322"/>
        <v>33750</v>
      </c>
      <c r="AZ22" s="13">
        <f t="shared" si="322"/>
        <v>33750</v>
      </c>
      <c r="BA22" s="13">
        <f t="shared" si="322"/>
        <v>33750</v>
      </c>
      <c r="BB22" s="13">
        <f t="shared" si="322"/>
        <v>33750</v>
      </c>
      <c r="BC22" s="13">
        <f t="shared" si="322"/>
        <v>33750</v>
      </c>
      <c r="BD22" s="13">
        <f t="shared" si="322"/>
        <v>33750</v>
      </c>
      <c r="BE22" s="13">
        <f t="shared" si="322"/>
        <v>33750</v>
      </c>
      <c r="BF22" s="13">
        <f t="shared" si="322"/>
        <v>33750</v>
      </c>
      <c r="BG22" s="13">
        <f t="shared" si="322"/>
        <v>33750</v>
      </c>
      <c r="BH22" s="13">
        <f t="shared" si="322"/>
        <v>33750</v>
      </c>
      <c r="BI22" s="13">
        <f t="shared" si="322"/>
        <v>33750</v>
      </c>
      <c r="BJ22" s="13">
        <f t="shared" si="322"/>
        <v>33750</v>
      </c>
      <c r="BK22" s="13">
        <f t="shared" si="322"/>
        <v>33750</v>
      </c>
      <c r="BL22" s="13">
        <f t="shared" si="322"/>
        <v>33750</v>
      </c>
      <c r="BM22" s="13">
        <f t="shared" si="322"/>
        <v>33750</v>
      </c>
      <c r="BN22" s="13">
        <f t="shared" si="322"/>
        <v>33750</v>
      </c>
      <c r="BO22" s="13">
        <f t="shared" si="322"/>
        <v>33750</v>
      </c>
      <c r="BP22" s="13">
        <f t="shared" si="321"/>
        <v>33750</v>
      </c>
      <c r="BQ22" s="13">
        <f t="shared" si="321"/>
        <v>33750</v>
      </c>
      <c r="BR22" s="13">
        <f t="shared" si="321"/>
        <v>33750</v>
      </c>
      <c r="BS22" s="13">
        <f t="shared" si="321"/>
        <v>33750</v>
      </c>
      <c r="BT22" s="13">
        <f t="shared" si="321"/>
        <v>33750</v>
      </c>
      <c r="BU22" s="13">
        <f t="shared" si="321"/>
        <v>33750</v>
      </c>
      <c r="BV22" s="13">
        <f t="shared" si="321"/>
        <v>33750</v>
      </c>
      <c r="BW22" s="13">
        <f t="shared" si="321"/>
        <v>45000</v>
      </c>
      <c r="BX22" s="13">
        <f t="shared" si="321"/>
        <v>45000</v>
      </c>
      <c r="BY22" s="13">
        <f t="shared" si="321"/>
        <v>45000</v>
      </c>
      <c r="BZ22" s="13">
        <f t="shared" si="321"/>
        <v>45000</v>
      </c>
      <c r="CA22" s="13">
        <f t="shared" si="321"/>
        <v>45000</v>
      </c>
      <c r="CB22" s="13">
        <f t="shared" si="321"/>
        <v>45000</v>
      </c>
      <c r="CC22" s="13">
        <f t="shared" si="321"/>
        <v>45000</v>
      </c>
      <c r="CD22" s="13">
        <f t="shared" si="321"/>
        <v>45000</v>
      </c>
      <c r="CE22" s="13">
        <f t="shared" si="321"/>
        <v>45000</v>
      </c>
      <c r="CF22" s="13">
        <f t="shared" si="321"/>
        <v>45000</v>
      </c>
      <c r="CG22" s="13">
        <f t="shared" si="321"/>
        <v>45000</v>
      </c>
      <c r="CH22" s="13">
        <f t="shared" si="321"/>
        <v>45000</v>
      </c>
      <c r="CI22" s="13">
        <f t="shared" si="321"/>
        <v>45000</v>
      </c>
      <c r="CJ22" s="13">
        <f t="shared" si="321"/>
        <v>45000</v>
      </c>
      <c r="CK22" s="13">
        <f t="shared" si="321"/>
        <v>45000</v>
      </c>
      <c r="CL22" s="13">
        <f t="shared" si="321"/>
        <v>45000</v>
      </c>
      <c r="CM22" s="13">
        <f t="shared" si="321"/>
        <v>45000</v>
      </c>
      <c r="CN22" s="13">
        <f t="shared" si="321"/>
        <v>46350</v>
      </c>
      <c r="CO22" s="13">
        <f t="shared" si="321"/>
        <v>46350</v>
      </c>
      <c r="CP22" s="13">
        <f t="shared" si="321"/>
        <v>46350</v>
      </c>
      <c r="CQ22" s="13">
        <f t="shared" si="321"/>
        <v>46350</v>
      </c>
      <c r="CR22" s="13">
        <f t="shared" si="321"/>
        <v>46350</v>
      </c>
      <c r="CS22" s="13">
        <f t="shared" si="321"/>
        <v>46350</v>
      </c>
      <c r="CT22" s="13">
        <f t="shared" si="321"/>
        <v>46350</v>
      </c>
      <c r="CU22" s="13">
        <f t="shared" si="321"/>
        <v>47700</v>
      </c>
      <c r="CV22" s="13">
        <f t="shared" si="321"/>
        <v>47700</v>
      </c>
      <c r="CW22" s="13">
        <f t="shared" si="321"/>
        <v>47700</v>
      </c>
      <c r="CX22" s="13">
        <f t="shared" si="321"/>
        <v>47700</v>
      </c>
      <c r="CY22" s="13">
        <f t="shared" si="321"/>
        <v>47700</v>
      </c>
      <c r="CZ22" s="13">
        <f t="shared" si="321"/>
        <v>47700</v>
      </c>
      <c r="DA22" s="13">
        <f t="shared" si="321"/>
        <v>47700</v>
      </c>
      <c r="DB22" s="13">
        <f t="shared" si="321"/>
        <v>47700</v>
      </c>
      <c r="DC22" s="13">
        <f t="shared" si="321"/>
        <v>47700</v>
      </c>
      <c r="DD22" s="13">
        <f t="shared" si="321"/>
        <v>47700</v>
      </c>
      <c r="DE22" s="13">
        <f t="shared" si="321"/>
        <v>47700</v>
      </c>
      <c r="DF22" s="13">
        <f t="shared" si="321"/>
        <v>47700</v>
      </c>
      <c r="DG22" s="13">
        <f t="shared" si="321"/>
        <v>49050</v>
      </c>
      <c r="DH22" s="13">
        <f t="shared" si="321"/>
        <v>49050</v>
      </c>
      <c r="DI22" s="13">
        <f t="shared" si="321"/>
        <v>49050</v>
      </c>
      <c r="DJ22" s="13">
        <f t="shared" si="321"/>
        <v>49050</v>
      </c>
      <c r="DK22" s="13">
        <f t="shared" si="321"/>
        <v>49050</v>
      </c>
      <c r="DL22" s="13">
        <f t="shared" si="321"/>
        <v>49050</v>
      </c>
      <c r="DM22" s="13">
        <f t="shared" si="321"/>
        <v>49050</v>
      </c>
      <c r="DN22" s="13">
        <f t="shared" si="321"/>
        <v>49050</v>
      </c>
      <c r="DO22" s="13">
        <f t="shared" si="321"/>
        <v>49050</v>
      </c>
      <c r="DP22" s="13">
        <f t="shared" si="321"/>
        <v>49050</v>
      </c>
      <c r="DQ22" s="13">
        <f t="shared" si="321"/>
        <v>49050</v>
      </c>
      <c r="DR22" s="13">
        <f t="shared" si="321"/>
        <v>49050</v>
      </c>
      <c r="DS22" s="13">
        <f t="shared" si="321"/>
        <v>50400.000000000007</v>
      </c>
      <c r="DT22" s="13">
        <f t="shared" si="321"/>
        <v>50400.000000000007</v>
      </c>
      <c r="DU22" s="13">
        <f t="shared" si="321"/>
        <v>50400.000000000007</v>
      </c>
      <c r="DV22" s="13">
        <f t="shared" si="321"/>
        <v>50400.000000000007</v>
      </c>
      <c r="DW22" s="13">
        <f t="shared" si="321"/>
        <v>50400.000000000007</v>
      </c>
      <c r="DX22" s="13">
        <f t="shared" si="321"/>
        <v>50400.000000000007</v>
      </c>
      <c r="DY22" s="13">
        <f t="shared" si="321"/>
        <v>50400.000000000007</v>
      </c>
      <c r="DZ22" s="13">
        <f t="shared" si="321"/>
        <v>50400.000000000007</v>
      </c>
      <c r="EA22" s="13">
        <f t="shared" si="321"/>
        <v>50400.000000000007</v>
      </c>
      <c r="EB22" s="13">
        <f t="shared" si="317"/>
        <v>50400.000000000007</v>
      </c>
      <c r="EC22" s="13">
        <f t="shared" si="317"/>
        <v>50400.000000000007</v>
      </c>
      <c r="ED22" s="13">
        <f t="shared" si="317"/>
        <v>50400.000000000007</v>
      </c>
      <c r="EE22" s="13">
        <f t="shared" si="317"/>
        <v>51750.000000000007</v>
      </c>
      <c r="EF22" s="13">
        <f t="shared" si="317"/>
        <v>51750.000000000007</v>
      </c>
      <c r="EG22" s="13">
        <f t="shared" si="317"/>
        <v>51750.000000000007</v>
      </c>
      <c r="EH22" s="13">
        <f t="shared" si="317"/>
        <v>51750.000000000007</v>
      </c>
      <c r="EI22" s="13">
        <f t="shared" si="317"/>
        <v>51750.000000000007</v>
      </c>
      <c r="EJ22" s="13">
        <f t="shared" si="317"/>
        <v>51750.000000000007</v>
      </c>
      <c r="EK22" s="13">
        <f t="shared" si="317"/>
        <v>51750.000000000007</v>
      </c>
      <c r="EL22" s="13">
        <f t="shared" si="317"/>
        <v>51750.000000000007</v>
      </c>
      <c r="EM22" s="13">
        <f t="shared" si="317"/>
        <v>51750.000000000007</v>
      </c>
      <c r="EN22" s="13">
        <f t="shared" si="317"/>
        <v>51750.000000000007</v>
      </c>
      <c r="EO22" s="13">
        <f t="shared" si="317"/>
        <v>51750.000000000007</v>
      </c>
      <c r="EP22" s="13">
        <f t="shared" si="317"/>
        <v>51750.000000000007</v>
      </c>
      <c r="EQ22" s="13">
        <f t="shared" si="317"/>
        <v>53100.000000000007</v>
      </c>
      <c r="ER22" s="13">
        <f t="shared" si="317"/>
        <v>53100.000000000007</v>
      </c>
      <c r="ES22" s="13">
        <f t="shared" si="317"/>
        <v>53100.000000000007</v>
      </c>
      <c r="ET22" s="13">
        <f t="shared" si="317"/>
        <v>53100.000000000007</v>
      </c>
      <c r="EU22" s="13">
        <f t="shared" si="317"/>
        <v>53100.000000000007</v>
      </c>
      <c r="EV22" s="13">
        <f t="shared" si="317"/>
        <v>53100.000000000007</v>
      </c>
      <c r="EW22" s="13">
        <f t="shared" si="317"/>
        <v>53100.000000000007</v>
      </c>
      <c r="EX22" s="13">
        <f t="shared" si="317"/>
        <v>53100.000000000007</v>
      </c>
      <c r="EY22" s="13">
        <f t="shared" si="317"/>
        <v>53100.000000000007</v>
      </c>
      <c r="EZ22" s="13">
        <f t="shared" si="317"/>
        <v>53100.000000000007</v>
      </c>
      <c r="FA22" s="13">
        <f t="shared" si="317"/>
        <v>53100.000000000007</v>
      </c>
      <c r="FB22" s="13">
        <f t="shared" si="317"/>
        <v>53100.000000000007</v>
      </c>
      <c r="FC22" s="13">
        <f t="shared" si="317"/>
        <v>54450.000000000007</v>
      </c>
      <c r="FD22" s="13">
        <f t="shared" si="317"/>
        <v>54450.000000000007</v>
      </c>
      <c r="FE22" s="13">
        <f t="shared" si="317"/>
        <v>54450.000000000007</v>
      </c>
      <c r="FF22" s="13">
        <f t="shared" si="317"/>
        <v>54450.000000000007</v>
      </c>
      <c r="FG22" s="13">
        <f t="shared" si="317"/>
        <v>54450.000000000007</v>
      </c>
      <c r="FH22" s="13">
        <f t="shared" si="317"/>
        <v>54450.000000000007</v>
      </c>
      <c r="FI22" s="13">
        <f t="shared" si="317"/>
        <v>54450.000000000007</v>
      </c>
      <c r="FJ22" s="13">
        <f t="shared" si="317"/>
        <v>54450.000000000007</v>
      </c>
      <c r="FK22" s="13">
        <f t="shared" si="317"/>
        <v>54450.000000000007</v>
      </c>
      <c r="FL22" s="13">
        <f t="shared" si="317"/>
        <v>54450.000000000007</v>
      </c>
      <c r="FM22" s="13">
        <f t="shared" si="317"/>
        <v>54450.000000000007</v>
      </c>
      <c r="FN22" s="13">
        <f t="shared" si="317"/>
        <v>54450.000000000007</v>
      </c>
      <c r="FO22" s="13">
        <f t="shared" si="317"/>
        <v>55800.000000000007</v>
      </c>
      <c r="FP22" s="13">
        <f t="shared" si="317"/>
        <v>55800.000000000007</v>
      </c>
      <c r="FQ22" s="13">
        <f t="shared" si="317"/>
        <v>55800.000000000007</v>
      </c>
      <c r="FR22" s="13">
        <f t="shared" si="317"/>
        <v>55800.000000000007</v>
      </c>
      <c r="FS22" s="13">
        <f t="shared" si="317"/>
        <v>55800.000000000007</v>
      </c>
      <c r="FT22" s="13">
        <f t="shared" si="317"/>
        <v>55800.000000000007</v>
      </c>
      <c r="FU22" s="13">
        <f t="shared" si="317"/>
        <v>55800.000000000007</v>
      </c>
      <c r="FV22" s="13">
        <f t="shared" si="317"/>
        <v>55800.000000000007</v>
      </c>
      <c r="FW22" s="13">
        <f t="shared" si="317"/>
        <v>55800.000000000007</v>
      </c>
      <c r="FX22" s="13">
        <f t="shared" si="317"/>
        <v>55800.000000000007</v>
      </c>
      <c r="FY22" s="13">
        <f t="shared" si="317"/>
        <v>55800.000000000007</v>
      </c>
      <c r="FZ22" s="13">
        <f t="shared" si="317"/>
        <v>55800.000000000007</v>
      </c>
      <c r="GA22" s="13">
        <f t="shared" si="318"/>
        <v>57150.000000000007</v>
      </c>
      <c r="GB22" s="13">
        <f t="shared" si="318"/>
        <v>57150.000000000007</v>
      </c>
      <c r="GC22" s="13">
        <f t="shared" si="318"/>
        <v>57150.000000000007</v>
      </c>
      <c r="GD22" s="13">
        <f t="shared" si="318"/>
        <v>57150.000000000007</v>
      </c>
      <c r="GE22" s="13">
        <f t="shared" si="318"/>
        <v>57150.000000000007</v>
      </c>
      <c r="GF22" s="13">
        <f t="shared" si="318"/>
        <v>57150.000000000007</v>
      </c>
      <c r="GG22" s="13">
        <f t="shared" si="318"/>
        <v>57150.000000000007</v>
      </c>
      <c r="GH22" s="13">
        <f t="shared" si="318"/>
        <v>57150.000000000007</v>
      </c>
      <c r="GI22" s="13">
        <f t="shared" si="318"/>
        <v>57150.000000000007</v>
      </c>
      <c r="GJ22" s="13">
        <f t="shared" si="318"/>
        <v>57150.000000000007</v>
      </c>
      <c r="GK22" s="13">
        <f t="shared" si="318"/>
        <v>57150.000000000007</v>
      </c>
      <c r="GL22" s="13">
        <f t="shared" si="318"/>
        <v>57150.000000000007</v>
      </c>
      <c r="GM22" s="13">
        <f t="shared" si="318"/>
        <v>58500.000000000015</v>
      </c>
      <c r="GN22" s="13">
        <f t="shared" si="318"/>
        <v>58500.000000000015</v>
      </c>
      <c r="GO22" s="13">
        <f t="shared" si="318"/>
        <v>58500.000000000015</v>
      </c>
      <c r="GP22" s="13">
        <f t="shared" si="318"/>
        <v>58500.000000000015</v>
      </c>
      <c r="GQ22" s="13">
        <f t="shared" si="318"/>
        <v>58500.000000000015</v>
      </c>
      <c r="GR22" s="13">
        <f t="shared" si="318"/>
        <v>58500.000000000015</v>
      </c>
      <c r="GS22" s="13">
        <f t="shared" si="318"/>
        <v>58500.000000000015</v>
      </c>
      <c r="GT22" s="13">
        <f t="shared" si="318"/>
        <v>58500.000000000015</v>
      </c>
      <c r="GU22" s="13">
        <f t="shared" si="318"/>
        <v>58500.000000000015</v>
      </c>
      <c r="GV22" s="13">
        <f t="shared" si="318"/>
        <v>58500.000000000015</v>
      </c>
      <c r="GW22" s="13">
        <f t="shared" si="318"/>
        <v>58500.000000000015</v>
      </c>
      <c r="GX22" s="13">
        <f t="shared" si="318"/>
        <v>58500.000000000015</v>
      </c>
      <c r="GY22" s="13">
        <f t="shared" si="318"/>
        <v>59850.000000000015</v>
      </c>
      <c r="GZ22" s="13">
        <f t="shared" si="318"/>
        <v>59850.000000000015</v>
      </c>
      <c r="HA22" s="13">
        <f t="shared" si="318"/>
        <v>59850.000000000015</v>
      </c>
      <c r="HB22" s="13">
        <f t="shared" si="318"/>
        <v>59850.000000000015</v>
      </c>
      <c r="HC22" s="13">
        <f t="shared" si="318"/>
        <v>59850.000000000015</v>
      </c>
      <c r="HD22" s="13">
        <f t="shared" si="318"/>
        <v>59850.000000000015</v>
      </c>
      <c r="HE22" s="13">
        <f t="shared" si="318"/>
        <v>59850.000000000015</v>
      </c>
      <c r="HF22" s="13">
        <f t="shared" si="318"/>
        <v>59850.000000000015</v>
      </c>
      <c r="HG22" s="13">
        <f t="shared" si="318"/>
        <v>59850.000000000015</v>
      </c>
      <c r="HH22" s="13">
        <f t="shared" si="318"/>
        <v>59850.000000000015</v>
      </c>
      <c r="HI22" s="13">
        <f t="shared" si="318"/>
        <v>59850.000000000015</v>
      </c>
      <c r="HJ22" s="13">
        <f t="shared" si="318"/>
        <v>59850.000000000015</v>
      </c>
      <c r="HK22" s="13">
        <f t="shared" si="318"/>
        <v>59850.000000000015</v>
      </c>
      <c r="HL22" s="13">
        <f t="shared" si="318"/>
        <v>59850.000000000015</v>
      </c>
      <c r="HM22" s="13">
        <f t="shared" si="318"/>
        <v>59850.000000000015</v>
      </c>
      <c r="HN22" s="13">
        <f t="shared" si="318"/>
        <v>59850.000000000015</v>
      </c>
      <c r="HO22" s="13">
        <f t="shared" si="318"/>
        <v>59850.000000000015</v>
      </c>
      <c r="HP22" s="13">
        <f t="shared" si="318"/>
        <v>59850.000000000015</v>
      </c>
      <c r="HQ22" s="13">
        <f t="shared" si="318"/>
        <v>59850.000000000015</v>
      </c>
      <c r="HR22" s="13">
        <f t="shared" si="318"/>
        <v>59850.000000000015</v>
      </c>
      <c r="HS22" s="13">
        <f t="shared" si="318"/>
        <v>59850.000000000015</v>
      </c>
      <c r="HT22" s="13">
        <f t="shared" si="318"/>
        <v>59850.000000000015</v>
      </c>
      <c r="HU22" s="13">
        <f t="shared" si="318"/>
        <v>59850.000000000015</v>
      </c>
      <c r="HV22" s="13">
        <f t="shared" si="318"/>
        <v>59850.000000000015</v>
      </c>
      <c r="HW22" s="13">
        <f t="shared" si="318"/>
        <v>59850.000000000015</v>
      </c>
      <c r="HX22" s="13">
        <f t="shared" si="318"/>
        <v>59850.000000000015</v>
      </c>
      <c r="HY22" s="13">
        <f t="shared" si="318"/>
        <v>59850.000000000015</v>
      </c>
      <c r="HZ22" s="13">
        <f t="shared" si="318"/>
        <v>59850.000000000015</v>
      </c>
      <c r="IA22" s="13">
        <f t="shared" si="318"/>
        <v>59850.000000000015</v>
      </c>
      <c r="IB22" s="13">
        <f t="shared" si="318"/>
        <v>59850.000000000015</v>
      </c>
      <c r="IC22" s="13">
        <f t="shared" si="318"/>
        <v>59850.000000000015</v>
      </c>
      <c r="ID22" s="13">
        <f t="shared" si="318"/>
        <v>59850.000000000015</v>
      </c>
      <c r="IE22" s="13">
        <f t="shared" si="318"/>
        <v>59850.000000000015</v>
      </c>
      <c r="IF22" s="13">
        <f t="shared" si="318"/>
        <v>59850.000000000015</v>
      </c>
      <c r="IG22" s="13">
        <f t="shared" si="318"/>
        <v>59850.000000000015</v>
      </c>
      <c r="IH22" s="13">
        <f t="shared" si="318"/>
        <v>59850.000000000015</v>
      </c>
      <c r="II22" s="69">
        <f t="shared" si="314"/>
        <v>10868850</v>
      </c>
    </row>
    <row r="23" spans="1:243" x14ac:dyDescent="0.45">
      <c r="A23" s="16" t="s">
        <v>244</v>
      </c>
      <c r="B23" s="44">
        <f>'WH Schedule'!AB21*0.005/12</f>
        <v>283729.29779989587</v>
      </c>
      <c r="C23" s="13">
        <f t="shared" si="320"/>
        <v>70932.324449973967</v>
      </c>
      <c r="D23" s="13">
        <f t="shared" si="322"/>
        <v>70932.324449973967</v>
      </c>
      <c r="E23" s="13">
        <f t="shared" si="322"/>
        <v>70932.324449973967</v>
      </c>
      <c r="F23" s="13">
        <f t="shared" si="322"/>
        <v>70932.324449973967</v>
      </c>
      <c r="G23" s="13">
        <f t="shared" si="322"/>
        <v>70932.324449973967</v>
      </c>
      <c r="H23" s="13">
        <f t="shared" si="322"/>
        <v>70932.324449973967</v>
      </c>
      <c r="I23" s="13">
        <f t="shared" si="322"/>
        <v>70932.324449973967</v>
      </c>
      <c r="J23" s="13">
        <f t="shared" si="322"/>
        <v>70932.324449973967</v>
      </c>
      <c r="K23" s="13">
        <f t="shared" si="322"/>
        <v>70932.324449973967</v>
      </c>
      <c r="L23" s="13">
        <f t="shared" si="322"/>
        <v>70932.324449973967</v>
      </c>
      <c r="M23" s="13">
        <f t="shared" si="322"/>
        <v>70932.324449973967</v>
      </c>
      <c r="N23" s="13">
        <f t="shared" si="322"/>
        <v>70932.324449973967</v>
      </c>
      <c r="O23" s="13">
        <f t="shared" si="322"/>
        <v>70932.324449973967</v>
      </c>
      <c r="P23" s="13">
        <f t="shared" si="322"/>
        <v>70932.324449973967</v>
      </c>
      <c r="Q23" s="13">
        <f t="shared" si="322"/>
        <v>70932.324449973967</v>
      </c>
      <c r="R23" s="13">
        <f t="shared" si="322"/>
        <v>70932.324449973967</v>
      </c>
      <c r="S23" s="13">
        <f t="shared" si="322"/>
        <v>70932.324449973967</v>
      </c>
      <c r="T23" s="13">
        <f t="shared" si="322"/>
        <v>70932.324449973967</v>
      </c>
      <c r="U23" s="13">
        <f t="shared" si="322"/>
        <v>70932.324449973967</v>
      </c>
      <c r="V23" s="13">
        <f t="shared" si="322"/>
        <v>70932.324449973967</v>
      </c>
      <c r="W23" s="13">
        <f t="shared" si="322"/>
        <v>70932.324449973967</v>
      </c>
      <c r="X23" s="13">
        <f t="shared" si="322"/>
        <v>70932.324449973967</v>
      </c>
      <c r="Y23" s="13">
        <f t="shared" si="322"/>
        <v>70932.324449973967</v>
      </c>
      <c r="Z23" s="13">
        <f t="shared" si="322"/>
        <v>70932.324449973967</v>
      </c>
      <c r="AA23" s="13">
        <f t="shared" si="322"/>
        <v>212796.9733499219</v>
      </c>
      <c r="AB23" s="13">
        <f t="shared" si="322"/>
        <v>212796.9733499219</v>
      </c>
      <c r="AC23" s="13">
        <f t="shared" si="322"/>
        <v>212796.9733499219</v>
      </c>
      <c r="AD23" s="13">
        <f t="shared" si="322"/>
        <v>212796.9733499219</v>
      </c>
      <c r="AE23" s="13">
        <f t="shared" si="322"/>
        <v>212796.9733499219</v>
      </c>
      <c r="AF23" s="13">
        <f t="shared" si="322"/>
        <v>212796.9733499219</v>
      </c>
      <c r="AG23" s="13">
        <f t="shared" si="322"/>
        <v>212796.9733499219</v>
      </c>
      <c r="AH23" s="13">
        <f t="shared" si="322"/>
        <v>212796.9733499219</v>
      </c>
      <c r="AI23" s="13">
        <f t="shared" si="322"/>
        <v>212796.9733499219</v>
      </c>
      <c r="AJ23" s="13">
        <f t="shared" si="322"/>
        <v>212796.9733499219</v>
      </c>
      <c r="AK23" s="13">
        <f t="shared" si="322"/>
        <v>212796.9733499219</v>
      </c>
      <c r="AL23" s="13">
        <f t="shared" si="322"/>
        <v>212796.9733499219</v>
      </c>
      <c r="AM23" s="13">
        <f t="shared" si="322"/>
        <v>212796.9733499219</v>
      </c>
      <c r="AN23" s="13">
        <f t="shared" si="322"/>
        <v>212796.9733499219</v>
      </c>
      <c r="AO23" s="13">
        <f t="shared" si="322"/>
        <v>212796.9733499219</v>
      </c>
      <c r="AP23" s="13">
        <f t="shared" si="322"/>
        <v>212796.9733499219</v>
      </c>
      <c r="AQ23" s="13">
        <f t="shared" si="322"/>
        <v>212796.9733499219</v>
      </c>
      <c r="AR23" s="13">
        <f t="shared" si="322"/>
        <v>212796.9733499219</v>
      </c>
      <c r="AS23" s="13">
        <f t="shared" si="322"/>
        <v>212796.9733499219</v>
      </c>
      <c r="AT23" s="13">
        <f t="shared" si="322"/>
        <v>212796.9733499219</v>
      </c>
      <c r="AU23" s="13">
        <f t="shared" si="322"/>
        <v>212796.9733499219</v>
      </c>
      <c r="AV23" s="13">
        <f t="shared" si="322"/>
        <v>212796.9733499219</v>
      </c>
      <c r="AW23" s="13">
        <f t="shared" si="322"/>
        <v>212796.9733499219</v>
      </c>
      <c r="AX23" s="13">
        <f t="shared" si="322"/>
        <v>212796.9733499219</v>
      </c>
      <c r="AY23" s="13">
        <f t="shared" si="322"/>
        <v>212796.9733499219</v>
      </c>
      <c r="AZ23" s="13">
        <f t="shared" si="322"/>
        <v>212796.9733499219</v>
      </c>
      <c r="BA23" s="13">
        <f t="shared" si="322"/>
        <v>212796.9733499219</v>
      </c>
      <c r="BB23" s="13">
        <f t="shared" si="322"/>
        <v>212796.9733499219</v>
      </c>
      <c r="BC23" s="13">
        <f t="shared" si="322"/>
        <v>212796.9733499219</v>
      </c>
      <c r="BD23" s="13">
        <f t="shared" si="322"/>
        <v>212796.9733499219</v>
      </c>
      <c r="BE23" s="13">
        <f t="shared" si="322"/>
        <v>212796.9733499219</v>
      </c>
      <c r="BF23" s="13">
        <f t="shared" si="322"/>
        <v>212796.9733499219</v>
      </c>
      <c r="BG23" s="13">
        <f t="shared" si="322"/>
        <v>212796.9733499219</v>
      </c>
      <c r="BH23" s="13">
        <f t="shared" si="322"/>
        <v>212796.9733499219</v>
      </c>
      <c r="BI23" s="13">
        <f t="shared" si="322"/>
        <v>212796.9733499219</v>
      </c>
      <c r="BJ23" s="13">
        <f t="shared" si="322"/>
        <v>212796.9733499219</v>
      </c>
      <c r="BK23" s="13">
        <f t="shared" si="322"/>
        <v>212796.9733499219</v>
      </c>
      <c r="BL23" s="13">
        <f t="shared" si="322"/>
        <v>212796.9733499219</v>
      </c>
      <c r="BM23" s="13">
        <f t="shared" si="322"/>
        <v>212796.9733499219</v>
      </c>
      <c r="BN23" s="13">
        <f t="shared" si="322"/>
        <v>212796.9733499219</v>
      </c>
      <c r="BO23" s="13">
        <f t="shared" si="322"/>
        <v>212796.9733499219</v>
      </c>
      <c r="BP23" s="13">
        <f t="shared" si="321"/>
        <v>212796.9733499219</v>
      </c>
      <c r="BQ23" s="13">
        <f t="shared" si="321"/>
        <v>212796.9733499219</v>
      </c>
      <c r="BR23" s="13">
        <f t="shared" si="321"/>
        <v>212796.9733499219</v>
      </c>
      <c r="BS23" s="13">
        <f t="shared" si="321"/>
        <v>212796.9733499219</v>
      </c>
      <c r="BT23" s="13">
        <f t="shared" si="321"/>
        <v>212796.9733499219</v>
      </c>
      <c r="BU23" s="13">
        <f t="shared" si="321"/>
        <v>212796.9733499219</v>
      </c>
      <c r="BV23" s="13">
        <f t="shared" si="321"/>
        <v>212796.9733499219</v>
      </c>
      <c r="BW23" s="13">
        <f t="shared" si="321"/>
        <v>283729.29779989587</v>
      </c>
      <c r="BX23" s="13">
        <f t="shared" si="321"/>
        <v>283729.29779989587</v>
      </c>
      <c r="BY23" s="13">
        <f t="shared" si="321"/>
        <v>283729.29779989587</v>
      </c>
      <c r="BZ23" s="13">
        <f t="shared" si="321"/>
        <v>283729.29779989587</v>
      </c>
      <c r="CA23" s="13">
        <f t="shared" si="321"/>
        <v>283729.29779989587</v>
      </c>
      <c r="CB23" s="13">
        <f t="shared" si="321"/>
        <v>283729.29779989587</v>
      </c>
      <c r="CC23" s="13">
        <f t="shared" si="321"/>
        <v>283729.29779989587</v>
      </c>
      <c r="CD23" s="13">
        <f t="shared" si="321"/>
        <v>283729.29779989587</v>
      </c>
      <c r="CE23" s="13">
        <f t="shared" si="321"/>
        <v>283729.29779989587</v>
      </c>
      <c r="CF23" s="13">
        <f t="shared" si="321"/>
        <v>283729.29779989587</v>
      </c>
      <c r="CG23" s="13">
        <f t="shared" si="321"/>
        <v>283729.29779989587</v>
      </c>
      <c r="CH23" s="13">
        <f t="shared" si="321"/>
        <v>283729.29779989587</v>
      </c>
      <c r="CI23" s="13">
        <f t="shared" si="321"/>
        <v>283729.29779989587</v>
      </c>
      <c r="CJ23" s="13">
        <f t="shared" si="321"/>
        <v>283729.29779989587</v>
      </c>
      <c r="CK23" s="13">
        <f t="shared" si="321"/>
        <v>283729.29779989587</v>
      </c>
      <c r="CL23" s="13">
        <f t="shared" si="321"/>
        <v>283729.29779989587</v>
      </c>
      <c r="CM23" s="13">
        <f t="shared" si="321"/>
        <v>283729.29779989587</v>
      </c>
      <c r="CN23" s="13">
        <f t="shared" si="321"/>
        <v>292241.17673389276</v>
      </c>
      <c r="CO23" s="13">
        <f t="shared" si="321"/>
        <v>292241.17673389276</v>
      </c>
      <c r="CP23" s="13">
        <f t="shared" si="321"/>
        <v>292241.17673389276</v>
      </c>
      <c r="CQ23" s="13">
        <f t="shared" si="321"/>
        <v>292241.17673389276</v>
      </c>
      <c r="CR23" s="13">
        <f t="shared" si="321"/>
        <v>292241.17673389276</v>
      </c>
      <c r="CS23" s="13">
        <f t="shared" si="321"/>
        <v>292241.17673389276</v>
      </c>
      <c r="CT23" s="13">
        <f t="shared" si="321"/>
        <v>292241.17673389276</v>
      </c>
      <c r="CU23" s="13">
        <f t="shared" si="321"/>
        <v>300753.05566788965</v>
      </c>
      <c r="CV23" s="13">
        <f t="shared" si="321"/>
        <v>300753.05566788965</v>
      </c>
      <c r="CW23" s="13">
        <f t="shared" si="321"/>
        <v>300753.05566788965</v>
      </c>
      <c r="CX23" s="13">
        <f t="shared" si="321"/>
        <v>300753.05566788965</v>
      </c>
      <c r="CY23" s="13">
        <f t="shared" si="321"/>
        <v>300753.05566788965</v>
      </c>
      <c r="CZ23" s="13">
        <f t="shared" si="321"/>
        <v>300753.05566788965</v>
      </c>
      <c r="DA23" s="13">
        <f t="shared" si="321"/>
        <v>300753.05566788965</v>
      </c>
      <c r="DB23" s="13">
        <f t="shared" si="321"/>
        <v>300753.05566788965</v>
      </c>
      <c r="DC23" s="13">
        <f t="shared" si="321"/>
        <v>300753.05566788965</v>
      </c>
      <c r="DD23" s="13">
        <f t="shared" si="321"/>
        <v>300753.05566788965</v>
      </c>
      <c r="DE23" s="13">
        <f t="shared" si="321"/>
        <v>300753.05566788965</v>
      </c>
      <c r="DF23" s="13">
        <f t="shared" si="321"/>
        <v>300753.05566788965</v>
      </c>
      <c r="DG23" s="13">
        <f t="shared" si="321"/>
        <v>309264.93460188649</v>
      </c>
      <c r="DH23" s="13">
        <f t="shared" si="321"/>
        <v>309264.93460188649</v>
      </c>
      <c r="DI23" s="13">
        <f t="shared" si="321"/>
        <v>309264.93460188649</v>
      </c>
      <c r="DJ23" s="13">
        <f t="shared" si="321"/>
        <v>309264.93460188649</v>
      </c>
      <c r="DK23" s="13">
        <f t="shared" si="321"/>
        <v>309264.93460188649</v>
      </c>
      <c r="DL23" s="13">
        <f t="shared" si="321"/>
        <v>309264.93460188649</v>
      </c>
      <c r="DM23" s="13">
        <f t="shared" si="321"/>
        <v>309264.93460188649</v>
      </c>
      <c r="DN23" s="13">
        <f t="shared" si="321"/>
        <v>309264.93460188649</v>
      </c>
      <c r="DO23" s="13">
        <f t="shared" si="321"/>
        <v>309264.93460188649</v>
      </c>
      <c r="DP23" s="13">
        <f t="shared" si="321"/>
        <v>309264.93460188649</v>
      </c>
      <c r="DQ23" s="13">
        <f t="shared" si="321"/>
        <v>309264.93460188649</v>
      </c>
      <c r="DR23" s="13">
        <f t="shared" si="321"/>
        <v>309264.93460188649</v>
      </c>
      <c r="DS23" s="13">
        <f t="shared" si="321"/>
        <v>317776.81353588338</v>
      </c>
      <c r="DT23" s="13">
        <f t="shared" si="321"/>
        <v>317776.81353588338</v>
      </c>
      <c r="DU23" s="13">
        <f t="shared" si="321"/>
        <v>317776.81353588338</v>
      </c>
      <c r="DV23" s="13">
        <f t="shared" si="321"/>
        <v>317776.81353588338</v>
      </c>
      <c r="DW23" s="13">
        <f t="shared" si="321"/>
        <v>317776.81353588338</v>
      </c>
      <c r="DX23" s="13">
        <f t="shared" si="321"/>
        <v>317776.81353588338</v>
      </c>
      <c r="DY23" s="13">
        <f t="shared" si="321"/>
        <v>317776.81353588338</v>
      </c>
      <c r="DZ23" s="13">
        <f t="shared" si="321"/>
        <v>317776.81353588338</v>
      </c>
      <c r="EA23" s="13">
        <f t="shared" ref="EA23:FZ25" si="323">$B23*EA$9</f>
        <v>317776.81353588338</v>
      </c>
      <c r="EB23" s="13">
        <f t="shared" si="323"/>
        <v>317776.81353588338</v>
      </c>
      <c r="EC23" s="13">
        <f t="shared" si="323"/>
        <v>317776.81353588338</v>
      </c>
      <c r="ED23" s="13">
        <f t="shared" si="323"/>
        <v>317776.81353588338</v>
      </c>
      <c r="EE23" s="13">
        <f t="shared" si="323"/>
        <v>326288.69246988028</v>
      </c>
      <c r="EF23" s="13">
        <f t="shared" si="323"/>
        <v>326288.69246988028</v>
      </c>
      <c r="EG23" s="13">
        <f t="shared" si="323"/>
        <v>326288.69246988028</v>
      </c>
      <c r="EH23" s="13">
        <f t="shared" si="323"/>
        <v>326288.69246988028</v>
      </c>
      <c r="EI23" s="13">
        <f t="shared" si="323"/>
        <v>326288.69246988028</v>
      </c>
      <c r="EJ23" s="13">
        <f t="shared" si="323"/>
        <v>326288.69246988028</v>
      </c>
      <c r="EK23" s="13">
        <f t="shared" si="323"/>
        <v>326288.69246988028</v>
      </c>
      <c r="EL23" s="13">
        <f t="shared" si="323"/>
        <v>326288.69246988028</v>
      </c>
      <c r="EM23" s="13">
        <f t="shared" si="323"/>
        <v>326288.69246988028</v>
      </c>
      <c r="EN23" s="13">
        <f t="shared" si="323"/>
        <v>326288.69246988028</v>
      </c>
      <c r="EO23" s="13">
        <f t="shared" si="323"/>
        <v>326288.69246988028</v>
      </c>
      <c r="EP23" s="13">
        <f t="shared" si="323"/>
        <v>326288.69246988028</v>
      </c>
      <c r="EQ23" s="13">
        <f t="shared" si="323"/>
        <v>334800.57140387717</v>
      </c>
      <c r="ER23" s="13">
        <f t="shared" si="323"/>
        <v>334800.57140387717</v>
      </c>
      <c r="ES23" s="13">
        <f t="shared" si="323"/>
        <v>334800.57140387717</v>
      </c>
      <c r="ET23" s="13">
        <f t="shared" si="323"/>
        <v>334800.57140387717</v>
      </c>
      <c r="EU23" s="13">
        <f t="shared" si="323"/>
        <v>334800.57140387717</v>
      </c>
      <c r="EV23" s="13">
        <f t="shared" si="323"/>
        <v>334800.57140387717</v>
      </c>
      <c r="EW23" s="13">
        <f t="shared" si="323"/>
        <v>334800.57140387717</v>
      </c>
      <c r="EX23" s="13">
        <f t="shared" si="323"/>
        <v>334800.57140387717</v>
      </c>
      <c r="EY23" s="13">
        <f t="shared" si="323"/>
        <v>334800.57140387717</v>
      </c>
      <c r="EZ23" s="13">
        <f t="shared" si="323"/>
        <v>334800.57140387717</v>
      </c>
      <c r="FA23" s="13">
        <f t="shared" si="323"/>
        <v>334800.57140387717</v>
      </c>
      <c r="FB23" s="13">
        <f t="shared" si="323"/>
        <v>334800.57140387717</v>
      </c>
      <c r="FC23" s="13">
        <f t="shared" si="323"/>
        <v>343312.45033787406</v>
      </c>
      <c r="FD23" s="13">
        <f t="shared" si="323"/>
        <v>343312.45033787406</v>
      </c>
      <c r="FE23" s="13">
        <f t="shared" si="323"/>
        <v>343312.45033787406</v>
      </c>
      <c r="FF23" s="13">
        <f t="shared" si="323"/>
        <v>343312.45033787406</v>
      </c>
      <c r="FG23" s="13">
        <f t="shared" si="323"/>
        <v>343312.45033787406</v>
      </c>
      <c r="FH23" s="13">
        <f t="shared" si="323"/>
        <v>343312.45033787406</v>
      </c>
      <c r="FI23" s="13">
        <f t="shared" si="323"/>
        <v>343312.45033787406</v>
      </c>
      <c r="FJ23" s="13">
        <f t="shared" si="323"/>
        <v>343312.45033787406</v>
      </c>
      <c r="FK23" s="13">
        <f t="shared" si="323"/>
        <v>343312.45033787406</v>
      </c>
      <c r="FL23" s="13">
        <f t="shared" si="323"/>
        <v>343312.45033787406</v>
      </c>
      <c r="FM23" s="13">
        <f t="shared" si="323"/>
        <v>343312.45033787406</v>
      </c>
      <c r="FN23" s="13">
        <f t="shared" si="323"/>
        <v>343312.45033787406</v>
      </c>
      <c r="FO23" s="13">
        <f t="shared" si="323"/>
        <v>351824.32927187096</v>
      </c>
      <c r="FP23" s="13">
        <f t="shared" si="323"/>
        <v>351824.32927187096</v>
      </c>
      <c r="FQ23" s="13">
        <f t="shared" si="323"/>
        <v>351824.32927187096</v>
      </c>
      <c r="FR23" s="13">
        <f t="shared" si="323"/>
        <v>351824.32927187096</v>
      </c>
      <c r="FS23" s="13">
        <f t="shared" si="323"/>
        <v>351824.32927187096</v>
      </c>
      <c r="FT23" s="13">
        <f t="shared" si="323"/>
        <v>351824.32927187096</v>
      </c>
      <c r="FU23" s="13">
        <f t="shared" si="323"/>
        <v>351824.32927187096</v>
      </c>
      <c r="FV23" s="13">
        <f t="shared" si="323"/>
        <v>351824.32927187096</v>
      </c>
      <c r="FW23" s="13">
        <f t="shared" si="323"/>
        <v>351824.32927187096</v>
      </c>
      <c r="FX23" s="13">
        <f t="shared" si="323"/>
        <v>351824.32927187096</v>
      </c>
      <c r="FY23" s="13">
        <f t="shared" si="323"/>
        <v>351824.32927187096</v>
      </c>
      <c r="FZ23" s="13">
        <f t="shared" si="323"/>
        <v>351824.32927187096</v>
      </c>
      <c r="GA23" s="13">
        <f t="shared" si="318"/>
        <v>360336.20820586779</v>
      </c>
      <c r="GB23" s="13">
        <f t="shared" si="318"/>
        <v>360336.20820586779</v>
      </c>
      <c r="GC23" s="13">
        <f t="shared" si="318"/>
        <v>360336.20820586779</v>
      </c>
      <c r="GD23" s="13">
        <f t="shared" si="318"/>
        <v>360336.20820586779</v>
      </c>
      <c r="GE23" s="13">
        <f t="shared" si="318"/>
        <v>360336.20820586779</v>
      </c>
      <c r="GF23" s="13">
        <f t="shared" si="318"/>
        <v>360336.20820586779</v>
      </c>
      <c r="GG23" s="13">
        <f t="shared" si="318"/>
        <v>360336.20820586779</v>
      </c>
      <c r="GH23" s="13">
        <f t="shared" si="318"/>
        <v>360336.20820586779</v>
      </c>
      <c r="GI23" s="13">
        <f t="shared" si="318"/>
        <v>360336.20820586779</v>
      </c>
      <c r="GJ23" s="13">
        <f t="shared" si="318"/>
        <v>360336.20820586779</v>
      </c>
      <c r="GK23" s="13">
        <f t="shared" si="318"/>
        <v>360336.20820586779</v>
      </c>
      <c r="GL23" s="13">
        <f t="shared" si="318"/>
        <v>360336.20820586779</v>
      </c>
      <c r="GM23" s="13">
        <f t="shared" si="318"/>
        <v>368848.08713986469</v>
      </c>
      <c r="GN23" s="13">
        <f t="shared" si="318"/>
        <v>368848.08713986469</v>
      </c>
      <c r="GO23" s="13">
        <f t="shared" si="318"/>
        <v>368848.08713986469</v>
      </c>
      <c r="GP23" s="13">
        <f t="shared" si="318"/>
        <v>368848.08713986469</v>
      </c>
      <c r="GQ23" s="13">
        <f t="shared" si="318"/>
        <v>368848.08713986469</v>
      </c>
      <c r="GR23" s="13">
        <f t="shared" si="318"/>
        <v>368848.08713986469</v>
      </c>
      <c r="GS23" s="13">
        <f t="shared" si="318"/>
        <v>368848.08713986469</v>
      </c>
      <c r="GT23" s="13">
        <f t="shared" si="318"/>
        <v>368848.08713986469</v>
      </c>
      <c r="GU23" s="13">
        <f t="shared" si="318"/>
        <v>368848.08713986469</v>
      </c>
      <c r="GV23" s="13">
        <f t="shared" si="318"/>
        <v>368848.08713986469</v>
      </c>
      <c r="GW23" s="13">
        <f t="shared" si="318"/>
        <v>368848.08713986469</v>
      </c>
      <c r="GX23" s="13">
        <f t="shared" si="318"/>
        <v>368848.08713986469</v>
      </c>
      <c r="GY23" s="13">
        <f t="shared" si="318"/>
        <v>377359.96607386158</v>
      </c>
      <c r="GZ23" s="13">
        <f t="shared" si="318"/>
        <v>377359.96607386158</v>
      </c>
      <c r="HA23" s="13">
        <f t="shared" si="318"/>
        <v>377359.96607386158</v>
      </c>
      <c r="HB23" s="13">
        <f t="shared" si="318"/>
        <v>377359.96607386158</v>
      </c>
      <c r="HC23" s="13">
        <f t="shared" si="318"/>
        <v>377359.96607386158</v>
      </c>
      <c r="HD23" s="13">
        <f t="shared" si="318"/>
        <v>377359.96607386158</v>
      </c>
      <c r="HE23" s="13">
        <f t="shared" si="318"/>
        <v>377359.96607386158</v>
      </c>
      <c r="HF23" s="13">
        <f t="shared" si="318"/>
        <v>377359.96607386158</v>
      </c>
      <c r="HG23" s="13">
        <f t="shared" si="318"/>
        <v>377359.96607386158</v>
      </c>
      <c r="HH23" s="13">
        <f t="shared" si="318"/>
        <v>377359.96607386158</v>
      </c>
      <c r="HI23" s="13">
        <f t="shared" si="318"/>
        <v>377359.96607386158</v>
      </c>
      <c r="HJ23" s="13">
        <f t="shared" si="318"/>
        <v>377359.96607386158</v>
      </c>
      <c r="HK23" s="13">
        <f t="shared" si="318"/>
        <v>377359.96607386158</v>
      </c>
      <c r="HL23" s="13">
        <f t="shared" si="318"/>
        <v>377359.96607386158</v>
      </c>
      <c r="HM23" s="13">
        <f t="shared" si="318"/>
        <v>377359.96607386158</v>
      </c>
      <c r="HN23" s="13">
        <f t="shared" si="318"/>
        <v>377359.96607386158</v>
      </c>
      <c r="HO23" s="13">
        <f t="shared" si="318"/>
        <v>377359.96607386158</v>
      </c>
      <c r="HP23" s="13">
        <f t="shared" si="318"/>
        <v>377359.96607386158</v>
      </c>
      <c r="HQ23" s="13">
        <f t="shared" si="318"/>
        <v>377359.96607386158</v>
      </c>
      <c r="HR23" s="13">
        <f t="shared" si="318"/>
        <v>377359.96607386158</v>
      </c>
      <c r="HS23" s="13">
        <f t="shared" si="318"/>
        <v>377359.96607386158</v>
      </c>
      <c r="HT23" s="13">
        <f t="shared" si="318"/>
        <v>377359.96607386158</v>
      </c>
      <c r="HU23" s="13">
        <f t="shared" si="318"/>
        <v>377359.96607386158</v>
      </c>
      <c r="HV23" s="13">
        <f t="shared" si="318"/>
        <v>377359.96607386158</v>
      </c>
      <c r="HW23" s="13">
        <f t="shared" si="318"/>
        <v>377359.96607386158</v>
      </c>
      <c r="HX23" s="13">
        <f t="shared" si="318"/>
        <v>377359.96607386158</v>
      </c>
      <c r="HY23" s="13">
        <f t="shared" si="318"/>
        <v>377359.96607386158</v>
      </c>
      <c r="HZ23" s="13">
        <f t="shared" si="318"/>
        <v>377359.96607386158</v>
      </c>
      <c r="IA23" s="13">
        <f t="shared" si="318"/>
        <v>377359.96607386158</v>
      </c>
      <c r="IB23" s="13">
        <f t="shared" si="318"/>
        <v>377359.96607386158</v>
      </c>
      <c r="IC23" s="13">
        <f t="shared" si="318"/>
        <v>377359.96607386158</v>
      </c>
      <c r="ID23" s="13">
        <f t="shared" si="318"/>
        <v>377359.96607386158</v>
      </c>
      <c r="IE23" s="13">
        <f t="shared" si="318"/>
        <v>377359.96607386158</v>
      </c>
      <c r="IF23" s="13">
        <f t="shared" si="318"/>
        <v>377359.96607386158</v>
      </c>
      <c r="IG23" s="13">
        <f t="shared" si="318"/>
        <v>377359.96607386158</v>
      </c>
      <c r="IH23" s="13">
        <f t="shared" si="318"/>
        <v>377359.96607386158</v>
      </c>
      <c r="II23" s="69">
        <f t="shared" si="314"/>
        <v>68529137.297608897</v>
      </c>
    </row>
    <row r="24" spans="1:243" x14ac:dyDescent="0.45">
      <c r="A24" s="16" t="s">
        <v>223</v>
      </c>
      <c r="B24" s="18">
        <v>20000</v>
      </c>
      <c r="C24" s="13">
        <f t="shared" si="320"/>
        <v>5000</v>
      </c>
      <c r="D24" s="13">
        <f t="shared" si="322"/>
        <v>5000</v>
      </c>
      <c r="E24" s="13">
        <f t="shared" si="322"/>
        <v>5000</v>
      </c>
      <c r="F24" s="13">
        <f t="shared" si="322"/>
        <v>5000</v>
      </c>
      <c r="G24" s="13">
        <f t="shared" si="322"/>
        <v>5000</v>
      </c>
      <c r="H24" s="13">
        <f t="shared" si="322"/>
        <v>5000</v>
      </c>
      <c r="I24" s="13">
        <f t="shared" si="322"/>
        <v>5000</v>
      </c>
      <c r="J24" s="13">
        <f t="shared" si="322"/>
        <v>5000</v>
      </c>
      <c r="K24" s="13">
        <f t="shared" si="322"/>
        <v>5000</v>
      </c>
      <c r="L24" s="13">
        <f t="shared" si="322"/>
        <v>5000</v>
      </c>
      <c r="M24" s="13">
        <f t="shared" si="322"/>
        <v>5000</v>
      </c>
      <c r="N24" s="13">
        <f t="shared" si="322"/>
        <v>5000</v>
      </c>
      <c r="O24" s="13">
        <f t="shared" si="322"/>
        <v>5000</v>
      </c>
      <c r="P24" s="13">
        <f t="shared" si="322"/>
        <v>5000</v>
      </c>
      <c r="Q24" s="13">
        <f t="shared" si="322"/>
        <v>5000</v>
      </c>
      <c r="R24" s="13">
        <f t="shared" si="322"/>
        <v>5000</v>
      </c>
      <c r="S24" s="13">
        <f t="shared" si="322"/>
        <v>5000</v>
      </c>
      <c r="T24" s="13">
        <f t="shared" si="322"/>
        <v>5000</v>
      </c>
      <c r="U24" s="13">
        <f t="shared" si="322"/>
        <v>5000</v>
      </c>
      <c r="V24" s="13">
        <f t="shared" si="322"/>
        <v>5000</v>
      </c>
      <c r="W24" s="13">
        <f t="shared" si="322"/>
        <v>5000</v>
      </c>
      <c r="X24" s="13">
        <f t="shared" si="322"/>
        <v>5000</v>
      </c>
      <c r="Y24" s="13">
        <f t="shared" si="322"/>
        <v>5000</v>
      </c>
      <c r="Z24" s="13">
        <f t="shared" si="322"/>
        <v>5000</v>
      </c>
      <c r="AA24" s="13">
        <f t="shared" si="322"/>
        <v>15000</v>
      </c>
      <c r="AB24" s="13">
        <f t="shared" si="322"/>
        <v>15000</v>
      </c>
      <c r="AC24" s="13">
        <f t="shared" si="322"/>
        <v>15000</v>
      </c>
      <c r="AD24" s="13">
        <f t="shared" si="322"/>
        <v>15000</v>
      </c>
      <c r="AE24" s="13">
        <f t="shared" si="322"/>
        <v>15000</v>
      </c>
      <c r="AF24" s="13">
        <f t="shared" si="322"/>
        <v>15000</v>
      </c>
      <c r="AG24" s="13">
        <f t="shared" si="322"/>
        <v>15000</v>
      </c>
      <c r="AH24" s="13">
        <f t="shared" si="322"/>
        <v>15000</v>
      </c>
      <c r="AI24" s="13">
        <f t="shared" si="322"/>
        <v>15000</v>
      </c>
      <c r="AJ24" s="13">
        <f t="shared" si="322"/>
        <v>15000</v>
      </c>
      <c r="AK24" s="13">
        <f t="shared" si="322"/>
        <v>15000</v>
      </c>
      <c r="AL24" s="13">
        <f t="shared" si="322"/>
        <v>15000</v>
      </c>
      <c r="AM24" s="13">
        <f t="shared" si="322"/>
        <v>15000</v>
      </c>
      <c r="AN24" s="13">
        <f t="shared" si="322"/>
        <v>15000</v>
      </c>
      <c r="AO24" s="13">
        <f t="shared" si="322"/>
        <v>15000</v>
      </c>
      <c r="AP24" s="13">
        <f t="shared" si="322"/>
        <v>15000</v>
      </c>
      <c r="AQ24" s="13">
        <f t="shared" si="322"/>
        <v>15000</v>
      </c>
      <c r="AR24" s="13">
        <f t="shared" si="322"/>
        <v>15000</v>
      </c>
      <c r="AS24" s="13">
        <f t="shared" si="322"/>
        <v>15000</v>
      </c>
      <c r="AT24" s="13">
        <f t="shared" si="322"/>
        <v>15000</v>
      </c>
      <c r="AU24" s="13">
        <f t="shared" si="322"/>
        <v>15000</v>
      </c>
      <c r="AV24" s="13">
        <f t="shared" si="322"/>
        <v>15000</v>
      </c>
      <c r="AW24" s="13">
        <f t="shared" si="322"/>
        <v>15000</v>
      </c>
      <c r="AX24" s="13">
        <f t="shared" si="322"/>
        <v>15000</v>
      </c>
      <c r="AY24" s="13">
        <f t="shared" si="322"/>
        <v>15000</v>
      </c>
      <c r="AZ24" s="13">
        <f t="shared" si="322"/>
        <v>15000</v>
      </c>
      <c r="BA24" s="13">
        <f t="shared" si="322"/>
        <v>15000</v>
      </c>
      <c r="BB24" s="13">
        <f t="shared" si="322"/>
        <v>15000</v>
      </c>
      <c r="BC24" s="13">
        <f t="shared" si="322"/>
        <v>15000</v>
      </c>
      <c r="BD24" s="13">
        <f t="shared" si="322"/>
        <v>15000</v>
      </c>
      <c r="BE24" s="13">
        <f t="shared" si="322"/>
        <v>15000</v>
      </c>
      <c r="BF24" s="13">
        <f t="shared" si="322"/>
        <v>15000</v>
      </c>
      <c r="BG24" s="13">
        <f t="shared" si="322"/>
        <v>15000</v>
      </c>
      <c r="BH24" s="13">
        <f t="shared" si="322"/>
        <v>15000</v>
      </c>
      <c r="BI24" s="13">
        <f t="shared" si="322"/>
        <v>15000</v>
      </c>
      <c r="BJ24" s="13">
        <f t="shared" si="322"/>
        <v>15000</v>
      </c>
      <c r="BK24" s="13">
        <f t="shared" si="322"/>
        <v>15000</v>
      </c>
      <c r="BL24" s="13">
        <f t="shared" si="322"/>
        <v>15000</v>
      </c>
      <c r="BM24" s="13">
        <f t="shared" si="322"/>
        <v>15000</v>
      </c>
      <c r="BN24" s="13">
        <f t="shared" si="322"/>
        <v>15000</v>
      </c>
      <c r="BO24" s="13">
        <f t="shared" si="322"/>
        <v>15000</v>
      </c>
      <c r="BP24" s="13">
        <f t="shared" ref="BP24:EA25" si="324">$B24*BP$9</f>
        <v>15000</v>
      </c>
      <c r="BQ24" s="13">
        <f t="shared" si="324"/>
        <v>15000</v>
      </c>
      <c r="BR24" s="13">
        <f t="shared" si="324"/>
        <v>15000</v>
      </c>
      <c r="BS24" s="13">
        <f t="shared" si="324"/>
        <v>15000</v>
      </c>
      <c r="BT24" s="13">
        <f t="shared" si="324"/>
        <v>15000</v>
      </c>
      <c r="BU24" s="13">
        <f t="shared" si="324"/>
        <v>15000</v>
      </c>
      <c r="BV24" s="13">
        <f t="shared" si="324"/>
        <v>15000</v>
      </c>
      <c r="BW24" s="13">
        <f t="shared" si="324"/>
        <v>20000</v>
      </c>
      <c r="BX24" s="13">
        <f t="shared" si="324"/>
        <v>20000</v>
      </c>
      <c r="BY24" s="13">
        <f t="shared" si="324"/>
        <v>20000</v>
      </c>
      <c r="BZ24" s="13">
        <f t="shared" si="324"/>
        <v>20000</v>
      </c>
      <c r="CA24" s="13">
        <f t="shared" si="324"/>
        <v>20000</v>
      </c>
      <c r="CB24" s="13">
        <f t="shared" si="324"/>
        <v>20000</v>
      </c>
      <c r="CC24" s="13">
        <f t="shared" si="324"/>
        <v>20000</v>
      </c>
      <c r="CD24" s="13">
        <f t="shared" si="324"/>
        <v>20000</v>
      </c>
      <c r="CE24" s="13">
        <f t="shared" si="324"/>
        <v>20000</v>
      </c>
      <c r="CF24" s="13">
        <f t="shared" si="324"/>
        <v>20000</v>
      </c>
      <c r="CG24" s="13">
        <f t="shared" si="324"/>
        <v>20000</v>
      </c>
      <c r="CH24" s="13">
        <f t="shared" si="324"/>
        <v>20000</v>
      </c>
      <c r="CI24" s="13">
        <f t="shared" si="324"/>
        <v>20000</v>
      </c>
      <c r="CJ24" s="13">
        <f t="shared" si="324"/>
        <v>20000</v>
      </c>
      <c r="CK24" s="13">
        <f t="shared" si="324"/>
        <v>20000</v>
      </c>
      <c r="CL24" s="13">
        <f t="shared" si="324"/>
        <v>20000</v>
      </c>
      <c r="CM24" s="13">
        <f t="shared" si="324"/>
        <v>20000</v>
      </c>
      <c r="CN24" s="13">
        <f t="shared" si="324"/>
        <v>20600</v>
      </c>
      <c r="CO24" s="13">
        <f t="shared" si="324"/>
        <v>20600</v>
      </c>
      <c r="CP24" s="13">
        <f t="shared" si="324"/>
        <v>20600</v>
      </c>
      <c r="CQ24" s="13">
        <f t="shared" si="324"/>
        <v>20600</v>
      </c>
      <c r="CR24" s="13">
        <f t="shared" si="324"/>
        <v>20600</v>
      </c>
      <c r="CS24" s="13">
        <f t="shared" si="324"/>
        <v>20600</v>
      </c>
      <c r="CT24" s="13">
        <f t="shared" si="324"/>
        <v>20600</v>
      </c>
      <c r="CU24" s="13">
        <f t="shared" si="324"/>
        <v>21200</v>
      </c>
      <c r="CV24" s="13">
        <f t="shared" si="324"/>
        <v>21200</v>
      </c>
      <c r="CW24" s="13">
        <f t="shared" si="324"/>
        <v>21200</v>
      </c>
      <c r="CX24" s="13">
        <f t="shared" si="324"/>
        <v>21200</v>
      </c>
      <c r="CY24" s="13">
        <f t="shared" si="324"/>
        <v>21200</v>
      </c>
      <c r="CZ24" s="13">
        <f t="shared" si="324"/>
        <v>21200</v>
      </c>
      <c r="DA24" s="13">
        <f t="shared" si="324"/>
        <v>21200</v>
      </c>
      <c r="DB24" s="13">
        <f t="shared" si="324"/>
        <v>21200</v>
      </c>
      <c r="DC24" s="13">
        <f t="shared" si="324"/>
        <v>21200</v>
      </c>
      <c r="DD24" s="13">
        <f t="shared" si="324"/>
        <v>21200</v>
      </c>
      <c r="DE24" s="13">
        <f t="shared" si="324"/>
        <v>21200</v>
      </c>
      <c r="DF24" s="13">
        <f t="shared" si="324"/>
        <v>21200</v>
      </c>
      <c r="DG24" s="13">
        <f t="shared" si="324"/>
        <v>21800</v>
      </c>
      <c r="DH24" s="13">
        <f t="shared" si="324"/>
        <v>21800</v>
      </c>
      <c r="DI24" s="13">
        <f t="shared" si="324"/>
        <v>21800</v>
      </c>
      <c r="DJ24" s="13">
        <f t="shared" si="324"/>
        <v>21800</v>
      </c>
      <c r="DK24" s="13">
        <f t="shared" si="324"/>
        <v>21800</v>
      </c>
      <c r="DL24" s="13">
        <f t="shared" si="324"/>
        <v>21800</v>
      </c>
      <c r="DM24" s="13">
        <f t="shared" si="324"/>
        <v>21800</v>
      </c>
      <c r="DN24" s="13">
        <f t="shared" si="324"/>
        <v>21800</v>
      </c>
      <c r="DO24" s="13">
        <f t="shared" si="324"/>
        <v>21800</v>
      </c>
      <c r="DP24" s="13">
        <f t="shared" si="324"/>
        <v>21800</v>
      </c>
      <c r="DQ24" s="13">
        <f t="shared" si="324"/>
        <v>21800</v>
      </c>
      <c r="DR24" s="13">
        <f t="shared" si="324"/>
        <v>21800</v>
      </c>
      <c r="DS24" s="13">
        <f t="shared" si="324"/>
        <v>22400.000000000004</v>
      </c>
      <c r="DT24" s="13">
        <f t="shared" si="324"/>
        <v>22400.000000000004</v>
      </c>
      <c r="DU24" s="13">
        <f t="shared" si="324"/>
        <v>22400.000000000004</v>
      </c>
      <c r="DV24" s="13">
        <f t="shared" si="324"/>
        <v>22400.000000000004</v>
      </c>
      <c r="DW24" s="13">
        <f t="shared" si="324"/>
        <v>22400.000000000004</v>
      </c>
      <c r="DX24" s="13">
        <f t="shared" si="324"/>
        <v>22400.000000000004</v>
      </c>
      <c r="DY24" s="13">
        <f t="shared" si="324"/>
        <v>22400.000000000004</v>
      </c>
      <c r="DZ24" s="13">
        <f t="shared" si="324"/>
        <v>22400.000000000004</v>
      </c>
      <c r="EA24" s="13">
        <f t="shared" si="324"/>
        <v>22400.000000000004</v>
      </c>
      <c r="EB24" s="13">
        <f t="shared" si="323"/>
        <v>22400.000000000004</v>
      </c>
      <c r="EC24" s="13">
        <f t="shared" si="323"/>
        <v>22400.000000000004</v>
      </c>
      <c r="ED24" s="13">
        <f t="shared" si="323"/>
        <v>22400.000000000004</v>
      </c>
      <c r="EE24" s="13">
        <f t="shared" si="323"/>
        <v>23000.000000000004</v>
      </c>
      <c r="EF24" s="13">
        <f t="shared" si="323"/>
        <v>23000.000000000004</v>
      </c>
      <c r="EG24" s="13">
        <f t="shared" si="323"/>
        <v>23000.000000000004</v>
      </c>
      <c r="EH24" s="13">
        <f t="shared" si="323"/>
        <v>23000.000000000004</v>
      </c>
      <c r="EI24" s="13">
        <f t="shared" si="323"/>
        <v>23000.000000000004</v>
      </c>
      <c r="EJ24" s="13">
        <f t="shared" si="323"/>
        <v>23000.000000000004</v>
      </c>
      <c r="EK24" s="13">
        <f t="shared" si="323"/>
        <v>23000.000000000004</v>
      </c>
      <c r="EL24" s="13">
        <f t="shared" si="323"/>
        <v>23000.000000000004</v>
      </c>
      <c r="EM24" s="13">
        <f t="shared" si="323"/>
        <v>23000.000000000004</v>
      </c>
      <c r="EN24" s="13">
        <f t="shared" si="323"/>
        <v>23000.000000000004</v>
      </c>
      <c r="EO24" s="13">
        <f t="shared" si="323"/>
        <v>23000.000000000004</v>
      </c>
      <c r="EP24" s="13">
        <f t="shared" si="323"/>
        <v>23000.000000000004</v>
      </c>
      <c r="EQ24" s="13">
        <f t="shared" si="323"/>
        <v>23600.000000000004</v>
      </c>
      <c r="ER24" s="13">
        <f t="shared" si="323"/>
        <v>23600.000000000004</v>
      </c>
      <c r="ES24" s="13">
        <f t="shared" si="323"/>
        <v>23600.000000000004</v>
      </c>
      <c r="ET24" s="13">
        <f t="shared" si="323"/>
        <v>23600.000000000004</v>
      </c>
      <c r="EU24" s="13">
        <f t="shared" si="323"/>
        <v>23600.000000000004</v>
      </c>
      <c r="EV24" s="13">
        <f t="shared" si="323"/>
        <v>23600.000000000004</v>
      </c>
      <c r="EW24" s="13">
        <f t="shared" si="323"/>
        <v>23600.000000000004</v>
      </c>
      <c r="EX24" s="13">
        <f t="shared" si="323"/>
        <v>23600.000000000004</v>
      </c>
      <c r="EY24" s="13">
        <f t="shared" si="323"/>
        <v>23600.000000000004</v>
      </c>
      <c r="EZ24" s="13">
        <f t="shared" si="323"/>
        <v>23600.000000000004</v>
      </c>
      <c r="FA24" s="13">
        <f t="shared" si="323"/>
        <v>23600.000000000004</v>
      </c>
      <c r="FB24" s="13">
        <f t="shared" si="323"/>
        <v>23600.000000000004</v>
      </c>
      <c r="FC24" s="13">
        <f t="shared" si="323"/>
        <v>24200.000000000004</v>
      </c>
      <c r="FD24" s="13">
        <f t="shared" si="323"/>
        <v>24200.000000000004</v>
      </c>
      <c r="FE24" s="13">
        <f t="shared" si="323"/>
        <v>24200.000000000004</v>
      </c>
      <c r="FF24" s="13">
        <f t="shared" si="323"/>
        <v>24200.000000000004</v>
      </c>
      <c r="FG24" s="13">
        <f t="shared" si="323"/>
        <v>24200.000000000004</v>
      </c>
      <c r="FH24" s="13">
        <f t="shared" si="323"/>
        <v>24200.000000000004</v>
      </c>
      <c r="FI24" s="13">
        <f t="shared" si="323"/>
        <v>24200.000000000004</v>
      </c>
      <c r="FJ24" s="13">
        <f t="shared" si="323"/>
        <v>24200.000000000004</v>
      </c>
      <c r="FK24" s="13">
        <f t="shared" si="323"/>
        <v>24200.000000000004</v>
      </c>
      <c r="FL24" s="13">
        <f t="shared" si="323"/>
        <v>24200.000000000004</v>
      </c>
      <c r="FM24" s="13">
        <f t="shared" si="323"/>
        <v>24200.000000000004</v>
      </c>
      <c r="FN24" s="13">
        <f t="shared" si="323"/>
        <v>24200.000000000004</v>
      </c>
      <c r="FO24" s="13">
        <f t="shared" si="323"/>
        <v>24800.000000000004</v>
      </c>
      <c r="FP24" s="13">
        <f t="shared" si="323"/>
        <v>24800.000000000004</v>
      </c>
      <c r="FQ24" s="13">
        <f t="shared" si="323"/>
        <v>24800.000000000004</v>
      </c>
      <c r="FR24" s="13">
        <f t="shared" si="323"/>
        <v>24800.000000000004</v>
      </c>
      <c r="FS24" s="13">
        <f t="shared" si="323"/>
        <v>24800.000000000004</v>
      </c>
      <c r="FT24" s="13">
        <f t="shared" si="323"/>
        <v>24800.000000000004</v>
      </c>
      <c r="FU24" s="13">
        <f t="shared" si="323"/>
        <v>24800.000000000004</v>
      </c>
      <c r="FV24" s="13">
        <f t="shared" si="323"/>
        <v>24800.000000000004</v>
      </c>
      <c r="FW24" s="13">
        <f t="shared" si="323"/>
        <v>24800.000000000004</v>
      </c>
      <c r="FX24" s="13">
        <f t="shared" si="323"/>
        <v>24800.000000000004</v>
      </c>
      <c r="FY24" s="13">
        <f t="shared" si="323"/>
        <v>24800.000000000004</v>
      </c>
      <c r="FZ24" s="13">
        <f t="shared" si="323"/>
        <v>24800.000000000004</v>
      </c>
      <c r="GA24" s="13">
        <f t="shared" ref="GA24:IH25" si="325">$B24*GA$9</f>
        <v>25400.000000000004</v>
      </c>
      <c r="GB24" s="13">
        <f t="shared" si="325"/>
        <v>25400.000000000004</v>
      </c>
      <c r="GC24" s="13">
        <f t="shared" si="325"/>
        <v>25400.000000000004</v>
      </c>
      <c r="GD24" s="13">
        <f t="shared" si="325"/>
        <v>25400.000000000004</v>
      </c>
      <c r="GE24" s="13">
        <f t="shared" si="325"/>
        <v>25400.000000000004</v>
      </c>
      <c r="GF24" s="13">
        <f t="shared" si="325"/>
        <v>25400.000000000004</v>
      </c>
      <c r="GG24" s="13">
        <f t="shared" si="325"/>
        <v>25400.000000000004</v>
      </c>
      <c r="GH24" s="13">
        <f t="shared" si="325"/>
        <v>25400.000000000004</v>
      </c>
      <c r="GI24" s="13">
        <f t="shared" si="325"/>
        <v>25400.000000000004</v>
      </c>
      <c r="GJ24" s="13">
        <f t="shared" si="325"/>
        <v>25400.000000000004</v>
      </c>
      <c r="GK24" s="13">
        <f t="shared" si="325"/>
        <v>25400.000000000004</v>
      </c>
      <c r="GL24" s="13">
        <f t="shared" si="325"/>
        <v>25400.000000000004</v>
      </c>
      <c r="GM24" s="13">
        <f t="shared" si="325"/>
        <v>26000.000000000004</v>
      </c>
      <c r="GN24" s="13">
        <f t="shared" si="325"/>
        <v>26000.000000000004</v>
      </c>
      <c r="GO24" s="13">
        <f t="shared" si="325"/>
        <v>26000.000000000004</v>
      </c>
      <c r="GP24" s="13">
        <f t="shared" si="325"/>
        <v>26000.000000000004</v>
      </c>
      <c r="GQ24" s="13">
        <f t="shared" si="325"/>
        <v>26000.000000000004</v>
      </c>
      <c r="GR24" s="13">
        <f t="shared" si="325"/>
        <v>26000.000000000004</v>
      </c>
      <c r="GS24" s="13">
        <f t="shared" si="325"/>
        <v>26000.000000000004</v>
      </c>
      <c r="GT24" s="13">
        <f t="shared" si="325"/>
        <v>26000.000000000004</v>
      </c>
      <c r="GU24" s="13">
        <f t="shared" si="325"/>
        <v>26000.000000000004</v>
      </c>
      <c r="GV24" s="13">
        <f t="shared" si="325"/>
        <v>26000.000000000004</v>
      </c>
      <c r="GW24" s="13">
        <f t="shared" si="325"/>
        <v>26000.000000000004</v>
      </c>
      <c r="GX24" s="13">
        <f t="shared" si="325"/>
        <v>26000.000000000004</v>
      </c>
      <c r="GY24" s="13">
        <f t="shared" si="325"/>
        <v>26600.000000000007</v>
      </c>
      <c r="GZ24" s="13">
        <f t="shared" si="325"/>
        <v>26600.000000000007</v>
      </c>
      <c r="HA24" s="13">
        <f t="shared" si="325"/>
        <v>26600.000000000007</v>
      </c>
      <c r="HB24" s="13">
        <f t="shared" si="325"/>
        <v>26600.000000000007</v>
      </c>
      <c r="HC24" s="13">
        <f t="shared" si="325"/>
        <v>26600.000000000007</v>
      </c>
      <c r="HD24" s="13">
        <f t="shared" si="325"/>
        <v>26600.000000000007</v>
      </c>
      <c r="HE24" s="13">
        <f t="shared" si="325"/>
        <v>26600.000000000007</v>
      </c>
      <c r="HF24" s="13">
        <f t="shared" si="325"/>
        <v>26600.000000000007</v>
      </c>
      <c r="HG24" s="13">
        <f t="shared" si="325"/>
        <v>26600.000000000007</v>
      </c>
      <c r="HH24" s="13">
        <f t="shared" si="325"/>
        <v>26600.000000000007</v>
      </c>
      <c r="HI24" s="13">
        <f t="shared" si="325"/>
        <v>26600.000000000007</v>
      </c>
      <c r="HJ24" s="13">
        <f t="shared" si="325"/>
        <v>26600.000000000007</v>
      </c>
      <c r="HK24" s="13">
        <f t="shared" si="325"/>
        <v>26600.000000000007</v>
      </c>
      <c r="HL24" s="13">
        <f t="shared" si="325"/>
        <v>26600.000000000007</v>
      </c>
      <c r="HM24" s="13">
        <f t="shared" si="325"/>
        <v>26600.000000000007</v>
      </c>
      <c r="HN24" s="13">
        <f t="shared" si="325"/>
        <v>26600.000000000007</v>
      </c>
      <c r="HO24" s="13">
        <f t="shared" si="325"/>
        <v>26600.000000000007</v>
      </c>
      <c r="HP24" s="13">
        <f t="shared" si="325"/>
        <v>26600.000000000007</v>
      </c>
      <c r="HQ24" s="13">
        <f t="shared" si="325"/>
        <v>26600.000000000007</v>
      </c>
      <c r="HR24" s="13">
        <f t="shared" si="325"/>
        <v>26600.000000000007</v>
      </c>
      <c r="HS24" s="13">
        <f t="shared" si="325"/>
        <v>26600.000000000007</v>
      </c>
      <c r="HT24" s="13">
        <f t="shared" si="325"/>
        <v>26600.000000000007</v>
      </c>
      <c r="HU24" s="13">
        <f t="shared" si="325"/>
        <v>26600.000000000007</v>
      </c>
      <c r="HV24" s="13">
        <f t="shared" si="325"/>
        <v>26600.000000000007</v>
      </c>
      <c r="HW24" s="13">
        <f t="shared" si="325"/>
        <v>26600.000000000007</v>
      </c>
      <c r="HX24" s="13">
        <f t="shared" si="325"/>
        <v>26600.000000000007</v>
      </c>
      <c r="HY24" s="13">
        <f t="shared" si="325"/>
        <v>26600.000000000007</v>
      </c>
      <c r="HZ24" s="13">
        <f t="shared" si="325"/>
        <v>26600.000000000007</v>
      </c>
      <c r="IA24" s="13">
        <f t="shared" si="325"/>
        <v>26600.000000000007</v>
      </c>
      <c r="IB24" s="13">
        <f t="shared" si="325"/>
        <v>26600.000000000007</v>
      </c>
      <c r="IC24" s="13">
        <f t="shared" si="325"/>
        <v>26600.000000000007</v>
      </c>
      <c r="ID24" s="13">
        <f t="shared" si="325"/>
        <v>26600.000000000007</v>
      </c>
      <c r="IE24" s="13">
        <f t="shared" si="325"/>
        <v>26600.000000000007</v>
      </c>
      <c r="IF24" s="13">
        <f t="shared" si="325"/>
        <v>26600.000000000007</v>
      </c>
      <c r="IG24" s="13">
        <f t="shared" si="325"/>
        <v>26600.000000000007</v>
      </c>
      <c r="IH24" s="13">
        <f t="shared" si="325"/>
        <v>26600.000000000007</v>
      </c>
      <c r="II24" s="69">
        <f t="shared" si="314"/>
        <v>4830600</v>
      </c>
    </row>
    <row r="25" spans="1:243" x14ac:dyDescent="0.45">
      <c r="A25" s="16" t="s">
        <v>224</v>
      </c>
      <c r="B25" s="18">
        <v>50000</v>
      </c>
      <c r="C25" s="13">
        <f t="shared" si="320"/>
        <v>12500</v>
      </c>
      <c r="D25" s="13">
        <f t="shared" si="322"/>
        <v>12500</v>
      </c>
      <c r="E25" s="13">
        <f t="shared" si="322"/>
        <v>12500</v>
      </c>
      <c r="F25" s="13">
        <f t="shared" si="322"/>
        <v>12500</v>
      </c>
      <c r="G25" s="13">
        <f t="shared" si="322"/>
        <v>12500</v>
      </c>
      <c r="H25" s="13">
        <f t="shared" si="322"/>
        <v>12500</v>
      </c>
      <c r="I25" s="13">
        <f t="shared" si="322"/>
        <v>12500</v>
      </c>
      <c r="J25" s="13">
        <f t="shared" si="322"/>
        <v>12500</v>
      </c>
      <c r="K25" s="13">
        <f t="shared" si="322"/>
        <v>12500</v>
      </c>
      <c r="L25" s="13">
        <f t="shared" si="322"/>
        <v>12500</v>
      </c>
      <c r="M25" s="13">
        <f t="shared" si="322"/>
        <v>12500</v>
      </c>
      <c r="N25" s="13">
        <f t="shared" si="322"/>
        <v>12500</v>
      </c>
      <c r="O25" s="13">
        <f t="shared" si="322"/>
        <v>12500</v>
      </c>
      <c r="P25" s="13">
        <f t="shared" si="322"/>
        <v>12500</v>
      </c>
      <c r="Q25" s="13">
        <f t="shared" si="322"/>
        <v>12500</v>
      </c>
      <c r="R25" s="13">
        <f t="shared" si="322"/>
        <v>12500</v>
      </c>
      <c r="S25" s="13">
        <f t="shared" si="322"/>
        <v>12500</v>
      </c>
      <c r="T25" s="13">
        <f t="shared" si="322"/>
        <v>12500</v>
      </c>
      <c r="U25" s="13">
        <f t="shared" si="322"/>
        <v>12500</v>
      </c>
      <c r="V25" s="13">
        <f t="shared" si="322"/>
        <v>12500</v>
      </c>
      <c r="W25" s="13">
        <f t="shared" si="322"/>
        <v>12500</v>
      </c>
      <c r="X25" s="13">
        <f t="shared" si="322"/>
        <v>12500</v>
      </c>
      <c r="Y25" s="13">
        <f t="shared" si="322"/>
        <v>12500</v>
      </c>
      <c r="Z25" s="13">
        <f t="shared" si="322"/>
        <v>12500</v>
      </c>
      <c r="AA25" s="13">
        <f t="shared" si="322"/>
        <v>37500</v>
      </c>
      <c r="AB25" s="13">
        <f t="shared" si="322"/>
        <v>37500</v>
      </c>
      <c r="AC25" s="13">
        <f t="shared" si="322"/>
        <v>37500</v>
      </c>
      <c r="AD25" s="13">
        <f t="shared" si="322"/>
        <v>37500</v>
      </c>
      <c r="AE25" s="13">
        <f t="shared" si="322"/>
        <v>37500</v>
      </c>
      <c r="AF25" s="13">
        <f t="shared" si="322"/>
        <v>37500</v>
      </c>
      <c r="AG25" s="13">
        <f t="shared" si="322"/>
        <v>37500</v>
      </c>
      <c r="AH25" s="13">
        <f t="shared" si="322"/>
        <v>37500</v>
      </c>
      <c r="AI25" s="13">
        <f t="shared" si="322"/>
        <v>37500</v>
      </c>
      <c r="AJ25" s="13">
        <f t="shared" si="322"/>
        <v>37500</v>
      </c>
      <c r="AK25" s="13">
        <f t="shared" si="322"/>
        <v>37500</v>
      </c>
      <c r="AL25" s="13">
        <f t="shared" si="322"/>
        <v>37500</v>
      </c>
      <c r="AM25" s="13">
        <f t="shared" si="322"/>
        <v>37500</v>
      </c>
      <c r="AN25" s="13">
        <f t="shared" si="322"/>
        <v>37500</v>
      </c>
      <c r="AO25" s="13">
        <f t="shared" si="322"/>
        <v>37500</v>
      </c>
      <c r="AP25" s="13">
        <f t="shared" si="322"/>
        <v>37500</v>
      </c>
      <c r="AQ25" s="13">
        <f t="shared" si="322"/>
        <v>37500</v>
      </c>
      <c r="AR25" s="13">
        <f t="shared" si="322"/>
        <v>37500</v>
      </c>
      <c r="AS25" s="13">
        <f t="shared" si="322"/>
        <v>37500</v>
      </c>
      <c r="AT25" s="13">
        <f t="shared" si="322"/>
        <v>37500</v>
      </c>
      <c r="AU25" s="13">
        <f t="shared" si="322"/>
        <v>37500</v>
      </c>
      <c r="AV25" s="13">
        <f t="shared" si="322"/>
        <v>37500</v>
      </c>
      <c r="AW25" s="13">
        <f t="shared" si="322"/>
        <v>37500</v>
      </c>
      <c r="AX25" s="13">
        <f t="shared" si="322"/>
        <v>37500</v>
      </c>
      <c r="AY25" s="13">
        <f t="shared" si="322"/>
        <v>37500</v>
      </c>
      <c r="AZ25" s="13">
        <f t="shared" si="322"/>
        <v>37500</v>
      </c>
      <c r="BA25" s="13">
        <f t="shared" si="322"/>
        <v>37500</v>
      </c>
      <c r="BB25" s="13">
        <f t="shared" si="322"/>
        <v>37500</v>
      </c>
      <c r="BC25" s="13">
        <f t="shared" si="322"/>
        <v>37500</v>
      </c>
      <c r="BD25" s="13">
        <f t="shared" si="322"/>
        <v>37500</v>
      </c>
      <c r="BE25" s="13">
        <f t="shared" si="322"/>
        <v>37500</v>
      </c>
      <c r="BF25" s="13">
        <f t="shared" si="322"/>
        <v>37500</v>
      </c>
      <c r="BG25" s="13">
        <f t="shared" si="322"/>
        <v>37500</v>
      </c>
      <c r="BH25" s="13">
        <f t="shared" si="322"/>
        <v>37500</v>
      </c>
      <c r="BI25" s="13">
        <f t="shared" si="322"/>
        <v>37500</v>
      </c>
      <c r="BJ25" s="13">
        <f t="shared" si="322"/>
        <v>37500</v>
      </c>
      <c r="BK25" s="13">
        <f t="shared" si="322"/>
        <v>37500</v>
      </c>
      <c r="BL25" s="13">
        <f t="shared" si="322"/>
        <v>37500</v>
      </c>
      <c r="BM25" s="13">
        <f t="shared" si="322"/>
        <v>37500</v>
      </c>
      <c r="BN25" s="13">
        <f t="shared" si="322"/>
        <v>37500</v>
      </c>
      <c r="BO25" s="13">
        <f t="shared" ref="BO25:DZ25" si="326">$B25*BO$9</f>
        <v>37500</v>
      </c>
      <c r="BP25" s="13">
        <f t="shared" si="326"/>
        <v>37500</v>
      </c>
      <c r="BQ25" s="13">
        <f t="shared" si="326"/>
        <v>37500</v>
      </c>
      <c r="BR25" s="13">
        <f t="shared" si="326"/>
        <v>37500</v>
      </c>
      <c r="BS25" s="13">
        <f t="shared" si="326"/>
        <v>37500</v>
      </c>
      <c r="BT25" s="13">
        <f t="shared" si="326"/>
        <v>37500</v>
      </c>
      <c r="BU25" s="13">
        <f t="shared" si="326"/>
        <v>37500</v>
      </c>
      <c r="BV25" s="13">
        <f t="shared" si="326"/>
        <v>37500</v>
      </c>
      <c r="BW25" s="13">
        <f t="shared" si="326"/>
        <v>50000</v>
      </c>
      <c r="BX25" s="13">
        <f t="shared" si="326"/>
        <v>50000</v>
      </c>
      <c r="BY25" s="13">
        <f t="shared" si="326"/>
        <v>50000</v>
      </c>
      <c r="BZ25" s="13">
        <f t="shared" si="326"/>
        <v>50000</v>
      </c>
      <c r="CA25" s="13">
        <f t="shared" si="326"/>
        <v>50000</v>
      </c>
      <c r="CB25" s="13">
        <f t="shared" si="326"/>
        <v>50000</v>
      </c>
      <c r="CC25" s="13">
        <f t="shared" si="326"/>
        <v>50000</v>
      </c>
      <c r="CD25" s="13">
        <f t="shared" si="326"/>
        <v>50000</v>
      </c>
      <c r="CE25" s="13">
        <f t="shared" si="326"/>
        <v>50000</v>
      </c>
      <c r="CF25" s="13">
        <f t="shared" si="326"/>
        <v>50000</v>
      </c>
      <c r="CG25" s="13">
        <f t="shared" si="326"/>
        <v>50000</v>
      </c>
      <c r="CH25" s="13">
        <f t="shared" si="326"/>
        <v>50000</v>
      </c>
      <c r="CI25" s="13">
        <f t="shared" si="326"/>
        <v>50000</v>
      </c>
      <c r="CJ25" s="13">
        <f t="shared" si="326"/>
        <v>50000</v>
      </c>
      <c r="CK25" s="13">
        <f t="shared" si="326"/>
        <v>50000</v>
      </c>
      <c r="CL25" s="13">
        <f t="shared" si="326"/>
        <v>50000</v>
      </c>
      <c r="CM25" s="13">
        <f t="shared" si="326"/>
        <v>50000</v>
      </c>
      <c r="CN25" s="13">
        <f t="shared" si="326"/>
        <v>51500</v>
      </c>
      <c r="CO25" s="13">
        <f t="shared" si="326"/>
        <v>51500</v>
      </c>
      <c r="CP25" s="13">
        <f t="shared" si="326"/>
        <v>51500</v>
      </c>
      <c r="CQ25" s="13">
        <f t="shared" si="326"/>
        <v>51500</v>
      </c>
      <c r="CR25" s="13">
        <f t="shared" si="326"/>
        <v>51500</v>
      </c>
      <c r="CS25" s="13">
        <f t="shared" si="326"/>
        <v>51500</v>
      </c>
      <c r="CT25" s="13">
        <f t="shared" si="326"/>
        <v>51500</v>
      </c>
      <c r="CU25" s="13">
        <f t="shared" si="326"/>
        <v>53000</v>
      </c>
      <c r="CV25" s="13">
        <f t="shared" si="326"/>
        <v>53000</v>
      </c>
      <c r="CW25" s="13">
        <f t="shared" si="326"/>
        <v>53000</v>
      </c>
      <c r="CX25" s="13">
        <f t="shared" si="326"/>
        <v>53000</v>
      </c>
      <c r="CY25" s="13">
        <f t="shared" si="326"/>
        <v>53000</v>
      </c>
      <c r="CZ25" s="13">
        <f t="shared" si="326"/>
        <v>53000</v>
      </c>
      <c r="DA25" s="13">
        <f t="shared" si="326"/>
        <v>53000</v>
      </c>
      <c r="DB25" s="13">
        <f t="shared" si="326"/>
        <v>53000</v>
      </c>
      <c r="DC25" s="13">
        <f t="shared" si="326"/>
        <v>53000</v>
      </c>
      <c r="DD25" s="13">
        <f t="shared" si="326"/>
        <v>53000</v>
      </c>
      <c r="DE25" s="13">
        <f t="shared" si="326"/>
        <v>53000</v>
      </c>
      <c r="DF25" s="13">
        <f t="shared" si="326"/>
        <v>53000</v>
      </c>
      <c r="DG25" s="13">
        <f t="shared" si="326"/>
        <v>54500.000000000007</v>
      </c>
      <c r="DH25" s="13">
        <f t="shared" si="326"/>
        <v>54500.000000000007</v>
      </c>
      <c r="DI25" s="13">
        <f t="shared" si="326"/>
        <v>54500.000000000007</v>
      </c>
      <c r="DJ25" s="13">
        <f t="shared" si="326"/>
        <v>54500.000000000007</v>
      </c>
      <c r="DK25" s="13">
        <f t="shared" si="326"/>
        <v>54500.000000000007</v>
      </c>
      <c r="DL25" s="13">
        <f t="shared" si="326"/>
        <v>54500.000000000007</v>
      </c>
      <c r="DM25" s="13">
        <f t="shared" si="326"/>
        <v>54500.000000000007</v>
      </c>
      <c r="DN25" s="13">
        <f t="shared" si="326"/>
        <v>54500.000000000007</v>
      </c>
      <c r="DO25" s="13">
        <f t="shared" si="326"/>
        <v>54500.000000000007</v>
      </c>
      <c r="DP25" s="13">
        <f t="shared" si="326"/>
        <v>54500.000000000007</v>
      </c>
      <c r="DQ25" s="13">
        <f t="shared" si="326"/>
        <v>54500.000000000007</v>
      </c>
      <c r="DR25" s="13">
        <f t="shared" si="326"/>
        <v>54500.000000000007</v>
      </c>
      <c r="DS25" s="13">
        <f t="shared" si="326"/>
        <v>56000.000000000007</v>
      </c>
      <c r="DT25" s="13">
        <f t="shared" si="326"/>
        <v>56000.000000000007</v>
      </c>
      <c r="DU25" s="13">
        <f t="shared" si="326"/>
        <v>56000.000000000007</v>
      </c>
      <c r="DV25" s="13">
        <f t="shared" si="326"/>
        <v>56000.000000000007</v>
      </c>
      <c r="DW25" s="13">
        <f t="shared" si="326"/>
        <v>56000.000000000007</v>
      </c>
      <c r="DX25" s="13">
        <f t="shared" si="326"/>
        <v>56000.000000000007</v>
      </c>
      <c r="DY25" s="13">
        <f t="shared" si="326"/>
        <v>56000.000000000007</v>
      </c>
      <c r="DZ25" s="13">
        <f t="shared" si="326"/>
        <v>56000.000000000007</v>
      </c>
      <c r="EA25" s="13">
        <f t="shared" si="324"/>
        <v>56000.000000000007</v>
      </c>
      <c r="EB25" s="13">
        <f t="shared" si="323"/>
        <v>56000.000000000007</v>
      </c>
      <c r="EC25" s="13">
        <f t="shared" si="323"/>
        <v>56000.000000000007</v>
      </c>
      <c r="ED25" s="13">
        <f t="shared" si="323"/>
        <v>56000.000000000007</v>
      </c>
      <c r="EE25" s="13">
        <f t="shared" si="323"/>
        <v>57500.000000000007</v>
      </c>
      <c r="EF25" s="13">
        <f t="shared" si="323"/>
        <v>57500.000000000007</v>
      </c>
      <c r="EG25" s="13">
        <f t="shared" si="323"/>
        <v>57500.000000000007</v>
      </c>
      <c r="EH25" s="13">
        <f t="shared" si="323"/>
        <v>57500.000000000007</v>
      </c>
      <c r="EI25" s="13">
        <f t="shared" si="323"/>
        <v>57500.000000000007</v>
      </c>
      <c r="EJ25" s="13">
        <f t="shared" si="323"/>
        <v>57500.000000000007</v>
      </c>
      <c r="EK25" s="13">
        <f t="shared" si="323"/>
        <v>57500.000000000007</v>
      </c>
      <c r="EL25" s="13">
        <f t="shared" si="323"/>
        <v>57500.000000000007</v>
      </c>
      <c r="EM25" s="13">
        <f t="shared" si="323"/>
        <v>57500.000000000007</v>
      </c>
      <c r="EN25" s="13">
        <f t="shared" si="323"/>
        <v>57500.000000000007</v>
      </c>
      <c r="EO25" s="13">
        <f t="shared" si="323"/>
        <v>57500.000000000007</v>
      </c>
      <c r="EP25" s="13">
        <f t="shared" si="323"/>
        <v>57500.000000000007</v>
      </c>
      <c r="EQ25" s="13">
        <f t="shared" si="323"/>
        <v>59000.000000000007</v>
      </c>
      <c r="ER25" s="13">
        <f t="shared" si="323"/>
        <v>59000.000000000007</v>
      </c>
      <c r="ES25" s="13">
        <f t="shared" si="323"/>
        <v>59000.000000000007</v>
      </c>
      <c r="ET25" s="13">
        <f t="shared" si="323"/>
        <v>59000.000000000007</v>
      </c>
      <c r="EU25" s="13">
        <f t="shared" si="323"/>
        <v>59000.000000000007</v>
      </c>
      <c r="EV25" s="13">
        <f t="shared" si="323"/>
        <v>59000.000000000007</v>
      </c>
      <c r="EW25" s="13">
        <f t="shared" si="323"/>
        <v>59000.000000000007</v>
      </c>
      <c r="EX25" s="13">
        <f t="shared" si="323"/>
        <v>59000.000000000007</v>
      </c>
      <c r="EY25" s="13">
        <f t="shared" si="323"/>
        <v>59000.000000000007</v>
      </c>
      <c r="EZ25" s="13">
        <f t="shared" si="323"/>
        <v>59000.000000000007</v>
      </c>
      <c r="FA25" s="13">
        <f t="shared" si="323"/>
        <v>59000.000000000007</v>
      </c>
      <c r="FB25" s="13">
        <f t="shared" si="323"/>
        <v>59000.000000000007</v>
      </c>
      <c r="FC25" s="13">
        <f t="shared" si="323"/>
        <v>60500.000000000007</v>
      </c>
      <c r="FD25" s="13">
        <f t="shared" si="323"/>
        <v>60500.000000000007</v>
      </c>
      <c r="FE25" s="13">
        <f t="shared" si="323"/>
        <v>60500.000000000007</v>
      </c>
      <c r="FF25" s="13">
        <f t="shared" si="323"/>
        <v>60500.000000000007</v>
      </c>
      <c r="FG25" s="13">
        <f t="shared" si="323"/>
        <v>60500.000000000007</v>
      </c>
      <c r="FH25" s="13">
        <f t="shared" si="323"/>
        <v>60500.000000000007</v>
      </c>
      <c r="FI25" s="13">
        <f t="shared" si="323"/>
        <v>60500.000000000007</v>
      </c>
      <c r="FJ25" s="13">
        <f t="shared" si="323"/>
        <v>60500.000000000007</v>
      </c>
      <c r="FK25" s="13">
        <f t="shared" si="323"/>
        <v>60500.000000000007</v>
      </c>
      <c r="FL25" s="13">
        <f t="shared" si="323"/>
        <v>60500.000000000007</v>
      </c>
      <c r="FM25" s="13">
        <f t="shared" si="323"/>
        <v>60500.000000000007</v>
      </c>
      <c r="FN25" s="13">
        <f t="shared" si="323"/>
        <v>60500.000000000007</v>
      </c>
      <c r="FO25" s="13">
        <f t="shared" si="323"/>
        <v>62000.000000000007</v>
      </c>
      <c r="FP25" s="13">
        <f t="shared" si="323"/>
        <v>62000.000000000007</v>
      </c>
      <c r="FQ25" s="13">
        <f t="shared" si="323"/>
        <v>62000.000000000007</v>
      </c>
      <c r="FR25" s="13">
        <f t="shared" si="323"/>
        <v>62000.000000000007</v>
      </c>
      <c r="FS25" s="13">
        <f t="shared" si="323"/>
        <v>62000.000000000007</v>
      </c>
      <c r="FT25" s="13">
        <f t="shared" si="323"/>
        <v>62000.000000000007</v>
      </c>
      <c r="FU25" s="13">
        <f t="shared" si="323"/>
        <v>62000.000000000007</v>
      </c>
      <c r="FV25" s="13">
        <f t="shared" si="323"/>
        <v>62000.000000000007</v>
      </c>
      <c r="FW25" s="13">
        <f t="shared" si="323"/>
        <v>62000.000000000007</v>
      </c>
      <c r="FX25" s="13">
        <f t="shared" si="323"/>
        <v>62000.000000000007</v>
      </c>
      <c r="FY25" s="13">
        <f t="shared" si="323"/>
        <v>62000.000000000007</v>
      </c>
      <c r="FZ25" s="13">
        <f t="shared" si="323"/>
        <v>62000.000000000007</v>
      </c>
      <c r="GA25" s="13">
        <f t="shared" si="325"/>
        <v>63500.000000000015</v>
      </c>
      <c r="GB25" s="13">
        <f t="shared" si="325"/>
        <v>63500.000000000015</v>
      </c>
      <c r="GC25" s="13">
        <f t="shared" si="325"/>
        <v>63500.000000000015</v>
      </c>
      <c r="GD25" s="13">
        <f t="shared" si="325"/>
        <v>63500.000000000015</v>
      </c>
      <c r="GE25" s="13">
        <f t="shared" si="325"/>
        <v>63500.000000000015</v>
      </c>
      <c r="GF25" s="13">
        <f t="shared" si="325"/>
        <v>63500.000000000015</v>
      </c>
      <c r="GG25" s="13">
        <f t="shared" si="325"/>
        <v>63500.000000000015</v>
      </c>
      <c r="GH25" s="13">
        <f t="shared" si="325"/>
        <v>63500.000000000015</v>
      </c>
      <c r="GI25" s="13">
        <f t="shared" si="325"/>
        <v>63500.000000000015</v>
      </c>
      <c r="GJ25" s="13">
        <f t="shared" si="325"/>
        <v>63500.000000000015</v>
      </c>
      <c r="GK25" s="13">
        <f t="shared" si="325"/>
        <v>63500.000000000015</v>
      </c>
      <c r="GL25" s="13">
        <f t="shared" si="325"/>
        <v>63500.000000000015</v>
      </c>
      <c r="GM25" s="13">
        <f t="shared" si="325"/>
        <v>65000.000000000015</v>
      </c>
      <c r="GN25" s="13">
        <f t="shared" si="325"/>
        <v>65000.000000000015</v>
      </c>
      <c r="GO25" s="13">
        <f t="shared" si="325"/>
        <v>65000.000000000015</v>
      </c>
      <c r="GP25" s="13">
        <f t="shared" si="325"/>
        <v>65000.000000000015</v>
      </c>
      <c r="GQ25" s="13">
        <f t="shared" si="325"/>
        <v>65000.000000000015</v>
      </c>
      <c r="GR25" s="13">
        <f t="shared" si="325"/>
        <v>65000.000000000015</v>
      </c>
      <c r="GS25" s="13">
        <f t="shared" si="325"/>
        <v>65000.000000000015</v>
      </c>
      <c r="GT25" s="13">
        <f t="shared" si="325"/>
        <v>65000.000000000015</v>
      </c>
      <c r="GU25" s="13">
        <f t="shared" si="325"/>
        <v>65000.000000000015</v>
      </c>
      <c r="GV25" s="13">
        <f t="shared" si="325"/>
        <v>65000.000000000015</v>
      </c>
      <c r="GW25" s="13">
        <f t="shared" si="325"/>
        <v>65000.000000000015</v>
      </c>
      <c r="GX25" s="13">
        <f t="shared" si="325"/>
        <v>65000.000000000015</v>
      </c>
      <c r="GY25" s="13">
        <f t="shared" si="325"/>
        <v>66500.000000000015</v>
      </c>
      <c r="GZ25" s="13">
        <f t="shared" si="325"/>
        <v>66500.000000000015</v>
      </c>
      <c r="HA25" s="13">
        <f t="shared" si="325"/>
        <v>66500.000000000015</v>
      </c>
      <c r="HB25" s="13">
        <f t="shared" si="325"/>
        <v>66500.000000000015</v>
      </c>
      <c r="HC25" s="13">
        <f t="shared" si="325"/>
        <v>66500.000000000015</v>
      </c>
      <c r="HD25" s="13">
        <f t="shared" si="325"/>
        <v>66500.000000000015</v>
      </c>
      <c r="HE25" s="13">
        <f t="shared" si="325"/>
        <v>66500.000000000015</v>
      </c>
      <c r="HF25" s="13">
        <f t="shared" si="325"/>
        <v>66500.000000000015</v>
      </c>
      <c r="HG25" s="13">
        <f t="shared" si="325"/>
        <v>66500.000000000015</v>
      </c>
      <c r="HH25" s="13">
        <f t="shared" si="325"/>
        <v>66500.000000000015</v>
      </c>
      <c r="HI25" s="13">
        <f t="shared" si="325"/>
        <v>66500.000000000015</v>
      </c>
      <c r="HJ25" s="13">
        <f t="shared" si="325"/>
        <v>66500.000000000015</v>
      </c>
      <c r="HK25" s="13">
        <f t="shared" si="325"/>
        <v>66500.000000000015</v>
      </c>
      <c r="HL25" s="13">
        <f t="shared" si="325"/>
        <v>66500.000000000015</v>
      </c>
      <c r="HM25" s="13">
        <f t="shared" si="325"/>
        <v>66500.000000000015</v>
      </c>
      <c r="HN25" s="13">
        <f t="shared" si="325"/>
        <v>66500.000000000015</v>
      </c>
      <c r="HO25" s="13">
        <f t="shared" si="325"/>
        <v>66500.000000000015</v>
      </c>
      <c r="HP25" s="13">
        <f t="shared" si="325"/>
        <v>66500.000000000015</v>
      </c>
      <c r="HQ25" s="13">
        <f t="shared" si="325"/>
        <v>66500.000000000015</v>
      </c>
      <c r="HR25" s="13">
        <f t="shared" si="325"/>
        <v>66500.000000000015</v>
      </c>
      <c r="HS25" s="13">
        <f t="shared" si="325"/>
        <v>66500.000000000015</v>
      </c>
      <c r="HT25" s="13">
        <f t="shared" si="325"/>
        <v>66500.000000000015</v>
      </c>
      <c r="HU25" s="13">
        <f t="shared" si="325"/>
        <v>66500.000000000015</v>
      </c>
      <c r="HV25" s="13">
        <f t="shared" si="325"/>
        <v>66500.000000000015</v>
      </c>
      <c r="HW25" s="13">
        <f t="shared" si="325"/>
        <v>66500.000000000015</v>
      </c>
      <c r="HX25" s="13">
        <f t="shared" si="325"/>
        <v>66500.000000000015</v>
      </c>
      <c r="HY25" s="13">
        <f t="shared" si="325"/>
        <v>66500.000000000015</v>
      </c>
      <c r="HZ25" s="13">
        <f t="shared" si="325"/>
        <v>66500.000000000015</v>
      </c>
      <c r="IA25" s="13">
        <f t="shared" si="325"/>
        <v>66500.000000000015</v>
      </c>
      <c r="IB25" s="13">
        <f t="shared" si="325"/>
        <v>66500.000000000015</v>
      </c>
      <c r="IC25" s="13">
        <f t="shared" si="325"/>
        <v>66500.000000000015</v>
      </c>
      <c r="ID25" s="13">
        <f t="shared" si="325"/>
        <v>66500.000000000015</v>
      </c>
      <c r="IE25" s="13">
        <f t="shared" si="325"/>
        <v>66500.000000000015</v>
      </c>
      <c r="IF25" s="13">
        <f t="shared" si="325"/>
        <v>66500.000000000015</v>
      </c>
      <c r="IG25" s="13">
        <f t="shared" si="325"/>
        <v>66500.000000000015</v>
      </c>
      <c r="IH25" s="13">
        <f t="shared" si="325"/>
        <v>66500.000000000015</v>
      </c>
      <c r="II25" s="69">
        <f t="shared" si="314"/>
        <v>12076500</v>
      </c>
    </row>
    <row r="26" spans="1:243" x14ac:dyDescent="0.45">
      <c r="A26" s="16" t="s">
        <v>225</v>
      </c>
      <c r="B26" s="18">
        <v>200000</v>
      </c>
      <c r="C26" s="18">
        <v>200000</v>
      </c>
      <c r="D26" s="18">
        <v>10000</v>
      </c>
      <c r="E26" s="18">
        <f>D26</f>
        <v>10000</v>
      </c>
      <c r="F26" s="18">
        <v>10000</v>
      </c>
      <c r="G26" s="18">
        <v>10000</v>
      </c>
      <c r="H26" s="18">
        <v>10000</v>
      </c>
      <c r="I26" s="18">
        <v>10000</v>
      </c>
      <c r="J26" s="18">
        <v>10000</v>
      </c>
      <c r="K26" s="18">
        <v>10000</v>
      </c>
      <c r="L26" s="18">
        <v>10000</v>
      </c>
      <c r="M26" s="18">
        <v>10000</v>
      </c>
      <c r="N26" s="18">
        <v>10000</v>
      </c>
      <c r="O26" s="18">
        <v>150000</v>
      </c>
      <c r="P26" s="18">
        <v>10000</v>
      </c>
      <c r="Q26" s="18">
        <v>10000</v>
      </c>
      <c r="R26" s="18">
        <v>10000</v>
      </c>
      <c r="S26" s="18">
        <v>10000</v>
      </c>
      <c r="T26" s="18">
        <v>10000</v>
      </c>
      <c r="U26" s="18">
        <v>10000</v>
      </c>
      <c r="V26" s="18">
        <v>10000</v>
      </c>
      <c r="W26" s="18">
        <v>10000</v>
      </c>
      <c r="X26" s="18">
        <v>10000</v>
      </c>
      <c r="Y26" s="18">
        <v>10000</v>
      </c>
      <c r="Z26" s="18">
        <v>10000</v>
      </c>
      <c r="AA26" s="18">
        <v>10000</v>
      </c>
      <c r="AB26" s="18">
        <v>10000</v>
      </c>
      <c r="AC26" s="18">
        <v>10000</v>
      </c>
      <c r="AD26" s="18">
        <v>10000</v>
      </c>
      <c r="AE26" s="18">
        <v>10000</v>
      </c>
      <c r="AF26" s="18">
        <v>10000</v>
      </c>
      <c r="AG26" s="18">
        <v>10000</v>
      </c>
      <c r="AH26" s="18">
        <v>10000</v>
      </c>
      <c r="AI26" s="18">
        <v>10000</v>
      </c>
      <c r="AJ26" s="18">
        <v>10000</v>
      </c>
      <c r="AK26" s="18">
        <v>10000</v>
      </c>
      <c r="AL26" s="18">
        <v>10000</v>
      </c>
      <c r="AM26" s="18">
        <v>10000</v>
      </c>
      <c r="AN26" s="18">
        <v>10000</v>
      </c>
      <c r="AO26" s="18">
        <v>10000</v>
      </c>
      <c r="AP26" s="18">
        <v>10000</v>
      </c>
      <c r="AQ26" s="18">
        <v>10000</v>
      </c>
      <c r="AR26" s="18">
        <v>10000</v>
      </c>
      <c r="AS26" s="18">
        <v>10000</v>
      </c>
      <c r="AT26" s="18">
        <v>10000</v>
      </c>
      <c r="AU26" s="18">
        <v>10000</v>
      </c>
      <c r="AV26" s="18">
        <v>10000</v>
      </c>
      <c r="AW26" s="18">
        <v>10000</v>
      </c>
      <c r="AX26" s="18">
        <v>10000</v>
      </c>
      <c r="AY26" s="18">
        <v>10000</v>
      </c>
      <c r="AZ26" s="18">
        <v>10000</v>
      </c>
      <c r="BA26" s="18">
        <v>10000</v>
      </c>
      <c r="BB26" s="18">
        <v>10000</v>
      </c>
      <c r="BC26" s="18">
        <v>10000</v>
      </c>
      <c r="BD26" s="18">
        <v>10000</v>
      </c>
      <c r="BE26" s="18">
        <v>10000</v>
      </c>
      <c r="BF26" s="18">
        <v>10000</v>
      </c>
      <c r="BG26" s="18">
        <v>10000</v>
      </c>
      <c r="BH26" s="18">
        <v>10000</v>
      </c>
      <c r="BI26" s="18">
        <v>10000</v>
      </c>
      <c r="BJ26" s="18">
        <v>10000</v>
      </c>
      <c r="BK26" s="18">
        <v>10000</v>
      </c>
      <c r="BL26" s="18">
        <v>10000</v>
      </c>
      <c r="BM26" s="18">
        <v>10000</v>
      </c>
      <c r="BN26" s="18">
        <v>10000</v>
      </c>
      <c r="BO26" s="18">
        <v>10000</v>
      </c>
      <c r="BP26" s="18">
        <v>10000</v>
      </c>
      <c r="BQ26" s="18">
        <v>10000</v>
      </c>
      <c r="BR26" s="18">
        <v>10000</v>
      </c>
      <c r="BS26" s="18">
        <v>10000</v>
      </c>
      <c r="BT26" s="18">
        <v>10000</v>
      </c>
      <c r="BU26" s="18">
        <v>10000</v>
      </c>
      <c r="BV26" s="18">
        <v>10000</v>
      </c>
      <c r="BW26" s="18">
        <v>10000</v>
      </c>
      <c r="BX26" s="18">
        <v>10000</v>
      </c>
      <c r="BY26" s="18">
        <v>10000</v>
      </c>
      <c r="BZ26" s="18">
        <v>10000</v>
      </c>
      <c r="CA26" s="18">
        <v>10000</v>
      </c>
      <c r="CB26" s="18">
        <v>10000</v>
      </c>
      <c r="CC26" s="18">
        <v>10000</v>
      </c>
      <c r="CD26" s="18">
        <v>10000</v>
      </c>
      <c r="CE26" s="18">
        <v>10000</v>
      </c>
      <c r="CF26" s="18">
        <v>10000</v>
      </c>
      <c r="CG26" s="18">
        <v>10000</v>
      </c>
      <c r="CH26" s="18">
        <v>10000</v>
      </c>
      <c r="CI26" s="18">
        <v>10000</v>
      </c>
      <c r="CJ26" s="18">
        <v>10000</v>
      </c>
      <c r="CK26" s="18">
        <v>10000</v>
      </c>
      <c r="CL26" s="18">
        <v>10000</v>
      </c>
      <c r="CM26" s="18">
        <v>10000</v>
      </c>
      <c r="CN26" s="18">
        <v>10000</v>
      </c>
      <c r="CO26" s="18">
        <v>10000</v>
      </c>
      <c r="CP26" s="18">
        <v>10000</v>
      </c>
      <c r="CQ26" s="18">
        <v>10000</v>
      </c>
      <c r="CR26" s="18">
        <v>10000</v>
      </c>
      <c r="CS26" s="18">
        <v>10000</v>
      </c>
      <c r="CT26" s="18">
        <v>10000</v>
      </c>
      <c r="CU26" s="18">
        <v>10000</v>
      </c>
      <c r="CV26" s="18">
        <v>10000</v>
      </c>
      <c r="CW26" s="18">
        <v>10000</v>
      </c>
      <c r="CX26" s="18">
        <v>10000</v>
      </c>
      <c r="CY26" s="18">
        <v>10000</v>
      </c>
      <c r="CZ26" s="18">
        <v>10000</v>
      </c>
      <c r="DA26" s="18">
        <v>10000</v>
      </c>
      <c r="DB26" s="18">
        <v>10000</v>
      </c>
      <c r="DC26" s="18">
        <v>10000</v>
      </c>
      <c r="DD26" s="18">
        <v>10000</v>
      </c>
      <c r="DE26" s="18">
        <v>10000</v>
      </c>
      <c r="DF26" s="18">
        <v>10000</v>
      </c>
      <c r="DG26" s="18">
        <v>10000</v>
      </c>
      <c r="DH26" s="18">
        <v>10000</v>
      </c>
      <c r="DI26" s="18">
        <v>10000</v>
      </c>
      <c r="DJ26" s="18">
        <v>10000</v>
      </c>
      <c r="DK26" s="18">
        <v>10000</v>
      </c>
      <c r="DL26" s="18">
        <v>10000</v>
      </c>
      <c r="DM26" s="18">
        <v>10000</v>
      </c>
      <c r="DN26" s="18">
        <v>10000</v>
      </c>
      <c r="DO26" s="18">
        <v>10000</v>
      </c>
      <c r="DP26" s="18">
        <v>10000</v>
      </c>
      <c r="DQ26" s="18">
        <v>10000</v>
      </c>
      <c r="DR26" s="18">
        <v>10000</v>
      </c>
      <c r="DS26" s="18">
        <v>10000</v>
      </c>
      <c r="DT26" s="18">
        <v>10000</v>
      </c>
      <c r="DU26" s="18">
        <v>10000</v>
      </c>
      <c r="DV26" s="18">
        <v>10000</v>
      </c>
      <c r="DW26" s="18">
        <v>10000</v>
      </c>
      <c r="DX26" s="18">
        <v>10000</v>
      </c>
      <c r="DY26" s="18">
        <v>10000</v>
      </c>
      <c r="DZ26" s="18">
        <v>10000</v>
      </c>
      <c r="EA26" s="18">
        <v>10000</v>
      </c>
      <c r="EB26" s="18">
        <v>10000</v>
      </c>
      <c r="EC26" s="18">
        <v>10000</v>
      </c>
      <c r="ED26" s="18">
        <v>10000</v>
      </c>
      <c r="EE26" s="18">
        <v>10000</v>
      </c>
      <c r="EF26" s="18">
        <v>10000</v>
      </c>
      <c r="EG26" s="18">
        <v>10000</v>
      </c>
      <c r="EH26" s="18">
        <v>10000</v>
      </c>
      <c r="EI26" s="18">
        <v>10000</v>
      </c>
      <c r="EJ26" s="18">
        <v>10000</v>
      </c>
      <c r="EK26" s="18">
        <v>10000</v>
      </c>
      <c r="EL26" s="18">
        <v>10000</v>
      </c>
      <c r="EM26" s="18">
        <v>10000</v>
      </c>
      <c r="EN26" s="18">
        <v>10000</v>
      </c>
      <c r="EO26" s="18">
        <v>10000</v>
      </c>
      <c r="EP26" s="18">
        <v>10000</v>
      </c>
      <c r="EQ26" s="18">
        <v>10000</v>
      </c>
      <c r="ER26" s="18">
        <v>10000</v>
      </c>
      <c r="ES26" s="18">
        <v>10000</v>
      </c>
      <c r="ET26" s="18">
        <v>10000</v>
      </c>
      <c r="EU26" s="18">
        <v>10000</v>
      </c>
      <c r="EV26" s="18">
        <v>10000</v>
      </c>
      <c r="EW26" s="18">
        <v>10000</v>
      </c>
      <c r="EX26" s="18">
        <v>10000</v>
      </c>
      <c r="EY26" s="18">
        <v>10000</v>
      </c>
      <c r="EZ26" s="18">
        <v>10000</v>
      </c>
      <c r="FA26" s="18">
        <v>10000</v>
      </c>
      <c r="FB26" s="18">
        <v>10000</v>
      </c>
      <c r="FC26" s="18">
        <v>10000</v>
      </c>
      <c r="FD26" s="18">
        <v>10000</v>
      </c>
      <c r="FE26" s="18">
        <v>10000</v>
      </c>
      <c r="FF26" s="18">
        <v>10000</v>
      </c>
      <c r="FG26" s="18">
        <v>10000</v>
      </c>
      <c r="FH26" s="18">
        <v>10000</v>
      </c>
      <c r="FI26" s="18">
        <v>10000</v>
      </c>
      <c r="FJ26" s="18">
        <v>10000</v>
      </c>
      <c r="FK26" s="18">
        <v>10000</v>
      </c>
      <c r="FL26" s="18">
        <v>10000</v>
      </c>
      <c r="FM26" s="18">
        <v>10000</v>
      </c>
      <c r="FN26" s="18">
        <v>10000</v>
      </c>
      <c r="FO26" s="18">
        <v>10000</v>
      </c>
      <c r="FP26" s="18">
        <v>10000</v>
      </c>
      <c r="FQ26" s="18">
        <v>10000</v>
      </c>
      <c r="FR26" s="18">
        <v>10000</v>
      </c>
      <c r="FS26" s="18">
        <v>10000</v>
      </c>
      <c r="FT26" s="18">
        <v>10000</v>
      </c>
      <c r="FU26" s="18">
        <v>10000</v>
      </c>
      <c r="FV26" s="18">
        <v>10000</v>
      </c>
      <c r="FW26" s="18">
        <v>10000</v>
      </c>
      <c r="FX26" s="18">
        <v>10000</v>
      </c>
      <c r="FY26" s="18">
        <v>10000</v>
      </c>
      <c r="FZ26" s="18">
        <v>10000</v>
      </c>
      <c r="GA26" s="18">
        <v>10000</v>
      </c>
      <c r="GB26" s="18">
        <v>10000</v>
      </c>
      <c r="GC26" s="18">
        <v>10000</v>
      </c>
      <c r="GD26" s="18">
        <v>10000</v>
      </c>
      <c r="GE26" s="18">
        <v>10000</v>
      </c>
      <c r="GF26" s="18">
        <v>10000</v>
      </c>
      <c r="GG26" s="18">
        <v>10000</v>
      </c>
      <c r="GH26" s="18">
        <v>10000</v>
      </c>
      <c r="GI26" s="18">
        <v>10000</v>
      </c>
      <c r="GJ26" s="18">
        <v>10000</v>
      </c>
      <c r="GK26" s="18">
        <v>10000</v>
      </c>
      <c r="GL26" s="18">
        <v>10000</v>
      </c>
      <c r="GM26" s="18">
        <v>10000</v>
      </c>
      <c r="GN26" s="18">
        <v>10000</v>
      </c>
      <c r="GO26" s="18">
        <v>10000</v>
      </c>
      <c r="GP26" s="18">
        <v>10000</v>
      </c>
      <c r="GQ26" s="18">
        <v>10000</v>
      </c>
      <c r="GR26" s="18">
        <v>10000</v>
      </c>
      <c r="GS26" s="18">
        <v>10000</v>
      </c>
      <c r="GT26" s="18">
        <v>10000</v>
      </c>
      <c r="GU26" s="18">
        <v>10000</v>
      </c>
      <c r="GV26" s="18">
        <v>10000</v>
      </c>
      <c r="GW26" s="18">
        <v>10000</v>
      </c>
      <c r="GX26" s="18">
        <v>10000</v>
      </c>
      <c r="GY26" s="18">
        <v>10000</v>
      </c>
      <c r="GZ26" s="18">
        <v>10000</v>
      </c>
      <c r="HA26" s="18">
        <v>10000</v>
      </c>
      <c r="HB26" s="18">
        <v>10000</v>
      </c>
      <c r="HC26" s="18">
        <v>10000</v>
      </c>
      <c r="HD26" s="18">
        <v>10000</v>
      </c>
      <c r="HE26" s="18">
        <v>10000</v>
      </c>
      <c r="HF26" s="18">
        <v>10000</v>
      </c>
      <c r="HG26" s="18">
        <v>10000</v>
      </c>
      <c r="HH26" s="18">
        <v>10000</v>
      </c>
      <c r="HI26" s="18">
        <v>10000</v>
      </c>
      <c r="HJ26" s="18">
        <v>10000</v>
      </c>
      <c r="HK26" s="18">
        <v>10000</v>
      </c>
      <c r="HL26" s="18">
        <v>10000</v>
      </c>
      <c r="HM26" s="18">
        <v>10000</v>
      </c>
      <c r="HN26" s="18">
        <v>10000</v>
      </c>
      <c r="HO26" s="18">
        <v>10000</v>
      </c>
      <c r="HP26" s="18">
        <v>10000</v>
      </c>
      <c r="HQ26" s="18">
        <v>10000</v>
      </c>
      <c r="HR26" s="18">
        <v>10000</v>
      </c>
      <c r="HS26" s="18">
        <v>10000</v>
      </c>
      <c r="HT26" s="18">
        <v>10000</v>
      </c>
      <c r="HU26" s="18">
        <v>10000</v>
      </c>
      <c r="HV26" s="18">
        <v>10000</v>
      </c>
      <c r="HW26" s="18">
        <v>10000</v>
      </c>
      <c r="HX26" s="18">
        <v>10000</v>
      </c>
      <c r="HY26" s="18">
        <v>10000</v>
      </c>
      <c r="HZ26" s="18">
        <v>10000</v>
      </c>
      <c r="IA26" s="18">
        <v>10000</v>
      </c>
      <c r="IB26" s="18">
        <v>10000</v>
      </c>
      <c r="IC26" s="18">
        <v>10000</v>
      </c>
      <c r="ID26" s="18">
        <v>10000</v>
      </c>
      <c r="IE26" s="18">
        <v>10000</v>
      </c>
      <c r="IF26" s="18">
        <v>10000</v>
      </c>
      <c r="IG26" s="18">
        <v>10000</v>
      </c>
      <c r="IH26" s="18">
        <v>10000</v>
      </c>
      <c r="II26" s="69">
        <f t="shared" si="314"/>
        <v>2730000</v>
      </c>
    </row>
    <row r="27" spans="1:243" x14ac:dyDescent="0.45">
      <c r="A27" s="16" t="s">
        <v>230</v>
      </c>
      <c r="B27" s="18">
        <v>350000</v>
      </c>
      <c r="C27" s="13">
        <f t="shared" si="320"/>
        <v>87500</v>
      </c>
      <c r="D27" s="13">
        <f t="shared" si="320"/>
        <v>87500</v>
      </c>
      <c r="E27" s="13">
        <f t="shared" si="320"/>
        <v>87500</v>
      </c>
      <c r="F27" s="13">
        <f t="shared" si="320"/>
        <v>87500</v>
      </c>
      <c r="G27" s="13">
        <f t="shared" si="320"/>
        <v>87500</v>
      </c>
      <c r="H27" s="13">
        <f t="shared" si="320"/>
        <v>87500</v>
      </c>
      <c r="I27" s="13">
        <f t="shared" si="320"/>
        <v>87500</v>
      </c>
      <c r="J27" s="13">
        <f t="shared" si="320"/>
        <v>87500</v>
      </c>
      <c r="K27" s="13">
        <f t="shared" si="320"/>
        <v>87500</v>
      </c>
      <c r="L27" s="13">
        <f t="shared" si="320"/>
        <v>87500</v>
      </c>
      <c r="M27" s="13">
        <f t="shared" si="320"/>
        <v>87500</v>
      </c>
      <c r="N27" s="13">
        <f t="shared" si="320"/>
        <v>87500</v>
      </c>
      <c r="O27" s="13">
        <f t="shared" si="320"/>
        <v>87500</v>
      </c>
      <c r="P27" s="13">
        <f t="shared" si="320"/>
        <v>87500</v>
      </c>
      <c r="Q27" s="13">
        <f t="shared" si="320"/>
        <v>87500</v>
      </c>
      <c r="R27" s="13">
        <f t="shared" si="320"/>
        <v>87500</v>
      </c>
      <c r="S27" s="13">
        <f t="shared" ref="S27:CD30" si="327">$B27*S$9</f>
        <v>87500</v>
      </c>
      <c r="T27" s="13">
        <f t="shared" si="327"/>
        <v>87500</v>
      </c>
      <c r="U27" s="13">
        <f t="shared" si="327"/>
        <v>87500</v>
      </c>
      <c r="V27" s="13">
        <f t="shared" si="327"/>
        <v>87500</v>
      </c>
      <c r="W27" s="13">
        <f t="shared" si="327"/>
        <v>87500</v>
      </c>
      <c r="X27" s="13">
        <f t="shared" si="327"/>
        <v>87500</v>
      </c>
      <c r="Y27" s="13">
        <f t="shared" si="327"/>
        <v>87500</v>
      </c>
      <c r="Z27" s="13">
        <f t="shared" si="327"/>
        <v>87500</v>
      </c>
      <c r="AA27" s="13">
        <f t="shared" si="327"/>
        <v>262500</v>
      </c>
      <c r="AB27" s="13">
        <f t="shared" si="327"/>
        <v>262500</v>
      </c>
      <c r="AC27" s="13">
        <f t="shared" si="327"/>
        <v>262500</v>
      </c>
      <c r="AD27" s="13">
        <f t="shared" si="327"/>
        <v>262500</v>
      </c>
      <c r="AE27" s="13">
        <f t="shared" si="327"/>
        <v>262500</v>
      </c>
      <c r="AF27" s="13">
        <f t="shared" si="327"/>
        <v>262500</v>
      </c>
      <c r="AG27" s="13">
        <f t="shared" si="327"/>
        <v>262500</v>
      </c>
      <c r="AH27" s="13">
        <f t="shared" si="327"/>
        <v>262500</v>
      </c>
      <c r="AI27" s="13">
        <f t="shared" si="327"/>
        <v>262500</v>
      </c>
      <c r="AJ27" s="13">
        <f t="shared" si="327"/>
        <v>262500</v>
      </c>
      <c r="AK27" s="13">
        <f t="shared" si="327"/>
        <v>262500</v>
      </c>
      <c r="AL27" s="13">
        <f t="shared" si="327"/>
        <v>262500</v>
      </c>
      <c r="AM27" s="13">
        <f t="shared" si="327"/>
        <v>262500</v>
      </c>
      <c r="AN27" s="13">
        <f t="shared" si="327"/>
        <v>262500</v>
      </c>
      <c r="AO27" s="13">
        <f t="shared" si="327"/>
        <v>262500</v>
      </c>
      <c r="AP27" s="13">
        <f t="shared" si="327"/>
        <v>262500</v>
      </c>
      <c r="AQ27" s="13">
        <f t="shared" si="327"/>
        <v>262500</v>
      </c>
      <c r="AR27" s="13">
        <f t="shared" si="327"/>
        <v>262500</v>
      </c>
      <c r="AS27" s="13">
        <f t="shared" si="327"/>
        <v>262500</v>
      </c>
      <c r="AT27" s="13">
        <f t="shared" si="327"/>
        <v>262500</v>
      </c>
      <c r="AU27" s="13">
        <f t="shared" si="327"/>
        <v>262500</v>
      </c>
      <c r="AV27" s="13">
        <f t="shared" si="327"/>
        <v>262500</v>
      </c>
      <c r="AW27" s="13">
        <f t="shared" si="327"/>
        <v>262500</v>
      </c>
      <c r="AX27" s="13">
        <f t="shared" si="327"/>
        <v>262500</v>
      </c>
      <c r="AY27" s="13">
        <f t="shared" si="327"/>
        <v>262500</v>
      </c>
      <c r="AZ27" s="13">
        <f t="shared" si="327"/>
        <v>262500</v>
      </c>
      <c r="BA27" s="13">
        <f t="shared" si="327"/>
        <v>262500</v>
      </c>
      <c r="BB27" s="13">
        <f t="shared" si="327"/>
        <v>262500</v>
      </c>
      <c r="BC27" s="13">
        <f t="shared" si="327"/>
        <v>262500</v>
      </c>
      <c r="BD27" s="13">
        <f t="shared" si="327"/>
        <v>262500</v>
      </c>
      <c r="BE27" s="13">
        <f t="shared" si="327"/>
        <v>262500</v>
      </c>
      <c r="BF27" s="13">
        <f t="shared" si="327"/>
        <v>262500</v>
      </c>
      <c r="BG27" s="13">
        <f t="shared" si="327"/>
        <v>262500</v>
      </c>
      <c r="BH27" s="13">
        <f t="shared" si="327"/>
        <v>262500</v>
      </c>
      <c r="BI27" s="13">
        <f t="shared" si="327"/>
        <v>262500</v>
      </c>
      <c r="BJ27" s="13">
        <f t="shared" si="327"/>
        <v>262500</v>
      </c>
      <c r="BK27" s="13">
        <f t="shared" si="327"/>
        <v>262500</v>
      </c>
      <c r="BL27" s="13">
        <f t="shared" si="327"/>
        <v>262500</v>
      </c>
      <c r="BM27" s="13">
        <f t="shared" si="327"/>
        <v>262500</v>
      </c>
      <c r="BN27" s="13">
        <f t="shared" si="327"/>
        <v>262500</v>
      </c>
      <c r="BO27" s="13">
        <f t="shared" si="327"/>
        <v>262500</v>
      </c>
      <c r="BP27" s="13">
        <f t="shared" si="327"/>
        <v>262500</v>
      </c>
      <c r="BQ27" s="13">
        <f t="shared" si="327"/>
        <v>262500</v>
      </c>
      <c r="BR27" s="13">
        <f t="shared" si="327"/>
        <v>262500</v>
      </c>
      <c r="BS27" s="13">
        <f t="shared" si="327"/>
        <v>262500</v>
      </c>
      <c r="BT27" s="13">
        <f t="shared" si="327"/>
        <v>262500</v>
      </c>
      <c r="BU27" s="13">
        <f t="shared" si="327"/>
        <v>262500</v>
      </c>
      <c r="BV27" s="13">
        <f t="shared" si="327"/>
        <v>262500</v>
      </c>
      <c r="BW27" s="13">
        <f t="shared" si="327"/>
        <v>350000</v>
      </c>
      <c r="BX27" s="13">
        <f t="shared" si="327"/>
        <v>350000</v>
      </c>
      <c r="BY27" s="13">
        <f t="shared" si="327"/>
        <v>350000</v>
      </c>
      <c r="BZ27" s="13">
        <f t="shared" si="327"/>
        <v>350000</v>
      </c>
      <c r="CA27" s="13">
        <f t="shared" si="327"/>
        <v>350000</v>
      </c>
      <c r="CB27" s="13">
        <f t="shared" si="327"/>
        <v>350000</v>
      </c>
      <c r="CC27" s="13">
        <f t="shared" si="327"/>
        <v>350000</v>
      </c>
      <c r="CD27" s="13">
        <f t="shared" si="327"/>
        <v>350000</v>
      </c>
      <c r="CE27" s="13">
        <f t="shared" ref="CE27:EP30" si="328">$B27*CE$9</f>
        <v>350000</v>
      </c>
      <c r="CF27" s="13">
        <f t="shared" si="328"/>
        <v>350000</v>
      </c>
      <c r="CG27" s="13">
        <f t="shared" si="328"/>
        <v>350000</v>
      </c>
      <c r="CH27" s="13">
        <f t="shared" si="328"/>
        <v>350000</v>
      </c>
      <c r="CI27" s="13">
        <f t="shared" si="328"/>
        <v>350000</v>
      </c>
      <c r="CJ27" s="13">
        <f t="shared" si="328"/>
        <v>350000</v>
      </c>
      <c r="CK27" s="13">
        <f t="shared" si="328"/>
        <v>350000</v>
      </c>
      <c r="CL27" s="13">
        <f t="shared" si="328"/>
        <v>350000</v>
      </c>
      <c r="CM27" s="13">
        <f t="shared" si="328"/>
        <v>350000</v>
      </c>
      <c r="CN27" s="13">
        <f t="shared" si="328"/>
        <v>360500</v>
      </c>
      <c r="CO27" s="13">
        <f t="shared" si="328"/>
        <v>360500</v>
      </c>
      <c r="CP27" s="13">
        <f t="shared" si="328"/>
        <v>360500</v>
      </c>
      <c r="CQ27" s="13">
        <f t="shared" si="328"/>
        <v>360500</v>
      </c>
      <c r="CR27" s="13">
        <f t="shared" si="328"/>
        <v>360500</v>
      </c>
      <c r="CS27" s="13">
        <f t="shared" si="328"/>
        <v>360500</v>
      </c>
      <c r="CT27" s="13">
        <f t="shared" si="328"/>
        <v>360500</v>
      </c>
      <c r="CU27" s="13">
        <f t="shared" si="328"/>
        <v>371000</v>
      </c>
      <c r="CV27" s="13">
        <f t="shared" si="328"/>
        <v>371000</v>
      </c>
      <c r="CW27" s="13">
        <f t="shared" si="328"/>
        <v>371000</v>
      </c>
      <c r="CX27" s="13">
        <f t="shared" si="328"/>
        <v>371000</v>
      </c>
      <c r="CY27" s="13">
        <f t="shared" si="328"/>
        <v>371000</v>
      </c>
      <c r="CZ27" s="13">
        <f t="shared" si="328"/>
        <v>371000</v>
      </c>
      <c r="DA27" s="13">
        <f t="shared" si="328"/>
        <v>371000</v>
      </c>
      <c r="DB27" s="13">
        <f t="shared" si="328"/>
        <v>371000</v>
      </c>
      <c r="DC27" s="13">
        <f t="shared" si="328"/>
        <v>371000</v>
      </c>
      <c r="DD27" s="13">
        <f t="shared" si="328"/>
        <v>371000</v>
      </c>
      <c r="DE27" s="13">
        <f t="shared" si="328"/>
        <v>371000</v>
      </c>
      <c r="DF27" s="13">
        <f t="shared" si="328"/>
        <v>371000</v>
      </c>
      <c r="DG27" s="13">
        <f t="shared" si="328"/>
        <v>381500</v>
      </c>
      <c r="DH27" s="13">
        <f t="shared" si="328"/>
        <v>381500</v>
      </c>
      <c r="DI27" s="13">
        <f t="shared" si="328"/>
        <v>381500</v>
      </c>
      <c r="DJ27" s="13">
        <f t="shared" si="328"/>
        <v>381500</v>
      </c>
      <c r="DK27" s="13">
        <f t="shared" si="328"/>
        <v>381500</v>
      </c>
      <c r="DL27" s="13">
        <f t="shared" si="328"/>
        <v>381500</v>
      </c>
      <c r="DM27" s="13">
        <f t="shared" si="328"/>
        <v>381500</v>
      </c>
      <c r="DN27" s="13">
        <f t="shared" si="328"/>
        <v>381500</v>
      </c>
      <c r="DO27" s="13">
        <f t="shared" si="328"/>
        <v>381500</v>
      </c>
      <c r="DP27" s="13">
        <f t="shared" si="328"/>
        <v>381500</v>
      </c>
      <c r="DQ27" s="13">
        <f t="shared" si="328"/>
        <v>381500</v>
      </c>
      <c r="DR27" s="13">
        <f t="shared" si="328"/>
        <v>381500</v>
      </c>
      <c r="DS27" s="13">
        <f t="shared" si="328"/>
        <v>392000.00000000006</v>
      </c>
      <c r="DT27" s="13">
        <f t="shared" si="328"/>
        <v>392000.00000000006</v>
      </c>
      <c r="DU27" s="13">
        <f t="shared" si="328"/>
        <v>392000.00000000006</v>
      </c>
      <c r="DV27" s="13">
        <f t="shared" si="328"/>
        <v>392000.00000000006</v>
      </c>
      <c r="DW27" s="13">
        <f t="shared" si="328"/>
        <v>392000.00000000006</v>
      </c>
      <c r="DX27" s="13">
        <f t="shared" si="328"/>
        <v>392000.00000000006</v>
      </c>
      <c r="DY27" s="13">
        <f t="shared" si="328"/>
        <v>392000.00000000006</v>
      </c>
      <c r="DZ27" s="13">
        <f t="shared" si="328"/>
        <v>392000.00000000006</v>
      </c>
      <c r="EA27" s="13">
        <f t="shared" si="328"/>
        <v>392000.00000000006</v>
      </c>
      <c r="EB27" s="13">
        <f t="shared" si="328"/>
        <v>392000.00000000006</v>
      </c>
      <c r="EC27" s="13">
        <f t="shared" si="328"/>
        <v>392000.00000000006</v>
      </c>
      <c r="ED27" s="13">
        <f t="shared" si="328"/>
        <v>392000.00000000006</v>
      </c>
      <c r="EE27" s="13">
        <f t="shared" si="328"/>
        <v>402500.00000000006</v>
      </c>
      <c r="EF27" s="13">
        <f t="shared" si="328"/>
        <v>402500.00000000006</v>
      </c>
      <c r="EG27" s="13">
        <f t="shared" si="328"/>
        <v>402500.00000000006</v>
      </c>
      <c r="EH27" s="13">
        <f t="shared" si="328"/>
        <v>402500.00000000006</v>
      </c>
      <c r="EI27" s="13">
        <f t="shared" si="328"/>
        <v>402500.00000000006</v>
      </c>
      <c r="EJ27" s="13">
        <f t="shared" si="328"/>
        <v>402500.00000000006</v>
      </c>
      <c r="EK27" s="13">
        <f t="shared" si="328"/>
        <v>402500.00000000006</v>
      </c>
      <c r="EL27" s="13">
        <f t="shared" si="328"/>
        <v>402500.00000000006</v>
      </c>
      <c r="EM27" s="13">
        <f t="shared" si="328"/>
        <v>402500.00000000006</v>
      </c>
      <c r="EN27" s="13">
        <f t="shared" si="328"/>
        <v>402500.00000000006</v>
      </c>
      <c r="EO27" s="13">
        <f t="shared" si="328"/>
        <v>402500.00000000006</v>
      </c>
      <c r="EP27" s="13">
        <f t="shared" si="328"/>
        <v>402500.00000000006</v>
      </c>
      <c r="EQ27" s="13">
        <f t="shared" ref="EQ27:FZ29" si="329">$B27*EQ$9</f>
        <v>413000.00000000006</v>
      </c>
      <c r="ER27" s="13">
        <f t="shared" si="329"/>
        <v>413000.00000000006</v>
      </c>
      <c r="ES27" s="13">
        <f t="shared" si="329"/>
        <v>413000.00000000006</v>
      </c>
      <c r="ET27" s="13">
        <f t="shared" si="329"/>
        <v>413000.00000000006</v>
      </c>
      <c r="EU27" s="13">
        <f t="shared" si="329"/>
        <v>413000.00000000006</v>
      </c>
      <c r="EV27" s="13">
        <f t="shared" si="329"/>
        <v>413000.00000000006</v>
      </c>
      <c r="EW27" s="13">
        <f t="shared" si="329"/>
        <v>413000.00000000006</v>
      </c>
      <c r="EX27" s="13">
        <f t="shared" si="329"/>
        <v>413000.00000000006</v>
      </c>
      <c r="EY27" s="13">
        <f t="shared" si="329"/>
        <v>413000.00000000006</v>
      </c>
      <c r="EZ27" s="13">
        <f t="shared" si="329"/>
        <v>413000.00000000006</v>
      </c>
      <c r="FA27" s="13">
        <f t="shared" si="329"/>
        <v>413000.00000000006</v>
      </c>
      <c r="FB27" s="13">
        <f t="shared" si="329"/>
        <v>413000.00000000006</v>
      </c>
      <c r="FC27" s="13">
        <f t="shared" si="329"/>
        <v>423500.00000000006</v>
      </c>
      <c r="FD27" s="13">
        <f t="shared" si="329"/>
        <v>423500.00000000006</v>
      </c>
      <c r="FE27" s="13">
        <f t="shared" si="329"/>
        <v>423500.00000000006</v>
      </c>
      <c r="FF27" s="13">
        <f t="shared" si="329"/>
        <v>423500.00000000006</v>
      </c>
      <c r="FG27" s="13">
        <f t="shared" si="329"/>
        <v>423500.00000000006</v>
      </c>
      <c r="FH27" s="13">
        <f t="shared" si="329"/>
        <v>423500.00000000006</v>
      </c>
      <c r="FI27" s="13">
        <f t="shared" si="329"/>
        <v>423500.00000000006</v>
      </c>
      <c r="FJ27" s="13">
        <f t="shared" si="329"/>
        <v>423500.00000000006</v>
      </c>
      <c r="FK27" s="13">
        <f t="shared" si="329"/>
        <v>423500.00000000006</v>
      </c>
      <c r="FL27" s="13">
        <f t="shared" si="329"/>
        <v>423500.00000000006</v>
      </c>
      <c r="FM27" s="13">
        <f t="shared" si="329"/>
        <v>423500.00000000006</v>
      </c>
      <c r="FN27" s="13">
        <f t="shared" si="329"/>
        <v>423500.00000000006</v>
      </c>
      <c r="FO27" s="13">
        <f t="shared" si="329"/>
        <v>434000.00000000006</v>
      </c>
      <c r="FP27" s="13">
        <f t="shared" si="329"/>
        <v>434000.00000000006</v>
      </c>
      <c r="FQ27" s="13">
        <f t="shared" si="329"/>
        <v>434000.00000000006</v>
      </c>
      <c r="FR27" s="13">
        <f t="shared" si="329"/>
        <v>434000.00000000006</v>
      </c>
      <c r="FS27" s="13">
        <f t="shared" si="329"/>
        <v>434000.00000000006</v>
      </c>
      <c r="FT27" s="13">
        <f t="shared" si="329"/>
        <v>434000.00000000006</v>
      </c>
      <c r="FU27" s="13">
        <f t="shared" si="329"/>
        <v>434000.00000000006</v>
      </c>
      <c r="FV27" s="13">
        <f t="shared" si="329"/>
        <v>434000.00000000006</v>
      </c>
      <c r="FW27" s="13">
        <f t="shared" si="329"/>
        <v>434000.00000000006</v>
      </c>
      <c r="FX27" s="13">
        <f t="shared" si="329"/>
        <v>434000.00000000006</v>
      </c>
      <c r="FY27" s="13">
        <f t="shared" si="329"/>
        <v>434000.00000000006</v>
      </c>
      <c r="FZ27" s="13">
        <f t="shared" si="329"/>
        <v>434000.00000000006</v>
      </c>
      <c r="GA27" s="13">
        <f t="shared" ref="GA27:IH30" si="330">$B27*GA$9</f>
        <v>444500.00000000006</v>
      </c>
      <c r="GB27" s="13">
        <f t="shared" si="330"/>
        <v>444500.00000000006</v>
      </c>
      <c r="GC27" s="13">
        <f t="shared" si="330"/>
        <v>444500.00000000006</v>
      </c>
      <c r="GD27" s="13">
        <f t="shared" si="330"/>
        <v>444500.00000000006</v>
      </c>
      <c r="GE27" s="13">
        <f t="shared" si="330"/>
        <v>444500.00000000006</v>
      </c>
      <c r="GF27" s="13">
        <f t="shared" si="330"/>
        <v>444500.00000000006</v>
      </c>
      <c r="GG27" s="13">
        <f t="shared" si="330"/>
        <v>444500.00000000006</v>
      </c>
      <c r="GH27" s="13">
        <f t="shared" si="330"/>
        <v>444500.00000000006</v>
      </c>
      <c r="GI27" s="13">
        <f t="shared" si="330"/>
        <v>444500.00000000006</v>
      </c>
      <c r="GJ27" s="13">
        <f t="shared" si="330"/>
        <v>444500.00000000006</v>
      </c>
      <c r="GK27" s="13">
        <f t="shared" si="330"/>
        <v>444500.00000000006</v>
      </c>
      <c r="GL27" s="13">
        <f t="shared" si="330"/>
        <v>444500.00000000006</v>
      </c>
      <c r="GM27" s="13">
        <f t="shared" si="330"/>
        <v>455000.00000000012</v>
      </c>
      <c r="GN27" s="13">
        <f t="shared" si="330"/>
        <v>455000.00000000012</v>
      </c>
      <c r="GO27" s="13">
        <f t="shared" si="330"/>
        <v>455000.00000000012</v>
      </c>
      <c r="GP27" s="13">
        <f t="shared" si="330"/>
        <v>455000.00000000012</v>
      </c>
      <c r="GQ27" s="13">
        <f t="shared" si="330"/>
        <v>455000.00000000012</v>
      </c>
      <c r="GR27" s="13">
        <f t="shared" si="330"/>
        <v>455000.00000000012</v>
      </c>
      <c r="GS27" s="13">
        <f t="shared" si="330"/>
        <v>455000.00000000012</v>
      </c>
      <c r="GT27" s="13">
        <f t="shared" si="330"/>
        <v>455000.00000000012</v>
      </c>
      <c r="GU27" s="13">
        <f t="shared" si="330"/>
        <v>455000.00000000012</v>
      </c>
      <c r="GV27" s="13">
        <f t="shared" si="330"/>
        <v>455000.00000000012</v>
      </c>
      <c r="GW27" s="13">
        <f t="shared" si="330"/>
        <v>455000.00000000012</v>
      </c>
      <c r="GX27" s="13">
        <f t="shared" si="330"/>
        <v>455000.00000000012</v>
      </c>
      <c r="GY27" s="13">
        <f t="shared" si="330"/>
        <v>465500.00000000012</v>
      </c>
      <c r="GZ27" s="13">
        <f t="shared" si="330"/>
        <v>465500.00000000012</v>
      </c>
      <c r="HA27" s="13">
        <f t="shared" si="330"/>
        <v>465500.00000000012</v>
      </c>
      <c r="HB27" s="13">
        <f t="shared" si="330"/>
        <v>465500.00000000012</v>
      </c>
      <c r="HC27" s="13">
        <f t="shared" si="330"/>
        <v>465500.00000000012</v>
      </c>
      <c r="HD27" s="13">
        <f t="shared" si="330"/>
        <v>465500.00000000012</v>
      </c>
      <c r="HE27" s="13">
        <f t="shared" si="330"/>
        <v>465500.00000000012</v>
      </c>
      <c r="HF27" s="13">
        <f t="shared" si="330"/>
        <v>465500.00000000012</v>
      </c>
      <c r="HG27" s="13">
        <f t="shared" si="330"/>
        <v>465500.00000000012</v>
      </c>
      <c r="HH27" s="13">
        <f t="shared" si="330"/>
        <v>465500.00000000012</v>
      </c>
      <c r="HI27" s="13">
        <f t="shared" si="330"/>
        <v>465500.00000000012</v>
      </c>
      <c r="HJ27" s="13">
        <f t="shared" si="330"/>
        <v>465500.00000000012</v>
      </c>
      <c r="HK27" s="13">
        <f t="shared" si="330"/>
        <v>465500.00000000012</v>
      </c>
      <c r="HL27" s="13">
        <f t="shared" si="330"/>
        <v>465500.00000000012</v>
      </c>
      <c r="HM27" s="13">
        <f t="shared" si="330"/>
        <v>465500.00000000012</v>
      </c>
      <c r="HN27" s="13">
        <f t="shared" si="330"/>
        <v>465500.00000000012</v>
      </c>
      <c r="HO27" s="13">
        <f t="shared" si="330"/>
        <v>465500.00000000012</v>
      </c>
      <c r="HP27" s="13">
        <f t="shared" si="330"/>
        <v>465500.00000000012</v>
      </c>
      <c r="HQ27" s="13">
        <f t="shared" si="330"/>
        <v>465500.00000000012</v>
      </c>
      <c r="HR27" s="13">
        <f t="shared" si="330"/>
        <v>465500.00000000012</v>
      </c>
      <c r="HS27" s="13">
        <f t="shared" si="330"/>
        <v>465500.00000000012</v>
      </c>
      <c r="HT27" s="13">
        <f t="shared" si="330"/>
        <v>465500.00000000012</v>
      </c>
      <c r="HU27" s="13">
        <f t="shared" si="330"/>
        <v>465500.00000000012</v>
      </c>
      <c r="HV27" s="13">
        <f t="shared" si="330"/>
        <v>465500.00000000012</v>
      </c>
      <c r="HW27" s="13">
        <f t="shared" si="330"/>
        <v>465500.00000000012</v>
      </c>
      <c r="HX27" s="13">
        <f t="shared" si="330"/>
        <v>465500.00000000012</v>
      </c>
      <c r="HY27" s="13">
        <f t="shared" si="330"/>
        <v>465500.00000000012</v>
      </c>
      <c r="HZ27" s="13">
        <f t="shared" si="330"/>
        <v>465500.00000000012</v>
      </c>
      <c r="IA27" s="13">
        <f t="shared" si="330"/>
        <v>465500.00000000012</v>
      </c>
      <c r="IB27" s="13">
        <f t="shared" si="330"/>
        <v>465500.00000000012</v>
      </c>
      <c r="IC27" s="13">
        <f t="shared" si="330"/>
        <v>465500.00000000012</v>
      </c>
      <c r="ID27" s="13">
        <f t="shared" si="330"/>
        <v>465500.00000000012</v>
      </c>
      <c r="IE27" s="13">
        <f t="shared" si="330"/>
        <v>465500.00000000012</v>
      </c>
      <c r="IF27" s="13">
        <f t="shared" si="330"/>
        <v>465500.00000000012</v>
      </c>
      <c r="IG27" s="13">
        <f t="shared" si="330"/>
        <v>465500.00000000012</v>
      </c>
      <c r="IH27" s="13">
        <f t="shared" si="330"/>
        <v>465500.00000000012</v>
      </c>
      <c r="II27" s="69">
        <f t="shared" si="314"/>
        <v>84535500</v>
      </c>
    </row>
    <row r="28" spans="1:243" x14ac:dyDescent="0.45">
      <c r="A28" s="16" t="s">
        <v>226</v>
      </c>
      <c r="B28" s="44">
        <f>Staffing!D13</f>
        <v>217000</v>
      </c>
      <c r="C28" s="13">
        <f t="shared" si="320"/>
        <v>54250</v>
      </c>
      <c r="D28" s="13">
        <f t="shared" ref="D28:BO31" si="331">$B28*D$9</f>
        <v>54250</v>
      </c>
      <c r="E28" s="13">
        <f t="shared" si="331"/>
        <v>54250</v>
      </c>
      <c r="F28" s="13">
        <f t="shared" si="331"/>
        <v>54250</v>
      </c>
      <c r="G28" s="13">
        <f t="shared" si="331"/>
        <v>54250</v>
      </c>
      <c r="H28" s="13">
        <f t="shared" si="331"/>
        <v>54250</v>
      </c>
      <c r="I28" s="13">
        <f t="shared" si="331"/>
        <v>54250</v>
      </c>
      <c r="J28" s="13">
        <f t="shared" si="331"/>
        <v>54250</v>
      </c>
      <c r="K28" s="13">
        <f>$B28*K$9</f>
        <v>54250</v>
      </c>
      <c r="L28" s="13">
        <f t="shared" si="331"/>
        <v>54250</v>
      </c>
      <c r="M28" s="13">
        <f t="shared" si="331"/>
        <v>54250</v>
      </c>
      <c r="N28" s="13">
        <f t="shared" si="331"/>
        <v>54250</v>
      </c>
      <c r="O28" s="13">
        <f t="shared" si="331"/>
        <v>54250</v>
      </c>
      <c r="P28" s="13">
        <f t="shared" si="331"/>
        <v>54250</v>
      </c>
      <c r="Q28" s="13">
        <f t="shared" si="331"/>
        <v>54250</v>
      </c>
      <c r="R28" s="13">
        <f t="shared" si="331"/>
        <v>54250</v>
      </c>
      <c r="S28" s="13">
        <f t="shared" si="331"/>
        <v>54250</v>
      </c>
      <c r="T28" s="13">
        <f t="shared" si="331"/>
        <v>54250</v>
      </c>
      <c r="U28" s="13">
        <f t="shared" si="331"/>
        <v>54250</v>
      </c>
      <c r="V28" s="13">
        <f t="shared" si="331"/>
        <v>54250</v>
      </c>
      <c r="W28" s="13">
        <f t="shared" si="331"/>
        <v>54250</v>
      </c>
      <c r="X28" s="13">
        <f t="shared" si="331"/>
        <v>54250</v>
      </c>
      <c r="Y28" s="13">
        <f t="shared" si="331"/>
        <v>54250</v>
      </c>
      <c r="Z28" s="13">
        <f t="shared" si="331"/>
        <v>54250</v>
      </c>
      <c r="AA28" s="13">
        <f t="shared" si="331"/>
        <v>162750</v>
      </c>
      <c r="AB28" s="13">
        <f t="shared" si="331"/>
        <v>162750</v>
      </c>
      <c r="AC28" s="13">
        <f t="shared" si="331"/>
        <v>162750</v>
      </c>
      <c r="AD28" s="13">
        <f t="shared" si="331"/>
        <v>162750</v>
      </c>
      <c r="AE28" s="13">
        <f t="shared" si="331"/>
        <v>162750</v>
      </c>
      <c r="AF28" s="13">
        <f t="shared" si="331"/>
        <v>162750</v>
      </c>
      <c r="AG28" s="13">
        <f t="shared" si="331"/>
        <v>162750</v>
      </c>
      <c r="AH28" s="13">
        <f t="shared" si="331"/>
        <v>162750</v>
      </c>
      <c r="AI28" s="13">
        <f t="shared" si="331"/>
        <v>162750</v>
      </c>
      <c r="AJ28" s="13">
        <f t="shared" si="331"/>
        <v>162750</v>
      </c>
      <c r="AK28" s="13">
        <f t="shared" si="331"/>
        <v>162750</v>
      </c>
      <c r="AL28" s="13">
        <f t="shared" si="331"/>
        <v>162750</v>
      </c>
      <c r="AM28" s="13">
        <f t="shared" si="331"/>
        <v>162750</v>
      </c>
      <c r="AN28" s="13">
        <f t="shared" si="331"/>
        <v>162750</v>
      </c>
      <c r="AO28" s="13">
        <f t="shared" si="331"/>
        <v>162750</v>
      </c>
      <c r="AP28" s="13">
        <f t="shared" si="331"/>
        <v>162750</v>
      </c>
      <c r="AQ28" s="13">
        <f t="shared" si="331"/>
        <v>162750</v>
      </c>
      <c r="AR28" s="13">
        <f t="shared" si="331"/>
        <v>162750</v>
      </c>
      <c r="AS28" s="13">
        <f t="shared" si="331"/>
        <v>162750</v>
      </c>
      <c r="AT28" s="13">
        <f t="shared" si="331"/>
        <v>162750</v>
      </c>
      <c r="AU28" s="13">
        <f t="shared" si="331"/>
        <v>162750</v>
      </c>
      <c r="AV28" s="13">
        <f t="shared" si="331"/>
        <v>162750</v>
      </c>
      <c r="AW28" s="13">
        <f t="shared" si="331"/>
        <v>162750</v>
      </c>
      <c r="AX28" s="13">
        <f t="shared" si="331"/>
        <v>162750</v>
      </c>
      <c r="AY28" s="13">
        <f t="shared" si="331"/>
        <v>162750</v>
      </c>
      <c r="AZ28" s="13">
        <f t="shared" si="331"/>
        <v>162750</v>
      </c>
      <c r="BA28" s="13">
        <f t="shared" si="331"/>
        <v>162750</v>
      </c>
      <c r="BB28" s="13">
        <f t="shared" si="331"/>
        <v>162750</v>
      </c>
      <c r="BC28" s="13">
        <f t="shared" si="331"/>
        <v>162750</v>
      </c>
      <c r="BD28" s="13">
        <f t="shared" si="331"/>
        <v>162750</v>
      </c>
      <c r="BE28" s="13">
        <f t="shared" si="331"/>
        <v>162750</v>
      </c>
      <c r="BF28" s="13">
        <f t="shared" si="331"/>
        <v>162750</v>
      </c>
      <c r="BG28" s="13">
        <f t="shared" si="331"/>
        <v>162750</v>
      </c>
      <c r="BH28" s="13">
        <f t="shared" si="331"/>
        <v>162750</v>
      </c>
      <c r="BI28" s="13">
        <f t="shared" si="331"/>
        <v>162750</v>
      </c>
      <c r="BJ28" s="13">
        <f t="shared" si="331"/>
        <v>162750</v>
      </c>
      <c r="BK28" s="13">
        <f t="shared" si="331"/>
        <v>162750</v>
      </c>
      <c r="BL28" s="13">
        <f t="shared" si="331"/>
        <v>162750</v>
      </c>
      <c r="BM28" s="13">
        <f t="shared" si="331"/>
        <v>162750</v>
      </c>
      <c r="BN28" s="13">
        <f t="shared" si="331"/>
        <v>162750</v>
      </c>
      <c r="BO28" s="13">
        <f t="shared" si="331"/>
        <v>162750</v>
      </c>
      <c r="BP28" s="13">
        <f t="shared" si="327"/>
        <v>162750</v>
      </c>
      <c r="BQ28" s="13">
        <f t="shared" si="327"/>
        <v>162750</v>
      </c>
      <c r="BR28" s="13">
        <f t="shared" si="327"/>
        <v>162750</v>
      </c>
      <c r="BS28" s="13">
        <f t="shared" si="327"/>
        <v>162750</v>
      </c>
      <c r="BT28" s="13">
        <f t="shared" si="327"/>
        <v>162750</v>
      </c>
      <c r="BU28" s="13">
        <f t="shared" si="327"/>
        <v>162750</v>
      </c>
      <c r="BV28" s="13">
        <f t="shared" si="327"/>
        <v>162750</v>
      </c>
      <c r="BW28" s="13">
        <f t="shared" si="327"/>
        <v>217000</v>
      </c>
      <c r="BX28" s="13">
        <f t="shared" si="327"/>
        <v>217000</v>
      </c>
      <c r="BY28" s="13">
        <f t="shared" si="327"/>
        <v>217000</v>
      </c>
      <c r="BZ28" s="13">
        <f t="shared" si="327"/>
        <v>217000</v>
      </c>
      <c r="CA28" s="13">
        <f t="shared" si="327"/>
        <v>217000</v>
      </c>
      <c r="CB28" s="13">
        <f t="shared" si="327"/>
        <v>217000</v>
      </c>
      <c r="CC28" s="13">
        <f t="shared" si="327"/>
        <v>217000</v>
      </c>
      <c r="CD28" s="13">
        <f t="shared" si="327"/>
        <v>217000</v>
      </c>
      <c r="CE28" s="13">
        <f t="shared" si="328"/>
        <v>217000</v>
      </c>
      <c r="CF28" s="13">
        <f t="shared" si="328"/>
        <v>217000</v>
      </c>
      <c r="CG28" s="13">
        <f t="shared" si="328"/>
        <v>217000</v>
      </c>
      <c r="CH28" s="13">
        <f t="shared" si="328"/>
        <v>217000</v>
      </c>
      <c r="CI28" s="13">
        <f t="shared" si="328"/>
        <v>217000</v>
      </c>
      <c r="CJ28" s="13">
        <f t="shared" si="328"/>
        <v>217000</v>
      </c>
      <c r="CK28" s="13">
        <f t="shared" si="328"/>
        <v>217000</v>
      </c>
      <c r="CL28" s="13">
        <f t="shared" si="328"/>
        <v>217000</v>
      </c>
      <c r="CM28" s="13">
        <f t="shared" si="328"/>
        <v>217000</v>
      </c>
      <c r="CN28" s="13">
        <f t="shared" si="328"/>
        <v>223510</v>
      </c>
      <c r="CO28" s="13">
        <f t="shared" si="328"/>
        <v>223510</v>
      </c>
      <c r="CP28" s="13">
        <f t="shared" si="328"/>
        <v>223510</v>
      </c>
      <c r="CQ28" s="13">
        <f t="shared" si="328"/>
        <v>223510</v>
      </c>
      <c r="CR28" s="13">
        <f t="shared" si="328"/>
        <v>223510</v>
      </c>
      <c r="CS28" s="13">
        <f t="shared" si="328"/>
        <v>223510</v>
      </c>
      <c r="CT28" s="13">
        <f t="shared" si="328"/>
        <v>223510</v>
      </c>
      <c r="CU28" s="13">
        <f t="shared" si="328"/>
        <v>230020</v>
      </c>
      <c r="CV28" s="13">
        <f t="shared" si="328"/>
        <v>230020</v>
      </c>
      <c r="CW28" s="13">
        <f t="shared" si="328"/>
        <v>230020</v>
      </c>
      <c r="CX28" s="13">
        <f t="shared" si="328"/>
        <v>230020</v>
      </c>
      <c r="CY28" s="13">
        <f t="shared" si="328"/>
        <v>230020</v>
      </c>
      <c r="CZ28" s="13">
        <f t="shared" si="328"/>
        <v>230020</v>
      </c>
      <c r="DA28" s="13">
        <f t="shared" si="328"/>
        <v>230020</v>
      </c>
      <c r="DB28" s="13">
        <f t="shared" si="328"/>
        <v>230020</v>
      </c>
      <c r="DC28" s="13">
        <f t="shared" si="328"/>
        <v>230020</v>
      </c>
      <c r="DD28" s="13">
        <f t="shared" si="328"/>
        <v>230020</v>
      </c>
      <c r="DE28" s="13">
        <f t="shared" si="328"/>
        <v>230020</v>
      </c>
      <c r="DF28" s="13">
        <f t="shared" si="328"/>
        <v>230020</v>
      </c>
      <c r="DG28" s="13">
        <f t="shared" si="328"/>
        <v>236530.00000000003</v>
      </c>
      <c r="DH28" s="13">
        <f t="shared" si="328"/>
        <v>236530.00000000003</v>
      </c>
      <c r="DI28" s="13">
        <f t="shared" si="328"/>
        <v>236530.00000000003</v>
      </c>
      <c r="DJ28" s="13">
        <f t="shared" si="328"/>
        <v>236530.00000000003</v>
      </c>
      <c r="DK28" s="13">
        <f t="shared" si="328"/>
        <v>236530.00000000003</v>
      </c>
      <c r="DL28" s="13">
        <f t="shared" si="328"/>
        <v>236530.00000000003</v>
      </c>
      <c r="DM28" s="13">
        <f t="shared" si="328"/>
        <v>236530.00000000003</v>
      </c>
      <c r="DN28" s="13">
        <f t="shared" si="328"/>
        <v>236530.00000000003</v>
      </c>
      <c r="DO28" s="13">
        <f t="shared" si="328"/>
        <v>236530.00000000003</v>
      </c>
      <c r="DP28" s="13">
        <f t="shared" si="328"/>
        <v>236530.00000000003</v>
      </c>
      <c r="DQ28" s="13">
        <f t="shared" si="328"/>
        <v>236530.00000000003</v>
      </c>
      <c r="DR28" s="13">
        <f t="shared" si="328"/>
        <v>236530.00000000003</v>
      </c>
      <c r="DS28" s="13">
        <f t="shared" si="328"/>
        <v>243040.00000000003</v>
      </c>
      <c r="DT28" s="13">
        <f t="shared" si="328"/>
        <v>243040.00000000003</v>
      </c>
      <c r="DU28" s="13">
        <f t="shared" si="328"/>
        <v>243040.00000000003</v>
      </c>
      <c r="DV28" s="13">
        <f t="shared" si="328"/>
        <v>243040.00000000003</v>
      </c>
      <c r="DW28" s="13">
        <f t="shared" si="328"/>
        <v>243040.00000000003</v>
      </c>
      <c r="DX28" s="13">
        <f t="shared" si="328"/>
        <v>243040.00000000003</v>
      </c>
      <c r="DY28" s="13">
        <f t="shared" si="328"/>
        <v>243040.00000000003</v>
      </c>
      <c r="DZ28" s="13">
        <f t="shared" si="328"/>
        <v>243040.00000000003</v>
      </c>
      <c r="EA28" s="13">
        <f t="shared" si="328"/>
        <v>243040.00000000003</v>
      </c>
      <c r="EB28" s="13">
        <f t="shared" si="328"/>
        <v>243040.00000000003</v>
      </c>
      <c r="EC28" s="13">
        <f t="shared" si="328"/>
        <v>243040.00000000003</v>
      </c>
      <c r="ED28" s="13">
        <f t="shared" si="328"/>
        <v>243040.00000000003</v>
      </c>
      <c r="EE28" s="13">
        <f t="shared" si="328"/>
        <v>249550.00000000003</v>
      </c>
      <c r="EF28" s="13">
        <f t="shared" si="328"/>
        <v>249550.00000000003</v>
      </c>
      <c r="EG28" s="13">
        <f t="shared" si="328"/>
        <v>249550.00000000003</v>
      </c>
      <c r="EH28" s="13">
        <f t="shared" si="328"/>
        <v>249550.00000000003</v>
      </c>
      <c r="EI28" s="13">
        <f t="shared" si="328"/>
        <v>249550.00000000003</v>
      </c>
      <c r="EJ28" s="13">
        <f t="shared" si="328"/>
        <v>249550.00000000003</v>
      </c>
      <c r="EK28" s="13">
        <f t="shared" si="328"/>
        <v>249550.00000000003</v>
      </c>
      <c r="EL28" s="13">
        <f t="shared" si="328"/>
        <v>249550.00000000003</v>
      </c>
      <c r="EM28" s="13">
        <f t="shared" si="328"/>
        <v>249550.00000000003</v>
      </c>
      <c r="EN28" s="13">
        <f t="shared" si="328"/>
        <v>249550.00000000003</v>
      </c>
      <c r="EO28" s="13">
        <f t="shared" si="328"/>
        <v>249550.00000000003</v>
      </c>
      <c r="EP28" s="13">
        <f t="shared" si="328"/>
        <v>249550.00000000003</v>
      </c>
      <c r="EQ28" s="13">
        <f t="shared" si="329"/>
        <v>256060.00000000003</v>
      </c>
      <c r="ER28" s="13">
        <f t="shared" si="329"/>
        <v>256060.00000000003</v>
      </c>
      <c r="ES28" s="13">
        <f t="shared" si="329"/>
        <v>256060.00000000003</v>
      </c>
      <c r="ET28" s="13">
        <f t="shared" si="329"/>
        <v>256060.00000000003</v>
      </c>
      <c r="EU28" s="13">
        <f t="shared" si="329"/>
        <v>256060.00000000003</v>
      </c>
      <c r="EV28" s="13">
        <f t="shared" si="329"/>
        <v>256060.00000000003</v>
      </c>
      <c r="EW28" s="13">
        <f t="shared" si="329"/>
        <v>256060.00000000003</v>
      </c>
      <c r="EX28" s="13">
        <f t="shared" si="329"/>
        <v>256060.00000000003</v>
      </c>
      <c r="EY28" s="13">
        <f t="shared" si="329"/>
        <v>256060.00000000003</v>
      </c>
      <c r="EZ28" s="13">
        <f t="shared" si="329"/>
        <v>256060.00000000003</v>
      </c>
      <c r="FA28" s="13">
        <f t="shared" si="329"/>
        <v>256060.00000000003</v>
      </c>
      <c r="FB28" s="13">
        <f t="shared" si="329"/>
        <v>256060.00000000003</v>
      </c>
      <c r="FC28" s="13">
        <f t="shared" si="329"/>
        <v>262570.00000000006</v>
      </c>
      <c r="FD28" s="13">
        <f t="shared" si="329"/>
        <v>262570.00000000006</v>
      </c>
      <c r="FE28" s="13">
        <f t="shared" si="329"/>
        <v>262570.00000000006</v>
      </c>
      <c r="FF28" s="13">
        <f t="shared" si="329"/>
        <v>262570.00000000006</v>
      </c>
      <c r="FG28" s="13">
        <f t="shared" si="329"/>
        <v>262570.00000000006</v>
      </c>
      <c r="FH28" s="13">
        <f t="shared" si="329"/>
        <v>262570.00000000006</v>
      </c>
      <c r="FI28" s="13">
        <f t="shared" si="329"/>
        <v>262570.00000000006</v>
      </c>
      <c r="FJ28" s="13">
        <f t="shared" si="329"/>
        <v>262570.00000000006</v>
      </c>
      <c r="FK28" s="13">
        <f t="shared" si="329"/>
        <v>262570.00000000006</v>
      </c>
      <c r="FL28" s="13">
        <f t="shared" si="329"/>
        <v>262570.00000000006</v>
      </c>
      <c r="FM28" s="13">
        <f t="shared" si="329"/>
        <v>262570.00000000006</v>
      </c>
      <c r="FN28" s="13">
        <f t="shared" si="329"/>
        <v>262570.00000000006</v>
      </c>
      <c r="FO28" s="13">
        <f t="shared" si="329"/>
        <v>269080.00000000006</v>
      </c>
      <c r="FP28" s="13">
        <f t="shared" si="329"/>
        <v>269080.00000000006</v>
      </c>
      <c r="FQ28" s="13">
        <f t="shared" si="329"/>
        <v>269080.00000000006</v>
      </c>
      <c r="FR28" s="13">
        <f t="shared" si="329"/>
        <v>269080.00000000006</v>
      </c>
      <c r="FS28" s="13">
        <f t="shared" si="329"/>
        <v>269080.00000000006</v>
      </c>
      <c r="FT28" s="13">
        <f t="shared" si="329"/>
        <v>269080.00000000006</v>
      </c>
      <c r="FU28" s="13">
        <f t="shared" si="329"/>
        <v>269080.00000000006</v>
      </c>
      <c r="FV28" s="13">
        <f t="shared" si="329"/>
        <v>269080.00000000006</v>
      </c>
      <c r="FW28" s="13">
        <f t="shared" si="329"/>
        <v>269080.00000000006</v>
      </c>
      <c r="FX28" s="13">
        <f t="shared" si="329"/>
        <v>269080.00000000006</v>
      </c>
      <c r="FY28" s="13">
        <f t="shared" si="329"/>
        <v>269080.00000000006</v>
      </c>
      <c r="FZ28" s="13">
        <f t="shared" si="329"/>
        <v>269080.00000000006</v>
      </c>
      <c r="GA28" s="13">
        <f t="shared" si="330"/>
        <v>275590.00000000006</v>
      </c>
      <c r="GB28" s="13">
        <f t="shared" si="330"/>
        <v>275590.00000000006</v>
      </c>
      <c r="GC28" s="13">
        <f t="shared" si="330"/>
        <v>275590.00000000006</v>
      </c>
      <c r="GD28" s="13">
        <f t="shared" si="330"/>
        <v>275590.00000000006</v>
      </c>
      <c r="GE28" s="13">
        <f t="shared" si="330"/>
        <v>275590.00000000006</v>
      </c>
      <c r="GF28" s="13">
        <f t="shared" si="330"/>
        <v>275590.00000000006</v>
      </c>
      <c r="GG28" s="13">
        <f t="shared" si="330"/>
        <v>275590.00000000006</v>
      </c>
      <c r="GH28" s="13">
        <f t="shared" si="330"/>
        <v>275590.00000000006</v>
      </c>
      <c r="GI28" s="13">
        <f t="shared" si="330"/>
        <v>275590.00000000006</v>
      </c>
      <c r="GJ28" s="13">
        <f t="shared" si="330"/>
        <v>275590.00000000006</v>
      </c>
      <c r="GK28" s="13">
        <f t="shared" si="330"/>
        <v>275590.00000000006</v>
      </c>
      <c r="GL28" s="13">
        <f t="shared" si="330"/>
        <v>275590.00000000006</v>
      </c>
      <c r="GM28" s="13">
        <f t="shared" si="330"/>
        <v>282100.00000000006</v>
      </c>
      <c r="GN28" s="13">
        <f t="shared" si="330"/>
        <v>282100.00000000006</v>
      </c>
      <c r="GO28" s="13">
        <f t="shared" si="330"/>
        <v>282100.00000000006</v>
      </c>
      <c r="GP28" s="13">
        <f t="shared" si="330"/>
        <v>282100.00000000006</v>
      </c>
      <c r="GQ28" s="13">
        <f t="shared" si="330"/>
        <v>282100.00000000006</v>
      </c>
      <c r="GR28" s="13">
        <f t="shared" si="330"/>
        <v>282100.00000000006</v>
      </c>
      <c r="GS28" s="13">
        <f t="shared" si="330"/>
        <v>282100.00000000006</v>
      </c>
      <c r="GT28" s="13">
        <f t="shared" si="330"/>
        <v>282100.00000000006</v>
      </c>
      <c r="GU28" s="13">
        <f t="shared" si="330"/>
        <v>282100.00000000006</v>
      </c>
      <c r="GV28" s="13">
        <f t="shared" si="330"/>
        <v>282100.00000000006</v>
      </c>
      <c r="GW28" s="13">
        <f t="shared" si="330"/>
        <v>282100.00000000006</v>
      </c>
      <c r="GX28" s="13">
        <f t="shared" si="330"/>
        <v>282100.00000000006</v>
      </c>
      <c r="GY28" s="13">
        <f t="shared" si="330"/>
        <v>288610.00000000006</v>
      </c>
      <c r="GZ28" s="13">
        <f t="shared" si="330"/>
        <v>288610.00000000006</v>
      </c>
      <c r="HA28" s="13">
        <f t="shared" si="330"/>
        <v>288610.00000000006</v>
      </c>
      <c r="HB28" s="13">
        <f t="shared" si="330"/>
        <v>288610.00000000006</v>
      </c>
      <c r="HC28" s="13">
        <f t="shared" si="330"/>
        <v>288610.00000000006</v>
      </c>
      <c r="HD28" s="13">
        <f t="shared" si="330"/>
        <v>288610.00000000006</v>
      </c>
      <c r="HE28" s="13">
        <f t="shared" si="330"/>
        <v>288610.00000000006</v>
      </c>
      <c r="HF28" s="13">
        <f t="shared" si="330"/>
        <v>288610.00000000006</v>
      </c>
      <c r="HG28" s="13">
        <f t="shared" si="330"/>
        <v>288610.00000000006</v>
      </c>
      <c r="HH28" s="13">
        <f t="shared" si="330"/>
        <v>288610.00000000006</v>
      </c>
      <c r="HI28" s="13">
        <f t="shared" si="330"/>
        <v>288610.00000000006</v>
      </c>
      <c r="HJ28" s="13">
        <f t="shared" si="330"/>
        <v>288610.00000000006</v>
      </c>
      <c r="HK28" s="13">
        <f t="shared" si="330"/>
        <v>288610.00000000006</v>
      </c>
      <c r="HL28" s="13">
        <f t="shared" si="330"/>
        <v>288610.00000000006</v>
      </c>
      <c r="HM28" s="13">
        <f t="shared" si="330"/>
        <v>288610.00000000006</v>
      </c>
      <c r="HN28" s="13">
        <f t="shared" si="330"/>
        <v>288610.00000000006</v>
      </c>
      <c r="HO28" s="13">
        <f t="shared" si="330"/>
        <v>288610.00000000006</v>
      </c>
      <c r="HP28" s="13">
        <f t="shared" si="330"/>
        <v>288610.00000000006</v>
      </c>
      <c r="HQ28" s="13">
        <f t="shared" si="330"/>
        <v>288610.00000000006</v>
      </c>
      <c r="HR28" s="13">
        <f t="shared" si="330"/>
        <v>288610.00000000006</v>
      </c>
      <c r="HS28" s="13">
        <f t="shared" si="330"/>
        <v>288610.00000000006</v>
      </c>
      <c r="HT28" s="13">
        <f t="shared" si="330"/>
        <v>288610.00000000006</v>
      </c>
      <c r="HU28" s="13">
        <f t="shared" si="330"/>
        <v>288610.00000000006</v>
      </c>
      <c r="HV28" s="13">
        <f t="shared" si="330"/>
        <v>288610.00000000006</v>
      </c>
      <c r="HW28" s="13">
        <f t="shared" si="330"/>
        <v>288610.00000000006</v>
      </c>
      <c r="HX28" s="13">
        <f t="shared" si="330"/>
        <v>288610.00000000006</v>
      </c>
      <c r="HY28" s="13">
        <f t="shared" si="330"/>
        <v>288610.00000000006</v>
      </c>
      <c r="HZ28" s="13">
        <f t="shared" si="330"/>
        <v>288610.00000000006</v>
      </c>
      <c r="IA28" s="13">
        <f t="shared" si="330"/>
        <v>288610.00000000006</v>
      </c>
      <c r="IB28" s="13">
        <f t="shared" si="330"/>
        <v>288610.00000000006</v>
      </c>
      <c r="IC28" s="13">
        <f t="shared" si="330"/>
        <v>288610.00000000006</v>
      </c>
      <c r="ID28" s="13">
        <f t="shared" si="330"/>
        <v>288610.00000000006</v>
      </c>
      <c r="IE28" s="13">
        <f t="shared" si="330"/>
        <v>288610.00000000006</v>
      </c>
      <c r="IF28" s="13">
        <f t="shared" si="330"/>
        <v>288610.00000000006</v>
      </c>
      <c r="IG28" s="13">
        <f t="shared" si="330"/>
        <v>288610.00000000006</v>
      </c>
      <c r="IH28" s="13">
        <f t="shared" si="330"/>
        <v>288610.00000000006</v>
      </c>
      <c r="II28" s="69">
        <f>SUM(C28:IH28)</f>
        <v>52412010</v>
      </c>
    </row>
    <row r="29" spans="1:243" x14ac:dyDescent="0.45">
      <c r="A29" s="16" t="s">
        <v>189</v>
      </c>
      <c r="B29" s="18">
        <v>75000</v>
      </c>
      <c r="C29" s="13">
        <f t="shared" si="320"/>
        <v>18750</v>
      </c>
      <c r="D29" s="13">
        <f t="shared" si="331"/>
        <v>18750</v>
      </c>
      <c r="E29" s="13">
        <f t="shared" si="331"/>
        <v>18750</v>
      </c>
      <c r="F29" s="13">
        <f t="shared" si="331"/>
        <v>18750</v>
      </c>
      <c r="G29" s="13">
        <f t="shared" si="331"/>
        <v>18750</v>
      </c>
      <c r="H29" s="13">
        <f t="shared" si="331"/>
        <v>18750</v>
      </c>
      <c r="I29" s="13">
        <f t="shared" si="331"/>
        <v>18750</v>
      </c>
      <c r="J29" s="13">
        <f t="shared" si="331"/>
        <v>18750</v>
      </c>
      <c r="K29" s="13">
        <f t="shared" si="331"/>
        <v>18750</v>
      </c>
      <c r="L29" s="13">
        <f t="shared" si="331"/>
        <v>18750</v>
      </c>
      <c r="M29" s="13">
        <f t="shared" si="331"/>
        <v>18750</v>
      </c>
      <c r="N29" s="13">
        <f t="shared" si="331"/>
        <v>18750</v>
      </c>
      <c r="O29" s="13">
        <f t="shared" si="331"/>
        <v>18750</v>
      </c>
      <c r="P29" s="13">
        <f t="shared" si="331"/>
        <v>18750</v>
      </c>
      <c r="Q29" s="13">
        <f t="shared" si="331"/>
        <v>18750</v>
      </c>
      <c r="R29" s="13">
        <f t="shared" si="331"/>
        <v>18750</v>
      </c>
      <c r="S29" s="13">
        <f t="shared" si="331"/>
        <v>18750</v>
      </c>
      <c r="T29" s="13">
        <f t="shared" si="331"/>
        <v>18750</v>
      </c>
      <c r="U29" s="13">
        <f t="shared" si="331"/>
        <v>18750</v>
      </c>
      <c r="V29" s="13">
        <f t="shared" si="331"/>
        <v>18750</v>
      </c>
      <c r="W29" s="13">
        <f t="shared" si="331"/>
        <v>18750</v>
      </c>
      <c r="X29" s="13">
        <f t="shared" si="331"/>
        <v>18750</v>
      </c>
      <c r="Y29" s="13">
        <f t="shared" si="331"/>
        <v>18750</v>
      </c>
      <c r="Z29" s="13">
        <f t="shared" si="331"/>
        <v>18750</v>
      </c>
      <c r="AA29" s="13">
        <f t="shared" si="331"/>
        <v>56250</v>
      </c>
      <c r="AB29" s="13">
        <f t="shared" si="331"/>
        <v>56250</v>
      </c>
      <c r="AC29" s="13">
        <f t="shared" si="331"/>
        <v>56250</v>
      </c>
      <c r="AD29" s="13">
        <f t="shared" si="331"/>
        <v>56250</v>
      </c>
      <c r="AE29" s="13">
        <f t="shared" si="331"/>
        <v>56250</v>
      </c>
      <c r="AF29" s="13">
        <f t="shared" si="331"/>
        <v>56250</v>
      </c>
      <c r="AG29" s="13">
        <f t="shared" si="331"/>
        <v>56250</v>
      </c>
      <c r="AH29" s="13">
        <f t="shared" si="331"/>
        <v>56250</v>
      </c>
      <c r="AI29" s="13">
        <f t="shared" si="331"/>
        <v>56250</v>
      </c>
      <c r="AJ29" s="13">
        <f t="shared" si="331"/>
        <v>56250</v>
      </c>
      <c r="AK29" s="13">
        <f t="shared" si="331"/>
        <v>56250</v>
      </c>
      <c r="AL29" s="13">
        <f t="shared" si="331"/>
        <v>56250</v>
      </c>
      <c r="AM29" s="13">
        <f t="shared" si="331"/>
        <v>56250</v>
      </c>
      <c r="AN29" s="13">
        <f t="shared" si="331"/>
        <v>56250</v>
      </c>
      <c r="AO29" s="13">
        <f t="shared" si="331"/>
        <v>56250</v>
      </c>
      <c r="AP29" s="13">
        <f t="shared" si="331"/>
        <v>56250</v>
      </c>
      <c r="AQ29" s="13">
        <f t="shared" si="331"/>
        <v>56250</v>
      </c>
      <c r="AR29" s="13">
        <f t="shared" si="331"/>
        <v>56250</v>
      </c>
      <c r="AS29" s="13">
        <f t="shared" si="331"/>
        <v>56250</v>
      </c>
      <c r="AT29" s="13">
        <f t="shared" si="331"/>
        <v>56250</v>
      </c>
      <c r="AU29" s="13">
        <f t="shared" si="331"/>
        <v>56250</v>
      </c>
      <c r="AV29" s="13">
        <f t="shared" si="331"/>
        <v>56250</v>
      </c>
      <c r="AW29" s="13">
        <f t="shared" si="331"/>
        <v>56250</v>
      </c>
      <c r="AX29" s="13">
        <f t="shared" si="331"/>
        <v>56250</v>
      </c>
      <c r="AY29" s="13">
        <f t="shared" si="331"/>
        <v>56250</v>
      </c>
      <c r="AZ29" s="13">
        <f t="shared" si="331"/>
        <v>56250</v>
      </c>
      <c r="BA29" s="13">
        <f t="shared" si="331"/>
        <v>56250</v>
      </c>
      <c r="BB29" s="13">
        <f t="shared" si="331"/>
        <v>56250</v>
      </c>
      <c r="BC29" s="13">
        <f t="shared" si="331"/>
        <v>56250</v>
      </c>
      <c r="BD29" s="13">
        <f t="shared" si="331"/>
        <v>56250</v>
      </c>
      <c r="BE29" s="13">
        <f t="shared" si="331"/>
        <v>56250</v>
      </c>
      <c r="BF29" s="13">
        <f t="shared" si="331"/>
        <v>56250</v>
      </c>
      <c r="BG29" s="13">
        <f t="shared" si="331"/>
        <v>56250</v>
      </c>
      <c r="BH29" s="13">
        <f t="shared" si="331"/>
        <v>56250</v>
      </c>
      <c r="BI29" s="13">
        <f t="shared" si="331"/>
        <v>56250</v>
      </c>
      <c r="BJ29" s="13">
        <f t="shared" si="331"/>
        <v>56250</v>
      </c>
      <c r="BK29" s="13">
        <f t="shared" si="331"/>
        <v>56250</v>
      </c>
      <c r="BL29" s="13">
        <f t="shared" si="331"/>
        <v>56250</v>
      </c>
      <c r="BM29" s="13">
        <f t="shared" si="331"/>
        <v>56250</v>
      </c>
      <c r="BN29" s="13">
        <f t="shared" si="331"/>
        <v>56250</v>
      </c>
      <c r="BO29" s="13">
        <f t="shared" si="331"/>
        <v>56250</v>
      </c>
      <c r="BP29" s="13">
        <f t="shared" si="327"/>
        <v>56250</v>
      </c>
      <c r="BQ29" s="13">
        <f t="shared" si="327"/>
        <v>56250</v>
      </c>
      <c r="BR29" s="13">
        <f t="shared" si="327"/>
        <v>56250</v>
      </c>
      <c r="BS29" s="13">
        <f t="shared" si="327"/>
        <v>56250</v>
      </c>
      <c r="BT29" s="13">
        <f t="shared" si="327"/>
        <v>56250</v>
      </c>
      <c r="BU29" s="13">
        <f t="shared" si="327"/>
        <v>56250</v>
      </c>
      <c r="BV29" s="13">
        <f t="shared" si="327"/>
        <v>56250</v>
      </c>
      <c r="BW29" s="13">
        <f t="shared" si="327"/>
        <v>75000</v>
      </c>
      <c r="BX29" s="13">
        <f t="shared" si="327"/>
        <v>75000</v>
      </c>
      <c r="BY29" s="13">
        <f t="shared" si="327"/>
        <v>75000</v>
      </c>
      <c r="BZ29" s="13">
        <f t="shared" si="327"/>
        <v>75000</v>
      </c>
      <c r="CA29" s="13">
        <f t="shared" si="327"/>
        <v>75000</v>
      </c>
      <c r="CB29" s="13">
        <f t="shared" si="327"/>
        <v>75000</v>
      </c>
      <c r="CC29" s="13">
        <f t="shared" si="327"/>
        <v>75000</v>
      </c>
      <c r="CD29" s="13">
        <f t="shared" si="327"/>
        <v>75000</v>
      </c>
      <c r="CE29" s="13">
        <f t="shared" si="328"/>
        <v>75000</v>
      </c>
      <c r="CF29" s="13">
        <f t="shared" si="328"/>
        <v>75000</v>
      </c>
      <c r="CG29" s="13">
        <f t="shared" si="328"/>
        <v>75000</v>
      </c>
      <c r="CH29" s="13">
        <f t="shared" si="328"/>
        <v>75000</v>
      </c>
      <c r="CI29" s="13">
        <f t="shared" si="328"/>
        <v>75000</v>
      </c>
      <c r="CJ29" s="13">
        <f t="shared" si="328"/>
        <v>75000</v>
      </c>
      <c r="CK29" s="13">
        <f t="shared" si="328"/>
        <v>75000</v>
      </c>
      <c r="CL29" s="13">
        <f t="shared" si="328"/>
        <v>75000</v>
      </c>
      <c r="CM29" s="13">
        <f t="shared" si="328"/>
        <v>75000</v>
      </c>
      <c r="CN29" s="13">
        <f t="shared" si="328"/>
        <v>77250</v>
      </c>
      <c r="CO29" s="13">
        <f t="shared" si="328"/>
        <v>77250</v>
      </c>
      <c r="CP29" s="13">
        <f t="shared" si="328"/>
        <v>77250</v>
      </c>
      <c r="CQ29" s="13">
        <f t="shared" si="328"/>
        <v>77250</v>
      </c>
      <c r="CR29" s="13">
        <f t="shared" si="328"/>
        <v>77250</v>
      </c>
      <c r="CS29" s="13">
        <f t="shared" si="328"/>
        <v>77250</v>
      </c>
      <c r="CT29" s="13">
        <f t="shared" si="328"/>
        <v>77250</v>
      </c>
      <c r="CU29" s="13">
        <f t="shared" si="328"/>
        <v>79500</v>
      </c>
      <c r="CV29" s="13">
        <f t="shared" si="328"/>
        <v>79500</v>
      </c>
      <c r="CW29" s="13">
        <f t="shared" si="328"/>
        <v>79500</v>
      </c>
      <c r="CX29" s="13">
        <f t="shared" si="328"/>
        <v>79500</v>
      </c>
      <c r="CY29" s="13">
        <f t="shared" si="328"/>
        <v>79500</v>
      </c>
      <c r="CZ29" s="13">
        <f t="shared" si="328"/>
        <v>79500</v>
      </c>
      <c r="DA29" s="13">
        <f t="shared" si="328"/>
        <v>79500</v>
      </c>
      <c r="DB29" s="13">
        <f t="shared" si="328"/>
        <v>79500</v>
      </c>
      <c r="DC29" s="13">
        <f t="shared" si="328"/>
        <v>79500</v>
      </c>
      <c r="DD29" s="13">
        <f t="shared" si="328"/>
        <v>79500</v>
      </c>
      <c r="DE29" s="13">
        <f t="shared" si="328"/>
        <v>79500</v>
      </c>
      <c r="DF29" s="13">
        <f t="shared" si="328"/>
        <v>79500</v>
      </c>
      <c r="DG29" s="13">
        <f t="shared" si="328"/>
        <v>81750</v>
      </c>
      <c r="DH29" s="13">
        <f t="shared" si="328"/>
        <v>81750</v>
      </c>
      <c r="DI29" s="13">
        <f t="shared" si="328"/>
        <v>81750</v>
      </c>
      <c r="DJ29" s="13">
        <f t="shared" si="328"/>
        <v>81750</v>
      </c>
      <c r="DK29" s="13">
        <f t="shared" si="328"/>
        <v>81750</v>
      </c>
      <c r="DL29" s="13">
        <f t="shared" si="328"/>
        <v>81750</v>
      </c>
      <c r="DM29" s="13">
        <f t="shared" si="328"/>
        <v>81750</v>
      </c>
      <c r="DN29" s="13">
        <f t="shared" si="328"/>
        <v>81750</v>
      </c>
      <c r="DO29" s="13">
        <f t="shared" si="328"/>
        <v>81750</v>
      </c>
      <c r="DP29" s="13">
        <f t="shared" si="328"/>
        <v>81750</v>
      </c>
      <c r="DQ29" s="13">
        <f t="shared" si="328"/>
        <v>81750</v>
      </c>
      <c r="DR29" s="13">
        <f t="shared" si="328"/>
        <v>81750</v>
      </c>
      <c r="DS29" s="13">
        <f t="shared" si="328"/>
        <v>84000.000000000015</v>
      </c>
      <c r="DT29" s="13">
        <f t="shared" si="328"/>
        <v>84000.000000000015</v>
      </c>
      <c r="DU29" s="13">
        <f t="shared" si="328"/>
        <v>84000.000000000015</v>
      </c>
      <c r="DV29" s="13">
        <f t="shared" si="328"/>
        <v>84000.000000000015</v>
      </c>
      <c r="DW29" s="13">
        <f t="shared" si="328"/>
        <v>84000.000000000015</v>
      </c>
      <c r="DX29" s="13">
        <f t="shared" si="328"/>
        <v>84000.000000000015</v>
      </c>
      <c r="DY29" s="13">
        <f t="shared" si="328"/>
        <v>84000.000000000015</v>
      </c>
      <c r="DZ29" s="13">
        <f t="shared" si="328"/>
        <v>84000.000000000015</v>
      </c>
      <c r="EA29" s="13">
        <f t="shared" si="328"/>
        <v>84000.000000000015</v>
      </c>
      <c r="EB29" s="13">
        <f t="shared" si="328"/>
        <v>84000.000000000015</v>
      </c>
      <c r="EC29" s="13">
        <f t="shared" si="328"/>
        <v>84000.000000000015</v>
      </c>
      <c r="ED29" s="13">
        <f t="shared" si="328"/>
        <v>84000.000000000015</v>
      </c>
      <c r="EE29" s="13">
        <f t="shared" si="328"/>
        <v>86250.000000000015</v>
      </c>
      <c r="EF29" s="13">
        <f t="shared" si="328"/>
        <v>86250.000000000015</v>
      </c>
      <c r="EG29" s="13">
        <f t="shared" si="328"/>
        <v>86250.000000000015</v>
      </c>
      <c r="EH29" s="13">
        <f t="shared" si="328"/>
        <v>86250.000000000015</v>
      </c>
      <c r="EI29" s="13">
        <f t="shared" si="328"/>
        <v>86250.000000000015</v>
      </c>
      <c r="EJ29" s="13">
        <f t="shared" si="328"/>
        <v>86250.000000000015</v>
      </c>
      <c r="EK29" s="13">
        <f t="shared" si="328"/>
        <v>86250.000000000015</v>
      </c>
      <c r="EL29" s="13">
        <f t="shared" si="328"/>
        <v>86250.000000000015</v>
      </c>
      <c r="EM29" s="13">
        <f t="shared" si="328"/>
        <v>86250.000000000015</v>
      </c>
      <c r="EN29" s="13">
        <f t="shared" si="328"/>
        <v>86250.000000000015</v>
      </c>
      <c r="EO29" s="13">
        <f t="shared" si="328"/>
        <v>86250.000000000015</v>
      </c>
      <c r="EP29" s="13">
        <f t="shared" si="328"/>
        <v>86250.000000000015</v>
      </c>
      <c r="EQ29" s="13">
        <f t="shared" si="329"/>
        <v>88500.000000000015</v>
      </c>
      <c r="ER29" s="13">
        <f t="shared" si="329"/>
        <v>88500.000000000015</v>
      </c>
      <c r="ES29" s="13">
        <f t="shared" si="329"/>
        <v>88500.000000000015</v>
      </c>
      <c r="ET29" s="13">
        <f t="shared" si="329"/>
        <v>88500.000000000015</v>
      </c>
      <c r="EU29" s="13">
        <f t="shared" si="329"/>
        <v>88500.000000000015</v>
      </c>
      <c r="EV29" s="13">
        <f t="shared" si="329"/>
        <v>88500.000000000015</v>
      </c>
      <c r="EW29" s="13">
        <f t="shared" si="329"/>
        <v>88500.000000000015</v>
      </c>
      <c r="EX29" s="13">
        <f t="shared" si="329"/>
        <v>88500.000000000015</v>
      </c>
      <c r="EY29" s="13">
        <f t="shared" si="329"/>
        <v>88500.000000000015</v>
      </c>
      <c r="EZ29" s="13">
        <f t="shared" si="329"/>
        <v>88500.000000000015</v>
      </c>
      <c r="FA29" s="13">
        <f t="shared" si="329"/>
        <v>88500.000000000015</v>
      </c>
      <c r="FB29" s="13">
        <f t="shared" si="329"/>
        <v>88500.000000000015</v>
      </c>
      <c r="FC29" s="13">
        <f t="shared" si="329"/>
        <v>90750.000000000015</v>
      </c>
      <c r="FD29" s="13">
        <f t="shared" si="329"/>
        <v>90750.000000000015</v>
      </c>
      <c r="FE29" s="13">
        <f t="shared" si="329"/>
        <v>90750.000000000015</v>
      </c>
      <c r="FF29" s="13">
        <f t="shared" si="329"/>
        <v>90750.000000000015</v>
      </c>
      <c r="FG29" s="13">
        <f t="shared" si="329"/>
        <v>90750.000000000015</v>
      </c>
      <c r="FH29" s="13">
        <f t="shared" si="329"/>
        <v>90750.000000000015</v>
      </c>
      <c r="FI29" s="13">
        <f t="shared" si="329"/>
        <v>90750.000000000015</v>
      </c>
      <c r="FJ29" s="13">
        <f t="shared" si="329"/>
        <v>90750.000000000015</v>
      </c>
      <c r="FK29" s="13">
        <f t="shared" si="329"/>
        <v>90750.000000000015</v>
      </c>
      <c r="FL29" s="13">
        <f t="shared" si="329"/>
        <v>90750.000000000015</v>
      </c>
      <c r="FM29" s="13">
        <f t="shared" si="329"/>
        <v>90750.000000000015</v>
      </c>
      <c r="FN29" s="13">
        <f t="shared" si="329"/>
        <v>90750.000000000015</v>
      </c>
      <c r="FO29" s="13">
        <f t="shared" si="329"/>
        <v>93000.000000000015</v>
      </c>
      <c r="FP29" s="13">
        <f t="shared" si="329"/>
        <v>93000.000000000015</v>
      </c>
      <c r="FQ29" s="13">
        <f t="shared" si="329"/>
        <v>93000.000000000015</v>
      </c>
      <c r="FR29" s="13">
        <f t="shared" si="329"/>
        <v>93000.000000000015</v>
      </c>
      <c r="FS29" s="13">
        <f t="shared" si="329"/>
        <v>93000.000000000015</v>
      </c>
      <c r="FT29" s="13">
        <f t="shared" si="329"/>
        <v>93000.000000000015</v>
      </c>
      <c r="FU29" s="13">
        <f t="shared" si="329"/>
        <v>93000.000000000015</v>
      </c>
      <c r="FV29" s="13">
        <f t="shared" si="329"/>
        <v>93000.000000000015</v>
      </c>
      <c r="FW29" s="13">
        <f t="shared" si="329"/>
        <v>93000.000000000015</v>
      </c>
      <c r="FX29" s="13">
        <f t="shared" si="329"/>
        <v>93000.000000000015</v>
      </c>
      <c r="FY29" s="13">
        <f t="shared" si="329"/>
        <v>93000.000000000015</v>
      </c>
      <c r="FZ29" s="13">
        <f t="shared" si="329"/>
        <v>93000.000000000015</v>
      </c>
      <c r="GA29" s="13">
        <f t="shared" si="330"/>
        <v>95250.000000000015</v>
      </c>
      <c r="GB29" s="13">
        <f t="shared" si="330"/>
        <v>95250.000000000015</v>
      </c>
      <c r="GC29" s="13">
        <f t="shared" si="330"/>
        <v>95250.000000000015</v>
      </c>
      <c r="GD29" s="13">
        <f t="shared" si="330"/>
        <v>95250.000000000015</v>
      </c>
      <c r="GE29" s="13">
        <f t="shared" si="330"/>
        <v>95250.000000000015</v>
      </c>
      <c r="GF29" s="13">
        <f t="shared" si="330"/>
        <v>95250.000000000015</v>
      </c>
      <c r="GG29" s="13">
        <f t="shared" si="330"/>
        <v>95250.000000000015</v>
      </c>
      <c r="GH29" s="13">
        <f t="shared" si="330"/>
        <v>95250.000000000015</v>
      </c>
      <c r="GI29" s="13">
        <f t="shared" si="330"/>
        <v>95250.000000000015</v>
      </c>
      <c r="GJ29" s="13">
        <f t="shared" si="330"/>
        <v>95250.000000000015</v>
      </c>
      <c r="GK29" s="13">
        <f t="shared" si="330"/>
        <v>95250.000000000015</v>
      </c>
      <c r="GL29" s="13">
        <f t="shared" si="330"/>
        <v>95250.000000000015</v>
      </c>
      <c r="GM29" s="13">
        <f t="shared" si="330"/>
        <v>97500.000000000015</v>
      </c>
      <c r="GN29" s="13">
        <f t="shared" si="330"/>
        <v>97500.000000000015</v>
      </c>
      <c r="GO29" s="13">
        <f t="shared" si="330"/>
        <v>97500.000000000015</v>
      </c>
      <c r="GP29" s="13">
        <f t="shared" si="330"/>
        <v>97500.000000000015</v>
      </c>
      <c r="GQ29" s="13">
        <f t="shared" si="330"/>
        <v>97500.000000000015</v>
      </c>
      <c r="GR29" s="13">
        <f t="shared" si="330"/>
        <v>97500.000000000015</v>
      </c>
      <c r="GS29" s="13">
        <f t="shared" si="330"/>
        <v>97500.000000000015</v>
      </c>
      <c r="GT29" s="13">
        <f t="shared" si="330"/>
        <v>97500.000000000015</v>
      </c>
      <c r="GU29" s="13">
        <f t="shared" si="330"/>
        <v>97500.000000000015</v>
      </c>
      <c r="GV29" s="13">
        <f t="shared" si="330"/>
        <v>97500.000000000015</v>
      </c>
      <c r="GW29" s="13">
        <f t="shared" si="330"/>
        <v>97500.000000000015</v>
      </c>
      <c r="GX29" s="13">
        <f t="shared" si="330"/>
        <v>97500.000000000015</v>
      </c>
      <c r="GY29" s="13">
        <f t="shared" si="330"/>
        <v>99750.000000000029</v>
      </c>
      <c r="GZ29" s="13">
        <f t="shared" si="330"/>
        <v>99750.000000000029</v>
      </c>
      <c r="HA29" s="13">
        <f t="shared" si="330"/>
        <v>99750.000000000029</v>
      </c>
      <c r="HB29" s="13">
        <f t="shared" si="330"/>
        <v>99750.000000000029</v>
      </c>
      <c r="HC29" s="13">
        <f t="shared" si="330"/>
        <v>99750.000000000029</v>
      </c>
      <c r="HD29" s="13">
        <f t="shared" si="330"/>
        <v>99750.000000000029</v>
      </c>
      <c r="HE29" s="13">
        <f t="shared" si="330"/>
        <v>99750.000000000029</v>
      </c>
      <c r="HF29" s="13">
        <f t="shared" si="330"/>
        <v>99750.000000000029</v>
      </c>
      <c r="HG29" s="13">
        <f t="shared" si="330"/>
        <v>99750.000000000029</v>
      </c>
      <c r="HH29" s="13">
        <f t="shared" si="330"/>
        <v>99750.000000000029</v>
      </c>
      <c r="HI29" s="13">
        <f t="shared" si="330"/>
        <v>99750.000000000029</v>
      </c>
      <c r="HJ29" s="13">
        <f t="shared" si="330"/>
        <v>99750.000000000029</v>
      </c>
      <c r="HK29" s="13">
        <f t="shared" si="330"/>
        <v>99750.000000000029</v>
      </c>
      <c r="HL29" s="13">
        <f t="shared" si="330"/>
        <v>99750.000000000029</v>
      </c>
      <c r="HM29" s="13">
        <f t="shared" si="330"/>
        <v>99750.000000000029</v>
      </c>
      <c r="HN29" s="13">
        <f t="shared" si="330"/>
        <v>99750.000000000029</v>
      </c>
      <c r="HO29" s="13">
        <f t="shared" si="330"/>
        <v>99750.000000000029</v>
      </c>
      <c r="HP29" s="13">
        <f t="shared" si="330"/>
        <v>99750.000000000029</v>
      </c>
      <c r="HQ29" s="13">
        <f t="shared" si="330"/>
        <v>99750.000000000029</v>
      </c>
      <c r="HR29" s="13">
        <f t="shared" si="330"/>
        <v>99750.000000000029</v>
      </c>
      <c r="HS29" s="13">
        <f t="shared" si="330"/>
        <v>99750.000000000029</v>
      </c>
      <c r="HT29" s="13">
        <f t="shared" si="330"/>
        <v>99750.000000000029</v>
      </c>
      <c r="HU29" s="13">
        <f t="shared" si="330"/>
        <v>99750.000000000029</v>
      </c>
      <c r="HV29" s="13">
        <f t="shared" si="330"/>
        <v>99750.000000000029</v>
      </c>
      <c r="HW29" s="13">
        <f t="shared" si="330"/>
        <v>99750.000000000029</v>
      </c>
      <c r="HX29" s="13">
        <f t="shared" si="330"/>
        <v>99750.000000000029</v>
      </c>
      <c r="HY29" s="13">
        <f t="shared" si="330"/>
        <v>99750.000000000029</v>
      </c>
      <c r="HZ29" s="13">
        <f t="shared" si="330"/>
        <v>99750.000000000029</v>
      </c>
      <c r="IA29" s="13">
        <f t="shared" si="330"/>
        <v>99750.000000000029</v>
      </c>
      <c r="IB29" s="13">
        <f t="shared" si="330"/>
        <v>99750.000000000029</v>
      </c>
      <c r="IC29" s="13">
        <f t="shared" si="330"/>
        <v>99750.000000000029</v>
      </c>
      <c r="ID29" s="13">
        <f t="shared" si="330"/>
        <v>99750.000000000029</v>
      </c>
      <c r="IE29" s="13">
        <f t="shared" si="330"/>
        <v>99750.000000000029</v>
      </c>
      <c r="IF29" s="13">
        <f t="shared" si="330"/>
        <v>99750.000000000029</v>
      </c>
      <c r="IG29" s="13">
        <f t="shared" si="330"/>
        <v>99750.000000000029</v>
      </c>
      <c r="IH29" s="13">
        <f t="shared" si="330"/>
        <v>99750.000000000029</v>
      </c>
      <c r="II29" s="69">
        <f t="shared" si="314"/>
        <v>18114750</v>
      </c>
    </row>
    <row r="30" spans="1:243" x14ac:dyDescent="0.45">
      <c r="A30" s="16" t="s">
        <v>227</v>
      </c>
      <c r="B30" s="18">
        <v>15000</v>
      </c>
      <c r="C30" s="13">
        <f t="shared" si="320"/>
        <v>3750</v>
      </c>
      <c r="D30" s="13">
        <f t="shared" si="331"/>
        <v>3750</v>
      </c>
      <c r="E30" s="13">
        <f t="shared" si="331"/>
        <v>3750</v>
      </c>
      <c r="F30" s="13">
        <f t="shared" si="331"/>
        <v>3750</v>
      </c>
      <c r="G30" s="13">
        <f t="shared" si="331"/>
        <v>3750</v>
      </c>
      <c r="H30" s="13">
        <f t="shared" si="331"/>
        <v>3750</v>
      </c>
      <c r="I30" s="13">
        <f t="shared" si="331"/>
        <v>3750</v>
      </c>
      <c r="J30" s="13">
        <f t="shared" si="331"/>
        <v>3750</v>
      </c>
      <c r="K30" s="13">
        <f t="shared" si="331"/>
        <v>3750</v>
      </c>
      <c r="L30" s="13">
        <f t="shared" si="331"/>
        <v>3750</v>
      </c>
      <c r="M30" s="13">
        <f t="shared" si="331"/>
        <v>3750</v>
      </c>
      <c r="N30" s="13">
        <f t="shared" si="331"/>
        <v>3750</v>
      </c>
      <c r="O30" s="13">
        <f t="shared" si="331"/>
        <v>3750</v>
      </c>
      <c r="P30" s="13">
        <f t="shared" si="331"/>
        <v>3750</v>
      </c>
      <c r="Q30" s="13">
        <f t="shared" si="331"/>
        <v>3750</v>
      </c>
      <c r="R30" s="13">
        <f t="shared" si="331"/>
        <v>3750</v>
      </c>
      <c r="S30" s="13">
        <f t="shared" si="331"/>
        <v>3750</v>
      </c>
      <c r="T30" s="13">
        <f t="shared" si="331"/>
        <v>3750</v>
      </c>
      <c r="U30" s="13">
        <f t="shared" si="331"/>
        <v>3750</v>
      </c>
      <c r="V30" s="13">
        <f t="shared" si="331"/>
        <v>3750</v>
      </c>
      <c r="W30" s="13">
        <f t="shared" si="331"/>
        <v>3750</v>
      </c>
      <c r="X30" s="13">
        <f t="shared" si="331"/>
        <v>3750</v>
      </c>
      <c r="Y30" s="13">
        <f t="shared" si="331"/>
        <v>3750</v>
      </c>
      <c r="Z30" s="13">
        <f t="shared" si="331"/>
        <v>3750</v>
      </c>
      <c r="AA30" s="13">
        <f t="shared" si="331"/>
        <v>11250</v>
      </c>
      <c r="AB30" s="13">
        <f t="shared" si="331"/>
        <v>11250</v>
      </c>
      <c r="AC30" s="13">
        <f t="shared" si="331"/>
        <v>11250</v>
      </c>
      <c r="AD30" s="13">
        <f t="shared" si="331"/>
        <v>11250</v>
      </c>
      <c r="AE30" s="13">
        <f t="shared" si="331"/>
        <v>11250</v>
      </c>
      <c r="AF30" s="13">
        <f t="shared" si="331"/>
        <v>11250</v>
      </c>
      <c r="AG30" s="13">
        <f t="shared" si="331"/>
        <v>11250</v>
      </c>
      <c r="AH30" s="13">
        <f t="shared" si="331"/>
        <v>11250</v>
      </c>
      <c r="AI30" s="13">
        <f t="shared" si="331"/>
        <v>11250</v>
      </c>
      <c r="AJ30" s="13">
        <f t="shared" si="331"/>
        <v>11250</v>
      </c>
      <c r="AK30" s="13">
        <f t="shared" si="331"/>
        <v>11250</v>
      </c>
      <c r="AL30" s="13">
        <f t="shared" si="331"/>
        <v>11250</v>
      </c>
      <c r="AM30" s="13">
        <f t="shared" si="331"/>
        <v>11250</v>
      </c>
      <c r="AN30" s="13">
        <f t="shared" si="331"/>
        <v>11250</v>
      </c>
      <c r="AO30" s="13">
        <f t="shared" si="331"/>
        <v>11250</v>
      </c>
      <c r="AP30" s="13">
        <f t="shared" si="331"/>
        <v>11250</v>
      </c>
      <c r="AQ30" s="13">
        <f t="shared" si="331"/>
        <v>11250</v>
      </c>
      <c r="AR30" s="13">
        <f t="shared" si="331"/>
        <v>11250</v>
      </c>
      <c r="AS30" s="13">
        <f t="shared" si="331"/>
        <v>11250</v>
      </c>
      <c r="AT30" s="13">
        <f t="shared" si="331"/>
        <v>11250</v>
      </c>
      <c r="AU30" s="13">
        <f t="shared" si="331"/>
        <v>11250</v>
      </c>
      <c r="AV30" s="13">
        <f t="shared" si="331"/>
        <v>11250</v>
      </c>
      <c r="AW30" s="13">
        <f t="shared" si="331"/>
        <v>11250</v>
      </c>
      <c r="AX30" s="13">
        <f t="shared" si="331"/>
        <v>11250</v>
      </c>
      <c r="AY30" s="13">
        <f t="shared" si="331"/>
        <v>11250</v>
      </c>
      <c r="AZ30" s="13">
        <f t="shared" si="331"/>
        <v>11250</v>
      </c>
      <c r="BA30" s="13">
        <f t="shared" si="331"/>
        <v>11250</v>
      </c>
      <c r="BB30" s="13">
        <f t="shared" si="331"/>
        <v>11250</v>
      </c>
      <c r="BC30" s="13">
        <f t="shared" si="331"/>
        <v>11250</v>
      </c>
      <c r="BD30" s="13">
        <f t="shared" si="331"/>
        <v>11250</v>
      </c>
      <c r="BE30" s="13">
        <f t="shared" si="331"/>
        <v>11250</v>
      </c>
      <c r="BF30" s="13">
        <f t="shared" si="331"/>
        <v>11250</v>
      </c>
      <c r="BG30" s="13">
        <f t="shared" si="331"/>
        <v>11250</v>
      </c>
      <c r="BH30" s="13">
        <f t="shared" si="331"/>
        <v>11250</v>
      </c>
      <c r="BI30" s="13">
        <f t="shared" si="331"/>
        <v>11250</v>
      </c>
      <c r="BJ30" s="13">
        <f t="shared" si="331"/>
        <v>11250</v>
      </c>
      <c r="BK30" s="13">
        <f t="shared" si="331"/>
        <v>11250</v>
      </c>
      <c r="BL30" s="13">
        <f t="shared" si="331"/>
        <v>11250</v>
      </c>
      <c r="BM30" s="13">
        <f t="shared" si="331"/>
        <v>11250</v>
      </c>
      <c r="BN30" s="13">
        <f t="shared" si="331"/>
        <v>11250</v>
      </c>
      <c r="BO30" s="13">
        <f t="shared" si="331"/>
        <v>11250</v>
      </c>
      <c r="BP30" s="13">
        <f t="shared" si="327"/>
        <v>11250</v>
      </c>
      <c r="BQ30" s="13">
        <f t="shared" si="327"/>
        <v>11250</v>
      </c>
      <c r="BR30" s="13">
        <f t="shared" si="327"/>
        <v>11250</v>
      </c>
      <c r="BS30" s="13">
        <f t="shared" si="327"/>
        <v>11250</v>
      </c>
      <c r="BT30" s="13">
        <f t="shared" si="327"/>
        <v>11250</v>
      </c>
      <c r="BU30" s="13">
        <f t="shared" si="327"/>
        <v>11250</v>
      </c>
      <c r="BV30" s="13">
        <f t="shared" si="327"/>
        <v>11250</v>
      </c>
      <c r="BW30" s="13">
        <f t="shared" si="327"/>
        <v>15000</v>
      </c>
      <c r="BX30" s="13">
        <f t="shared" si="327"/>
        <v>15000</v>
      </c>
      <c r="BY30" s="13">
        <f t="shared" si="327"/>
        <v>15000</v>
      </c>
      <c r="BZ30" s="13">
        <f t="shared" si="327"/>
        <v>15000</v>
      </c>
      <c r="CA30" s="13">
        <f t="shared" si="327"/>
        <v>15000</v>
      </c>
      <c r="CB30" s="13">
        <f t="shared" si="327"/>
        <v>15000</v>
      </c>
      <c r="CC30" s="13">
        <f t="shared" si="327"/>
        <v>15000</v>
      </c>
      <c r="CD30" s="13">
        <f t="shared" si="327"/>
        <v>15000</v>
      </c>
      <c r="CE30" s="13">
        <f t="shared" si="328"/>
        <v>15000</v>
      </c>
      <c r="CF30" s="13">
        <f t="shared" si="328"/>
        <v>15000</v>
      </c>
      <c r="CG30" s="13">
        <f t="shared" si="328"/>
        <v>15000</v>
      </c>
      <c r="CH30" s="13">
        <f t="shared" si="328"/>
        <v>15000</v>
      </c>
      <c r="CI30" s="13">
        <f t="shared" si="328"/>
        <v>15000</v>
      </c>
      <c r="CJ30" s="13">
        <f t="shared" si="328"/>
        <v>15000</v>
      </c>
      <c r="CK30" s="13">
        <f t="shared" si="328"/>
        <v>15000</v>
      </c>
      <c r="CL30" s="13">
        <f t="shared" si="328"/>
        <v>15000</v>
      </c>
      <c r="CM30" s="13">
        <f t="shared" si="328"/>
        <v>15000</v>
      </c>
      <c r="CN30" s="13">
        <f t="shared" si="328"/>
        <v>15450</v>
      </c>
      <c r="CO30" s="13">
        <f t="shared" si="328"/>
        <v>15450</v>
      </c>
      <c r="CP30" s="13">
        <f t="shared" si="328"/>
        <v>15450</v>
      </c>
      <c r="CQ30" s="13">
        <f t="shared" si="328"/>
        <v>15450</v>
      </c>
      <c r="CR30" s="13">
        <f t="shared" si="328"/>
        <v>15450</v>
      </c>
      <c r="CS30" s="13">
        <f t="shared" si="328"/>
        <v>15450</v>
      </c>
      <c r="CT30" s="13">
        <f t="shared" si="328"/>
        <v>15450</v>
      </c>
      <c r="CU30" s="13">
        <f t="shared" si="328"/>
        <v>15900</v>
      </c>
      <c r="CV30" s="13">
        <f t="shared" si="328"/>
        <v>15900</v>
      </c>
      <c r="CW30" s="13">
        <f t="shared" si="328"/>
        <v>15900</v>
      </c>
      <c r="CX30" s="13">
        <f t="shared" si="328"/>
        <v>15900</v>
      </c>
      <c r="CY30" s="13">
        <f t="shared" si="328"/>
        <v>15900</v>
      </c>
      <c r="CZ30" s="13">
        <f t="shared" si="328"/>
        <v>15900</v>
      </c>
      <c r="DA30" s="13">
        <f t="shared" si="328"/>
        <v>15900</v>
      </c>
      <c r="DB30" s="13">
        <f t="shared" si="328"/>
        <v>15900</v>
      </c>
      <c r="DC30" s="13">
        <f t="shared" si="328"/>
        <v>15900</v>
      </c>
      <c r="DD30" s="13">
        <f t="shared" si="328"/>
        <v>15900</v>
      </c>
      <c r="DE30" s="13">
        <f t="shared" si="328"/>
        <v>15900</v>
      </c>
      <c r="DF30" s="13">
        <f t="shared" si="328"/>
        <v>15900</v>
      </c>
      <c r="DG30" s="13">
        <f t="shared" si="328"/>
        <v>16350.000000000002</v>
      </c>
      <c r="DH30" s="13">
        <f t="shared" si="328"/>
        <v>16350.000000000002</v>
      </c>
      <c r="DI30" s="13">
        <f t="shared" si="328"/>
        <v>16350.000000000002</v>
      </c>
      <c r="DJ30" s="13">
        <f t="shared" si="328"/>
        <v>16350.000000000002</v>
      </c>
      <c r="DK30" s="13">
        <f t="shared" si="328"/>
        <v>16350.000000000002</v>
      </c>
      <c r="DL30" s="13">
        <f t="shared" si="328"/>
        <v>16350.000000000002</v>
      </c>
      <c r="DM30" s="13">
        <f t="shared" si="328"/>
        <v>16350.000000000002</v>
      </c>
      <c r="DN30" s="13">
        <f t="shared" si="328"/>
        <v>16350.000000000002</v>
      </c>
      <c r="DO30" s="13">
        <f t="shared" si="328"/>
        <v>16350.000000000002</v>
      </c>
      <c r="DP30" s="13">
        <f t="shared" si="328"/>
        <v>16350.000000000002</v>
      </c>
      <c r="DQ30" s="13">
        <f t="shared" si="328"/>
        <v>16350.000000000002</v>
      </c>
      <c r="DR30" s="13">
        <f t="shared" si="328"/>
        <v>16350.000000000002</v>
      </c>
      <c r="DS30" s="13">
        <f t="shared" si="328"/>
        <v>16800</v>
      </c>
      <c r="DT30" s="13">
        <f t="shared" si="328"/>
        <v>16800</v>
      </c>
      <c r="DU30" s="13">
        <f t="shared" si="328"/>
        <v>16800</v>
      </c>
      <c r="DV30" s="13">
        <f t="shared" si="328"/>
        <v>16800</v>
      </c>
      <c r="DW30" s="13">
        <f t="shared" si="328"/>
        <v>16800</v>
      </c>
      <c r="DX30" s="13">
        <f t="shared" si="328"/>
        <v>16800</v>
      </c>
      <c r="DY30" s="13">
        <f t="shared" si="328"/>
        <v>16800</v>
      </c>
      <c r="DZ30" s="13">
        <f t="shared" si="328"/>
        <v>16800</v>
      </c>
      <c r="EA30" s="13">
        <f t="shared" si="328"/>
        <v>16800</v>
      </c>
      <c r="EB30" s="13">
        <f t="shared" si="328"/>
        <v>16800</v>
      </c>
      <c r="EC30" s="13">
        <f t="shared" si="328"/>
        <v>16800</v>
      </c>
      <c r="ED30" s="13">
        <f t="shared" si="328"/>
        <v>16800</v>
      </c>
      <c r="EE30" s="13">
        <f t="shared" si="328"/>
        <v>17250.000000000004</v>
      </c>
      <c r="EF30" s="13">
        <f t="shared" si="328"/>
        <v>17250.000000000004</v>
      </c>
      <c r="EG30" s="13">
        <f t="shared" si="328"/>
        <v>17250.000000000004</v>
      </c>
      <c r="EH30" s="13">
        <f t="shared" si="328"/>
        <v>17250.000000000004</v>
      </c>
      <c r="EI30" s="13">
        <f t="shared" si="328"/>
        <v>17250.000000000004</v>
      </c>
      <c r="EJ30" s="13">
        <f t="shared" si="328"/>
        <v>17250.000000000004</v>
      </c>
      <c r="EK30" s="13">
        <f t="shared" si="328"/>
        <v>17250.000000000004</v>
      </c>
      <c r="EL30" s="13">
        <f t="shared" si="328"/>
        <v>17250.000000000004</v>
      </c>
      <c r="EM30" s="13">
        <f t="shared" si="328"/>
        <v>17250.000000000004</v>
      </c>
      <c r="EN30" s="13">
        <f t="shared" si="328"/>
        <v>17250.000000000004</v>
      </c>
      <c r="EO30" s="13">
        <f t="shared" si="328"/>
        <v>17250.000000000004</v>
      </c>
      <c r="EP30" s="13">
        <f t="shared" ref="EP30:FZ30" si="332">$B30*EP$9</f>
        <v>17250.000000000004</v>
      </c>
      <c r="EQ30" s="13">
        <f t="shared" si="332"/>
        <v>17700.000000000004</v>
      </c>
      <c r="ER30" s="13">
        <f t="shared" si="332"/>
        <v>17700.000000000004</v>
      </c>
      <c r="ES30" s="13">
        <f t="shared" si="332"/>
        <v>17700.000000000004</v>
      </c>
      <c r="ET30" s="13">
        <f t="shared" si="332"/>
        <v>17700.000000000004</v>
      </c>
      <c r="EU30" s="13">
        <f t="shared" si="332"/>
        <v>17700.000000000004</v>
      </c>
      <c r="EV30" s="13">
        <f t="shared" si="332"/>
        <v>17700.000000000004</v>
      </c>
      <c r="EW30" s="13">
        <f t="shared" si="332"/>
        <v>17700.000000000004</v>
      </c>
      <c r="EX30" s="13">
        <f t="shared" si="332"/>
        <v>17700.000000000004</v>
      </c>
      <c r="EY30" s="13">
        <f t="shared" si="332"/>
        <v>17700.000000000004</v>
      </c>
      <c r="EZ30" s="13">
        <f t="shared" si="332"/>
        <v>17700.000000000004</v>
      </c>
      <c r="FA30" s="13">
        <f t="shared" si="332"/>
        <v>17700.000000000004</v>
      </c>
      <c r="FB30" s="13">
        <f t="shared" si="332"/>
        <v>17700.000000000004</v>
      </c>
      <c r="FC30" s="13">
        <f t="shared" si="332"/>
        <v>18150.000000000004</v>
      </c>
      <c r="FD30" s="13">
        <f t="shared" si="332"/>
        <v>18150.000000000004</v>
      </c>
      <c r="FE30" s="13">
        <f t="shared" si="332"/>
        <v>18150.000000000004</v>
      </c>
      <c r="FF30" s="13">
        <f t="shared" si="332"/>
        <v>18150.000000000004</v>
      </c>
      <c r="FG30" s="13">
        <f t="shared" si="332"/>
        <v>18150.000000000004</v>
      </c>
      <c r="FH30" s="13">
        <f t="shared" si="332"/>
        <v>18150.000000000004</v>
      </c>
      <c r="FI30" s="13">
        <f t="shared" si="332"/>
        <v>18150.000000000004</v>
      </c>
      <c r="FJ30" s="13">
        <f t="shared" si="332"/>
        <v>18150.000000000004</v>
      </c>
      <c r="FK30" s="13">
        <f t="shared" si="332"/>
        <v>18150.000000000004</v>
      </c>
      <c r="FL30" s="13">
        <f t="shared" si="332"/>
        <v>18150.000000000004</v>
      </c>
      <c r="FM30" s="13">
        <f t="shared" si="332"/>
        <v>18150.000000000004</v>
      </c>
      <c r="FN30" s="13">
        <f t="shared" si="332"/>
        <v>18150.000000000004</v>
      </c>
      <c r="FO30" s="13">
        <f t="shared" si="332"/>
        <v>18600.000000000004</v>
      </c>
      <c r="FP30" s="13">
        <f t="shared" si="332"/>
        <v>18600.000000000004</v>
      </c>
      <c r="FQ30" s="13">
        <f t="shared" si="332"/>
        <v>18600.000000000004</v>
      </c>
      <c r="FR30" s="13">
        <f t="shared" si="332"/>
        <v>18600.000000000004</v>
      </c>
      <c r="FS30" s="13">
        <f t="shared" si="332"/>
        <v>18600.000000000004</v>
      </c>
      <c r="FT30" s="13">
        <f t="shared" si="332"/>
        <v>18600.000000000004</v>
      </c>
      <c r="FU30" s="13">
        <f t="shared" si="332"/>
        <v>18600.000000000004</v>
      </c>
      <c r="FV30" s="13">
        <f t="shared" si="332"/>
        <v>18600.000000000004</v>
      </c>
      <c r="FW30" s="13">
        <f t="shared" si="332"/>
        <v>18600.000000000004</v>
      </c>
      <c r="FX30" s="13">
        <f t="shared" si="332"/>
        <v>18600.000000000004</v>
      </c>
      <c r="FY30" s="13">
        <f t="shared" si="332"/>
        <v>18600.000000000004</v>
      </c>
      <c r="FZ30" s="13">
        <f t="shared" si="332"/>
        <v>18600.000000000004</v>
      </c>
      <c r="GA30" s="13">
        <f t="shared" si="330"/>
        <v>19050.000000000004</v>
      </c>
      <c r="GB30" s="13">
        <f t="shared" si="330"/>
        <v>19050.000000000004</v>
      </c>
      <c r="GC30" s="13">
        <f t="shared" si="330"/>
        <v>19050.000000000004</v>
      </c>
      <c r="GD30" s="13">
        <f t="shared" si="330"/>
        <v>19050.000000000004</v>
      </c>
      <c r="GE30" s="13">
        <f t="shared" si="330"/>
        <v>19050.000000000004</v>
      </c>
      <c r="GF30" s="13">
        <f t="shared" si="330"/>
        <v>19050.000000000004</v>
      </c>
      <c r="GG30" s="13">
        <f t="shared" si="330"/>
        <v>19050.000000000004</v>
      </c>
      <c r="GH30" s="13">
        <f t="shared" si="330"/>
        <v>19050.000000000004</v>
      </c>
      <c r="GI30" s="13">
        <f t="shared" si="330"/>
        <v>19050.000000000004</v>
      </c>
      <c r="GJ30" s="13">
        <f t="shared" si="330"/>
        <v>19050.000000000004</v>
      </c>
      <c r="GK30" s="13">
        <f t="shared" si="330"/>
        <v>19050.000000000004</v>
      </c>
      <c r="GL30" s="13">
        <f t="shared" si="330"/>
        <v>19050.000000000004</v>
      </c>
      <c r="GM30" s="13">
        <f t="shared" si="330"/>
        <v>19500.000000000004</v>
      </c>
      <c r="GN30" s="13">
        <f t="shared" si="330"/>
        <v>19500.000000000004</v>
      </c>
      <c r="GO30" s="13">
        <f t="shared" si="330"/>
        <v>19500.000000000004</v>
      </c>
      <c r="GP30" s="13">
        <f t="shared" si="330"/>
        <v>19500.000000000004</v>
      </c>
      <c r="GQ30" s="13">
        <f t="shared" si="330"/>
        <v>19500.000000000004</v>
      </c>
      <c r="GR30" s="13">
        <f t="shared" si="330"/>
        <v>19500.000000000004</v>
      </c>
      <c r="GS30" s="13">
        <f t="shared" si="330"/>
        <v>19500.000000000004</v>
      </c>
      <c r="GT30" s="13">
        <f t="shared" si="330"/>
        <v>19500.000000000004</v>
      </c>
      <c r="GU30" s="13">
        <f t="shared" si="330"/>
        <v>19500.000000000004</v>
      </c>
      <c r="GV30" s="13">
        <f t="shared" si="330"/>
        <v>19500.000000000004</v>
      </c>
      <c r="GW30" s="13">
        <f t="shared" si="330"/>
        <v>19500.000000000004</v>
      </c>
      <c r="GX30" s="13">
        <f t="shared" si="330"/>
        <v>19500.000000000004</v>
      </c>
      <c r="GY30" s="13">
        <f t="shared" si="330"/>
        <v>19950.000000000004</v>
      </c>
      <c r="GZ30" s="13">
        <f t="shared" si="330"/>
        <v>19950.000000000004</v>
      </c>
      <c r="HA30" s="13">
        <f t="shared" si="330"/>
        <v>19950.000000000004</v>
      </c>
      <c r="HB30" s="13">
        <f t="shared" si="330"/>
        <v>19950.000000000004</v>
      </c>
      <c r="HC30" s="13">
        <f t="shared" si="330"/>
        <v>19950.000000000004</v>
      </c>
      <c r="HD30" s="13">
        <f t="shared" si="330"/>
        <v>19950.000000000004</v>
      </c>
      <c r="HE30" s="13">
        <f t="shared" si="330"/>
        <v>19950.000000000004</v>
      </c>
      <c r="HF30" s="13">
        <f t="shared" si="330"/>
        <v>19950.000000000004</v>
      </c>
      <c r="HG30" s="13">
        <f t="shared" si="330"/>
        <v>19950.000000000004</v>
      </c>
      <c r="HH30" s="13">
        <f t="shared" si="330"/>
        <v>19950.000000000004</v>
      </c>
      <c r="HI30" s="13">
        <f t="shared" si="330"/>
        <v>19950.000000000004</v>
      </c>
      <c r="HJ30" s="13">
        <f t="shared" si="330"/>
        <v>19950.000000000004</v>
      </c>
      <c r="HK30" s="13">
        <f t="shared" si="330"/>
        <v>19950.000000000004</v>
      </c>
      <c r="HL30" s="13">
        <f t="shared" si="330"/>
        <v>19950.000000000004</v>
      </c>
      <c r="HM30" s="13">
        <f t="shared" si="330"/>
        <v>19950.000000000004</v>
      </c>
      <c r="HN30" s="13">
        <f t="shared" si="330"/>
        <v>19950.000000000004</v>
      </c>
      <c r="HO30" s="13">
        <f t="shared" si="330"/>
        <v>19950.000000000004</v>
      </c>
      <c r="HP30" s="13">
        <f t="shared" si="330"/>
        <v>19950.000000000004</v>
      </c>
      <c r="HQ30" s="13">
        <f t="shared" si="330"/>
        <v>19950.000000000004</v>
      </c>
      <c r="HR30" s="13">
        <f t="shared" si="330"/>
        <v>19950.000000000004</v>
      </c>
      <c r="HS30" s="13">
        <f t="shared" si="330"/>
        <v>19950.000000000004</v>
      </c>
      <c r="HT30" s="13">
        <f t="shared" si="330"/>
        <v>19950.000000000004</v>
      </c>
      <c r="HU30" s="13">
        <f t="shared" si="330"/>
        <v>19950.000000000004</v>
      </c>
      <c r="HV30" s="13">
        <f t="shared" si="330"/>
        <v>19950.000000000004</v>
      </c>
      <c r="HW30" s="13">
        <f t="shared" si="330"/>
        <v>19950.000000000004</v>
      </c>
      <c r="HX30" s="13">
        <f t="shared" si="330"/>
        <v>19950.000000000004</v>
      </c>
      <c r="HY30" s="13">
        <f t="shared" si="330"/>
        <v>19950.000000000004</v>
      </c>
      <c r="HZ30" s="13">
        <f t="shared" si="330"/>
        <v>19950.000000000004</v>
      </c>
      <c r="IA30" s="13">
        <f t="shared" si="330"/>
        <v>19950.000000000004</v>
      </c>
      <c r="IB30" s="13">
        <f t="shared" si="330"/>
        <v>19950.000000000004</v>
      </c>
      <c r="IC30" s="13">
        <f t="shared" si="330"/>
        <v>19950.000000000004</v>
      </c>
      <c r="ID30" s="13">
        <f t="shared" si="330"/>
        <v>19950.000000000004</v>
      </c>
      <c r="IE30" s="13">
        <f t="shared" si="330"/>
        <v>19950.000000000004</v>
      </c>
      <c r="IF30" s="13">
        <f t="shared" si="330"/>
        <v>19950.000000000004</v>
      </c>
      <c r="IG30" s="13">
        <f t="shared" si="330"/>
        <v>19950.000000000004</v>
      </c>
      <c r="IH30" s="13">
        <f t="shared" si="330"/>
        <v>19950.000000000004</v>
      </c>
      <c r="II30" s="69">
        <f t="shared" si="314"/>
        <v>3622950</v>
      </c>
    </row>
    <row r="31" spans="1:243" x14ac:dyDescent="0.45">
      <c r="A31" s="16" t="s">
        <v>228</v>
      </c>
      <c r="B31" s="18">
        <v>150000</v>
      </c>
      <c r="C31" s="13">
        <f t="shared" si="320"/>
        <v>37500</v>
      </c>
      <c r="D31" s="13">
        <f t="shared" si="331"/>
        <v>37500</v>
      </c>
      <c r="E31" s="13">
        <f t="shared" si="331"/>
        <v>37500</v>
      </c>
      <c r="F31" s="13">
        <f t="shared" si="331"/>
        <v>37500</v>
      </c>
      <c r="G31" s="13">
        <f t="shared" si="331"/>
        <v>37500</v>
      </c>
      <c r="H31" s="13">
        <f t="shared" si="331"/>
        <v>37500</v>
      </c>
      <c r="I31" s="13">
        <f t="shared" si="331"/>
        <v>37500</v>
      </c>
      <c r="J31" s="13">
        <f t="shared" si="331"/>
        <v>37500</v>
      </c>
      <c r="K31" s="13">
        <f t="shared" si="331"/>
        <v>37500</v>
      </c>
      <c r="L31" s="13">
        <f t="shared" si="331"/>
        <v>37500</v>
      </c>
      <c r="M31" s="13">
        <f t="shared" si="331"/>
        <v>37500</v>
      </c>
      <c r="N31" s="13">
        <f t="shared" si="331"/>
        <v>37500</v>
      </c>
      <c r="O31" s="13">
        <f t="shared" si="331"/>
        <v>37500</v>
      </c>
      <c r="P31" s="13">
        <f t="shared" si="331"/>
        <v>37500</v>
      </c>
      <c r="Q31" s="13">
        <f t="shared" si="331"/>
        <v>37500</v>
      </c>
      <c r="R31" s="13">
        <f t="shared" si="331"/>
        <v>37500</v>
      </c>
      <c r="S31" s="13">
        <f t="shared" si="331"/>
        <v>37500</v>
      </c>
      <c r="T31" s="13">
        <f t="shared" si="331"/>
        <v>37500</v>
      </c>
      <c r="U31" s="13">
        <f t="shared" si="331"/>
        <v>37500</v>
      </c>
      <c r="V31" s="13">
        <f t="shared" si="331"/>
        <v>37500</v>
      </c>
      <c r="W31" s="13">
        <f t="shared" si="331"/>
        <v>37500</v>
      </c>
      <c r="X31" s="13">
        <f t="shared" si="331"/>
        <v>37500</v>
      </c>
      <c r="Y31" s="13">
        <f t="shared" si="331"/>
        <v>37500</v>
      </c>
      <c r="Z31" s="13">
        <f t="shared" si="331"/>
        <v>37500</v>
      </c>
      <c r="AA31" s="13">
        <f t="shared" si="331"/>
        <v>112500</v>
      </c>
      <c r="AB31" s="13">
        <f t="shared" si="331"/>
        <v>112500</v>
      </c>
      <c r="AC31" s="13">
        <f t="shared" si="331"/>
        <v>112500</v>
      </c>
      <c r="AD31" s="13">
        <f t="shared" si="331"/>
        <v>112500</v>
      </c>
      <c r="AE31" s="13">
        <f t="shared" si="331"/>
        <v>112500</v>
      </c>
      <c r="AF31" s="13">
        <f t="shared" si="331"/>
        <v>112500</v>
      </c>
      <c r="AG31" s="13">
        <f t="shared" si="331"/>
        <v>112500</v>
      </c>
      <c r="AH31" s="13">
        <f t="shared" si="331"/>
        <v>112500</v>
      </c>
      <c r="AI31" s="13">
        <f t="shared" si="331"/>
        <v>112500</v>
      </c>
      <c r="AJ31" s="13">
        <f t="shared" si="331"/>
        <v>112500</v>
      </c>
      <c r="AK31" s="13">
        <f t="shared" si="331"/>
        <v>112500</v>
      </c>
      <c r="AL31" s="13">
        <f t="shared" si="331"/>
        <v>112500</v>
      </c>
      <c r="AM31" s="13">
        <f t="shared" si="331"/>
        <v>112500</v>
      </c>
      <c r="AN31" s="13">
        <f t="shared" si="331"/>
        <v>112500</v>
      </c>
      <c r="AO31" s="13">
        <f t="shared" si="331"/>
        <v>112500</v>
      </c>
      <c r="AP31" s="13">
        <f t="shared" si="331"/>
        <v>112500</v>
      </c>
      <c r="AQ31" s="13">
        <f t="shared" si="331"/>
        <v>112500</v>
      </c>
      <c r="AR31" s="13">
        <f t="shared" si="331"/>
        <v>112500</v>
      </c>
      <c r="AS31" s="13">
        <f t="shared" si="331"/>
        <v>112500</v>
      </c>
      <c r="AT31" s="13">
        <f t="shared" si="331"/>
        <v>112500</v>
      </c>
      <c r="AU31" s="13">
        <f t="shared" si="331"/>
        <v>112500</v>
      </c>
      <c r="AV31" s="13">
        <f t="shared" si="331"/>
        <v>112500</v>
      </c>
      <c r="AW31" s="13">
        <f t="shared" si="331"/>
        <v>112500</v>
      </c>
      <c r="AX31" s="13">
        <f t="shared" si="331"/>
        <v>112500</v>
      </c>
      <c r="AY31" s="13">
        <f t="shared" si="331"/>
        <v>112500</v>
      </c>
      <c r="AZ31" s="13">
        <f t="shared" si="331"/>
        <v>112500</v>
      </c>
      <c r="BA31" s="13">
        <f t="shared" si="331"/>
        <v>112500</v>
      </c>
      <c r="BB31" s="13">
        <f t="shared" si="331"/>
        <v>112500</v>
      </c>
      <c r="BC31" s="13">
        <f t="shared" si="331"/>
        <v>112500</v>
      </c>
      <c r="BD31" s="13">
        <f t="shared" si="331"/>
        <v>112500</v>
      </c>
      <c r="BE31" s="13">
        <f t="shared" si="331"/>
        <v>112500</v>
      </c>
      <c r="BF31" s="13">
        <f t="shared" si="331"/>
        <v>112500</v>
      </c>
      <c r="BG31" s="13">
        <f t="shared" si="331"/>
        <v>112500</v>
      </c>
      <c r="BH31" s="13">
        <f t="shared" si="331"/>
        <v>112500</v>
      </c>
      <c r="BI31" s="13">
        <f t="shared" si="331"/>
        <v>112500</v>
      </c>
      <c r="BJ31" s="13">
        <f t="shared" si="331"/>
        <v>112500</v>
      </c>
      <c r="BK31" s="13">
        <f t="shared" si="331"/>
        <v>112500</v>
      </c>
      <c r="BL31" s="13">
        <f t="shared" si="331"/>
        <v>112500</v>
      </c>
      <c r="BM31" s="13">
        <f t="shared" si="331"/>
        <v>112500</v>
      </c>
      <c r="BN31" s="13">
        <f t="shared" si="331"/>
        <v>112500</v>
      </c>
      <c r="BO31" s="13">
        <f t="shared" ref="BO31:DZ34" si="333">$B31*BO$9</f>
        <v>112500</v>
      </c>
      <c r="BP31" s="13">
        <f t="shared" si="333"/>
        <v>112500</v>
      </c>
      <c r="BQ31" s="13">
        <f t="shared" si="333"/>
        <v>112500</v>
      </c>
      <c r="BR31" s="13">
        <f t="shared" si="333"/>
        <v>112500</v>
      </c>
      <c r="BS31" s="13">
        <f t="shared" si="333"/>
        <v>112500</v>
      </c>
      <c r="BT31" s="13">
        <f t="shared" si="333"/>
        <v>112500</v>
      </c>
      <c r="BU31" s="13">
        <f t="shared" si="333"/>
        <v>112500</v>
      </c>
      <c r="BV31" s="13">
        <f t="shared" si="333"/>
        <v>112500</v>
      </c>
      <c r="BW31" s="13">
        <f t="shared" si="333"/>
        <v>150000</v>
      </c>
      <c r="BX31" s="13">
        <f t="shared" si="333"/>
        <v>150000</v>
      </c>
      <c r="BY31" s="13">
        <f t="shared" si="333"/>
        <v>150000</v>
      </c>
      <c r="BZ31" s="13">
        <f t="shared" si="333"/>
        <v>150000</v>
      </c>
      <c r="CA31" s="13">
        <f t="shared" si="333"/>
        <v>150000</v>
      </c>
      <c r="CB31" s="13">
        <f t="shared" si="333"/>
        <v>150000</v>
      </c>
      <c r="CC31" s="13">
        <f t="shared" si="333"/>
        <v>150000</v>
      </c>
      <c r="CD31" s="13">
        <f t="shared" si="333"/>
        <v>150000</v>
      </c>
      <c r="CE31" s="13">
        <f t="shared" si="333"/>
        <v>150000</v>
      </c>
      <c r="CF31" s="13">
        <f t="shared" si="333"/>
        <v>150000</v>
      </c>
      <c r="CG31" s="13">
        <f t="shared" si="333"/>
        <v>150000</v>
      </c>
      <c r="CH31" s="13">
        <f t="shared" si="333"/>
        <v>150000</v>
      </c>
      <c r="CI31" s="13">
        <f t="shared" si="333"/>
        <v>150000</v>
      </c>
      <c r="CJ31" s="13">
        <f t="shared" si="333"/>
        <v>150000</v>
      </c>
      <c r="CK31" s="13">
        <f t="shared" si="333"/>
        <v>150000</v>
      </c>
      <c r="CL31" s="13">
        <f t="shared" si="333"/>
        <v>150000</v>
      </c>
      <c r="CM31" s="13">
        <f t="shared" si="333"/>
        <v>150000</v>
      </c>
      <c r="CN31" s="13">
        <f t="shared" si="333"/>
        <v>154500</v>
      </c>
      <c r="CO31" s="13">
        <f t="shared" si="333"/>
        <v>154500</v>
      </c>
      <c r="CP31" s="13">
        <f t="shared" si="333"/>
        <v>154500</v>
      </c>
      <c r="CQ31" s="13">
        <f t="shared" si="333"/>
        <v>154500</v>
      </c>
      <c r="CR31" s="13">
        <f t="shared" si="333"/>
        <v>154500</v>
      </c>
      <c r="CS31" s="13">
        <f t="shared" si="333"/>
        <v>154500</v>
      </c>
      <c r="CT31" s="13">
        <f t="shared" si="333"/>
        <v>154500</v>
      </c>
      <c r="CU31" s="13">
        <f t="shared" si="333"/>
        <v>159000</v>
      </c>
      <c r="CV31" s="13">
        <f t="shared" si="333"/>
        <v>159000</v>
      </c>
      <c r="CW31" s="13">
        <f t="shared" si="333"/>
        <v>159000</v>
      </c>
      <c r="CX31" s="13">
        <f t="shared" si="333"/>
        <v>159000</v>
      </c>
      <c r="CY31" s="13">
        <f t="shared" si="333"/>
        <v>159000</v>
      </c>
      <c r="CZ31" s="13">
        <f t="shared" si="333"/>
        <v>159000</v>
      </c>
      <c r="DA31" s="13">
        <f t="shared" si="333"/>
        <v>159000</v>
      </c>
      <c r="DB31" s="13">
        <f t="shared" si="333"/>
        <v>159000</v>
      </c>
      <c r="DC31" s="13">
        <f t="shared" si="333"/>
        <v>159000</v>
      </c>
      <c r="DD31" s="13">
        <f t="shared" si="333"/>
        <v>159000</v>
      </c>
      <c r="DE31" s="13">
        <f t="shared" si="333"/>
        <v>159000</v>
      </c>
      <c r="DF31" s="13">
        <f t="shared" si="333"/>
        <v>159000</v>
      </c>
      <c r="DG31" s="13">
        <f t="shared" si="333"/>
        <v>163500</v>
      </c>
      <c r="DH31" s="13">
        <f t="shared" si="333"/>
        <v>163500</v>
      </c>
      <c r="DI31" s="13">
        <f t="shared" si="333"/>
        <v>163500</v>
      </c>
      <c r="DJ31" s="13">
        <f t="shared" si="333"/>
        <v>163500</v>
      </c>
      <c r="DK31" s="13">
        <f t="shared" si="333"/>
        <v>163500</v>
      </c>
      <c r="DL31" s="13">
        <f t="shared" si="333"/>
        <v>163500</v>
      </c>
      <c r="DM31" s="13">
        <f t="shared" si="333"/>
        <v>163500</v>
      </c>
      <c r="DN31" s="13">
        <f t="shared" si="333"/>
        <v>163500</v>
      </c>
      <c r="DO31" s="13">
        <f t="shared" si="333"/>
        <v>163500</v>
      </c>
      <c r="DP31" s="13">
        <f t="shared" si="333"/>
        <v>163500</v>
      </c>
      <c r="DQ31" s="13">
        <f t="shared" si="333"/>
        <v>163500</v>
      </c>
      <c r="DR31" s="13">
        <f t="shared" si="333"/>
        <v>163500</v>
      </c>
      <c r="DS31" s="13">
        <f t="shared" si="333"/>
        <v>168000.00000000003</v>
      </c>
      <c r="DT31" s="13">
        <f t="shared" si="333"/>
        <v>168000.00000000003</v>
      </c>
      <c r="DU31" s="13">
        <f t="shared" si="333"/>
        <v>168000.00000000003</v>
      </c>
      <c r="DV31" s="13">
        <f t="shared" si="333"/>
        <v>168000.00000000003</v>
      </c>
      <c r="DW31" s="13">
        <f t="shared" si="333"/>
        <v>168000.00000000003</v>
      </c>
      <c r="DX31" s="13">
        <f t="shared" si="333"/>
        <v>168000.00000000003</v>
      </c>
      <c r="DY31" s="13">
        <f t="shared" si="333"/>
        <v>168000.00000000003</v>
      </c>
      <c r="DZ31" s="13">
        <f t="shared" si="333"/>
        <v>168000.00000000003</v>
      </c>
      <c r="EA31" s="13">
        <f t="shared" ref="EA31:FZ35" si="334">$B31*EA$9</f>
        <v>168000.00000000003</v>
      </c>
      <c r="EB31" s="13">
        <f t="shared" si="334"/>
        <v>168000.00000000003</v>
      </c>
      <c r="EC31" s="13">
        <f t="shared" si="334"/>
        <v>168000.00000000003</v>
      </c>
      <c r="ED31" s="13">
        <f t="shared" si="334"/>
        <v>168000.00000000003</v>
      </c>
      <c r="EE31" s="13">
        <f t="shared" si="334"/>
        <v>172500.00000000003</v>
      </c>
      <c r="EF31" s="13">
        <f t="shared" si="334"/>
        <v>172500.00000000003</v>
      </c>
      <c r="EG31" s="13">
        <f t="shared" si="334"/>
        <v>172500.00000000003</v>
      </c>
      <c r="EH31" s="13">
        <f t="shared" si="334"/>
        <v>172500.00000000003</v>
      </c>
      <c r="EI31" s="13">
        <f t="shared" si="334"/>
        <v>172500.00000000003</v>
      </c>
      <c r="EJ31" s="13">
        <f t="shared" si="334"/>
        <v>172500.00000000003</v>
      </c>
      <c r="EK31" s="13">
        <f t="shared" si="334"/>
        <v>172500.00000000003</v>
      </c>
      <c r="EL31" s="13">
        <f t="shared" si="334"/>
        <v>172500.00000000003</v>
      </c>
      <c r="EM31" s="13">
        <f t="shared" si="334"/>
        <v>172500.00000000003</v>
      </c>
      <c r="EN31" s="13">
        <f t="shared" si="334"/>
        <v>172500.00000000003</v>
      </c>
      <c r="EO31" s="13">
        <f t="shared" si="334"/>
        <v>172500.00000000003</v>
      </c>
      <c r="EP31" s="13">
        <f t="shared" si="334"/>
        <v>172500.00000000003</v>
      </c>
      <c r="EQ31" s="13">
        <f t="shared" si="334"/>
        <v>177000.00000000003</v>
      </c>
      <c r="ER31" s="13">
        <f t="shared" si="334"/>
        <v>177000.00000000003</v>
      </c>
      <c r="ES31" s="13">
        <f t="shared" si="334"/>
        <v>177000.00000000003</v>
      </c>
      <c r="ET31" s="13">
        <f t="shared" si="334"/>
        <v>177000.00000000003</v>
      </c>
      <c r="EU31" s="13">
        <f t="shared" si="334"/>
        <v>177000.00000000003</v>
      </c>
      <c r="EV31" s="13">
        <f t="shared" si="334"/>
        <v>177000.00000000003</v>
      </c>
      <c r="EW31" s="13">
        <f t="shared" si="334"/>
        <v>177000.00000000003</v>
      </c>
      <c r="EX31" s="13">
        <f t="shared" si="334"/>
        <v>177000.00000000003</v>
      </c>
      <c r="EY31" s="13">
        <f t="shared" si="334"/>
        <v>177000.00000000003</v>
      </c>
      <c r="EZ31" s="13">
        <f t="shared" si="334"/>
        <v>177000.00000000003</v>
      </c>
      <c r="FA31" s="13">
        <f t="shared" si="334"/>
        <v>177000.00000000003</v>
      </c>
      <c r="FB31" s="13">
        <f t="shared" si="334"/>
        <v>177000.00000000003</v>
      </c>
      <c r="FC31" s="13">
        <f t="shared" si="334"/>
        <v>181500.00000000003</v>
      </c>
      <c r="FD31" s="13">
        <f t="shared" si="334"/>
        <v>181500.00000000003</v>
      </c>
      <c r="FE31" s="13">
        <f t="shared" si="334"/>
        <v>181500.00000000003</v>
      </c>
      <c r="FF31" s="13">
        <f t="shared" si="334"/>
        <v>181500.00000000003</v>
      </c>
      <c r="FG31" s="13">
        <f t="shared" si="334"/>
        <v>181500.00000000003</v>
      </c>
      <c r="FH31" s="13">
        <f t="shared" si="334"/>
        <v>181500.00000000003</v>
      </c>
      <c r="FI31" s="13">
        <f t="shared" si="334"/>
        <v>181500.00000000003</v>
      </c>
      <c r="FJ31" s="13">
        <f t="shared" si="334"/>
        <v>181500.00000000003</v>
      </c>
      <c r="FK31" s="13">
        <f t="shared" si="334"/>
        <v>181500.00000000003</v>
      </c>
      <c r="FL31" s="13">
        <f t="shared" si="334"/>
        <v>181500.00000000003</v>
      </c>
      <c r="FM31" s="13">
        <f t="shared" si="334"/>
        <v>181500.00000000003</v>
      </c>
      <c r="FN31" s="13">
        <f t="shared" si="334"/>
        <v>181500.00000000003</v>
      </c>
      <c r="FO31" s="13">
        <f t="shared" si="334"/>
        <v>186000.00000000003</v>
      </c>
      <c r="FP31" s="13">
        <f t="shared" si="334"/>
        <v>186000.00000000003</v>
      </c>
      <c r="FQ31" s="13">
        <f t="shared" si="334"/>
        <v>186000.00000000003</v>
      </c>
      <c r="FR31" s="13">
        <f t="shared" si="334"/>
        <v>186000.00000000003</v>
      </c>
      <c r="FS31" s="13">
        <f t="shared" si="334"/>
        <v>186000.00000000003</v>
      </c>
      <c r="FT31" s="13">
        <f t="shared" si="334"/>
        <v>186000.00000000003</v>
      </c>
      <c r="FU31" s="13">
        <f t="shared" si="334"/>
        <v>186000.00000000003</v>
      </c>
      <c r="FV31" s="13">
        <f t="shared" si="334"/>
        <v>186000.00000000003</v>
      </c>
      <c r="FW31" s="13">
        <f t="shared" si="334"/>
        <v>186000.00000000003</v>
      </c>
      <c r="FX31" s="13">
        <f t="shared" si="334"/>
        <v>186000.00000000003</v>
      </c>
      <c r="FY31" s="13">
        <f t="shared" si="334"/>
        <v>186000.00000000003</v>
      </c>
      <c r="FZ31" s="13">
        <f t="shared" si="334"/>
        <v>186000.00000000003</v>
      </c>
      <c r="GA31" s="13">
        <f t="shared" ref="GA31:IH34" si="335">$B31*GA$9</f>
        <v>190500.00000000003</v>
      </c>
      <c r="GB31" s="13">
        <f t="shared" si="335"/>
        <v>190500.00000000003</v>
      </c>
      <c r="GC31" s="13">
        <f t="shared" si="335"/>
        <v>190500.00000000003</v>
      </c>
      <c r="GD31" s="13">
        <f t="shared" si="335"/>
        <v>190500.00000000003</v>
      </c>
      <c r="GE31" s="13">
        <f t="shared" si="335"/>
        <v>190500.00000000003</v>
      </c>
      <c r="GF31" s="13">
        <f t="shared" si="335"/>
        <v>190500.00000000003</v>
      </c>
      <c r="GG31" s="13">
        <f t="shared" si="335"/>
        <v>190500.00000000003</v>
      </c>
      <c r="GH31" s="13">
        <f t="shared" si="335"/>
        <v>190500.00000000003</v>
      </c>
      <c r="GI31" s="13">
        <f t="shared" si="335"/>
        <v>190500.00000000003</v>
      </c>
      <c r="GJ31" s="13">
        <f t="shared" si="335"/>
        <v>190500.00000000003</v>
      </c>
      <c r="GK31" s="13">
        <f t="shared" si="335"/>
        <v>190500.00000000003</v>
      </c>
      <c r="GL31" s="13">
        <f t="shared" si="335"/>
        <v>190500.00000000003</v>
      </c>
      <c r="GM31" s="13">
        <f t="shared" si="335"/>
        <v>195000.00000000003</v>
      </c>
      <c r="GN31" s="13">
        <f t="shared" si="335"/>
        <v>195000.00000000003</v>
      </c>
      <c r="GO31" s="13">
        <f t="shared" si="335"/>
        <v>195000.00000000003</v>
      </c>
      <c r="GP31" s="13">
        <f t="shared" si="335"/>
        <v>195000.00000000003</v>
      </c>
      <c r="GQ31" s="13">
        <f t="shared" si="335"/>
        <v>195000.00000000003</v>
      </c>
      <c r="GR31" s="13">
        <f t="shared" si="335"/>
        <v>195000.00000000003</v>
      </c>
      <c r="GS31" s="13">
        <f t="shared" si="335"/>
        <v>195000.00000000003</v>
      </c>
      <c r="GT31" s="13">
        <f t="shared" si="335"/>
        <v>195000.00000000003</v>
      </c>
      <c r="GU31" s="13">
        <f t="shared" si="335"/>
        <v>195000.00000000003</v>
      </c>
      <c r="GV31" s="13">
        <f t="shared" si="335"/>
        <v>195000.00000000003</v>
      </c>
      <c r="GW31" s="13">
        <f t="shared" si="335"/>
        <v>195000.00000000003</v>
      </c>
      <c r="GX31" s="13">
        <f t="shared" si="335"/>
        <v>195000.00000000003</v>
      </c>
      <c r="GY31" s="13">
        <f t="shared" si="335"/>
        <v>199500.00000000006</v>
      </c>
      <c r="GZ31" s="13">
        <f t="shared" si="335"/>
        <v>199500.00000000006</v>
      </c>
      <c r="HA31" s="13">
        <f t="shared" si="335"/>
        <v>199500.00000000006</v>
      </c>
      <c r="HB31" s="13">
        <f t="shared" si="335"/>
        <v>199500.00000000006</v>
      </c>
      <c r="HC31" s="13">
        <f t="shared" si="335"/>
        <v>199500.00000000006</v>
      </c>
      <c r="HD31" s="13">
        <f t="shared" si="335"/>
        <v>199500.00000000006</v>
      </c>
      <c r="HE31" s="13">
        <f t="shared" si="335"/>
        <v>199500.00000000006</v>
      </c>
      <c r="HF31" s="13">
        <f t="shared" si="335"/>
        <v>199500.00000000006</v>
      </c>
      <c r="HG31" s="13">
        <f t="shared" si="335"/>
        <v>199500.00000000006</v>
      </c>
      <c r="HH31" s="13">
        <f t="shared" si="335"/>
        <v>199500.00000000006</v>
      </c>
      <c r="HI31" s="13">
        <f t="shared" si="335"/>
        <v>199500.00000000006</v>
      </c>
      <c r="HJ31" s="13">
        <f t="shared" si="335"/>
        <v>199500.00000000006</v>
      </c>
      <c r="HK31" s="13">
        <f t="shared" si="335"/>
        <v>199500.00000000006</v>
      </c>
      <c r="HL31" s="13">
        <f t="shared" si="335"/>
        <v>199500.00000000006</v>
      </c>
      <c r="HM31" s="13">
        <f t="shared" si="335"/>
        <v>199500.00000000006</v>
      </c>
      <c r="HN31" s="13">
        <f t="shared" si="335"/>
        <v>199500.00000000006</v>
      </c>
      <c r="HO31" s="13">
        <f t="shared" si="335"/>
        <v>199500.00000000006</v>
      </c>
      <c r="HP31" s="13">
        <f t="shared" si="335"/>
        <v>199500.00000000006</v>
      </c>
      <c r="HQ31" s="13">
        <f t="shared" si="335"/>
        <v>199500.00000000006</v>
      </c>
      <c r="HR31" s="13">
        <f t="shared" si="335"/>
        <v>199500.00000000006</v>
      </c>
      <c r="HS31" s="13">
        <f t="shared" si="335"/>
        <v>199500.00000000006</v>
      </c>
      <c r="HT31" s="13">
        <f t="shared" si="335"/>
        <v>199500.00000000006</v>
      </c>
      <c r="HU31" s="13">
        <f t="shared" si="335"/>
        <v>199500.00000000006</v>
      </c>
      <c r="HV31" s="13">
        <f t="shared" si="335"/>
        <v>199500.00000000006</v>
      </c>
      <c r="HW31" s="13">
        <f t="shared" si="335"/>
        <v>199500.00000000006</v>
      </c>
      <c r="HX31" s="13">
        <f t="shared" si="335"/>
        <v>199500.00000000006</v>
      </c>
      <c r="HY31" s="13">
        <f t="shared" si="335"/>
        <v>199500.00000000006</v>
      </c>
      <c r="HZ31" s="13">
        <f t="shared" si="335"/>
        <v>199500.00000000006</v>
      </c>
      <c r="IA31" s="13">
        <f t="shared" si="335"/>
        <v>199500.00000000006</v>
      </c>
      <c r="IB31" s="13">
        <f t="shared" si="335"/>
        <v>199500.00000000006</v>
      </c>
      <c r="IC31" s="13">
        <f t="shared" si="335"/>
        <v>199500.00000000006</v>
      </c>
      <c r="ID31" s="13">
        <f t="shared" si="335"/>
        <v>199500.00000000006</v>
      </c>
      <c r="IE31" s="13">
        <f t="shared" si="335"/>
        <v>199500.00000000006</v>
      </c>
      <c r="IF31" s="13">
        <f t="shared" si="335"/>
        <v>199500.00000000006</v>
      </c>
      <c r="IG31" s="13">
        <f t="shared" si="335"/>
        <v>199500.00000000006</v>
      </c>
      <c r="IH31" s="13">
        <f t="shared" si="335"/>
        <v>199500.00000000006</v>
      </c>
      <c r="II31" s="69">
        <f t="shared" si="314"/>
        <v>36229500</v>
      </c>
    </row>
    <row r="32" spans="1:243" x14ac:dyDescent="0.45">
      <c r="A32" s="16" t="s">
        <v>231</v>
      </c>
      <c r="B32" s="44">
        <f>(CST_ROADS_SQM+CST_PARKING_SQM+CST_MOSQUE_SQM)*0.5</f>
        <v>25675.499999999971</v>
      </c>
      <c r="C32" s="13">
        <f t="shared" si="320"/>
        <v>6418.8749999999927</v>
      </c>
      <c r="D32" s="13">
        <f t="shared" ref="D32:BO35" si="336">$B32*D$9</f>
        <v>6418.8749999999927</v>
      </c>
      <c r="E32" s="13">
        <f t="shared" si="336"/>
        <v>6418.8749999999927</v>
      </c>
      <c r="F32" s="13">
        <f t="shared" si="336"/>
        <v>6418.8749999999927</v>
      </c>
      <c r="G32" s="13">
        <f t="shared" si="336"/>
        <v>6418.8749999999927</v>
      </c>
      <c r="H32" s="13">
        <f t="shared" si="336"/>
        <v>6418.8749999999927</v>
      </c>
      <c r="I32" s="13">
        <f t="shared" si="336"/>
        <v>6418.8749999999927</v>
      </c>
      <c r="J32" s="13">
        <f t="shared" si="336"/>
        <v>6418.8749999999927</v>
      </c>
      <c r="K32" s="13">
        <f t="shared" si="336"/>
        <v>6418.8749999999927</v>
      </c>
      <c r="L32" s="13">
        <f t="shared" si="336"/>
        <v>6418.8749999999927</v>
      </c>
      <c r="M32" s="13">
        <f t="shared" si="336"/>
        <v>6418.8749999999927</v>
      </c>
      <c r="N32" s="13">
        <f t="shared" si="336"/>
        <v>6418.8749999999927</v>
      </c>
      <c r="O32" s="13">
        <f t="shared" si="336"/>
        <v>6418.8749999999927</v>
      </c>
      <c r="P32" s="13">
        <f t="shared" si="336"/>
        <v>6418.8749999999927</v>
      </c>
      <c r="Q32" s="13">
        <f t="shared" si="336"/>
        <v>6418.8749999999927</v>
      </c>
      <c r="R32" s="13">
        <f t="shared" si="336"/>
        <v>6418.8749999999927</v>
      </c>
      <c r="S32" s="13">
        <f t="shared" si="336"/>
        <v>6418.8749999999927</v>
      </c>
      <c r="T32" s="13">
        <f t="shared" si="336"/>
        <v>6418.8749999999927</v>
      </c>
      <c r="U32" s="13">
        <f t="shared" si="336"/>
        <v>6418.8749999999927</v>
      </c>
      <c r="V32" s="13">
        <f t="shared" si="336"/>
        <v>6418.8749999999927</v>
      </c>
      <c r="W32" s="13">
        <f t="shared" si="336"/>
        <v>6418.8749999999927</v>
      </c>
      <c r="X32" s="13">
        <f t="shared" si="336"/>
        <v>6418.8749999999927</v>
      </c>
      <c r="Y32" s="13">
        <f t="shared" si="336"/>
        <v>6418.8749999999927</v>
      </c>
      <c r="Z32" s="13">
        <f t="shared" si="336"/>
        <v>6418.8749999999927</v>
      </c>
      <c r="AA32" s="13">
        <f t="shared" si="336"/>
        <v>19256.624999999978</v>
      </c>
      <c r="AB32" s="13">
        <f t="shared" si="336"/>
        <v>19256.624999999978</v>
      </c>
      <c r="AC32" s="13">
        <f t="shared" si="336"/>
        <v>19256.624999999978</v>
      </c>
      <c r="AD32" s="13">
        <f t="shared" si="336"/>
        <v>19256.624999999978</v>
      </c>
      <c r="AE32" s="13">
        <f t="shared" si="336"/>
        <v>19256.624999999978</v>
      </c>
      <c r="AF32" s="13">
        <f t="shared" si="336"/>
        <v>19256.624999999978</v>
      </c>
      <c r="AG32" s="13">
        <f t="shared" si="336"/>
        <v>19256.624999999978</v>
      </c>
      <c r="AH32" s="13">
        <f t="shared" si="336"/>
        <v>19256.624999999978</v>
      </c>
      <c r="AI32" s="13">
        <f t="shared" si="336"/>
        <v>19256.624999999978</v>
      </c>
      <c r="AJ32" s="13">
        <f t="shared" si="336"/>
        <v>19256.624999999978</v>
      </c>
      <c r="AK32" s="13">
        <f t="shared" si="336"/>
        <v>19256.624999999978</v>
      </c>
      <c r="AL32" s="13">
        <f t="shared" si="336"/>
        <v>19256.624999999978</v>
      </c>
      <c r="AM32" s="13">
        <f t="shared" si="336"/>
        <v>19256.624999999978</v>
      </c>
      <c r="AN32" s="13">
        <f t="shared" si="336"/>
        <v>19256.624999999978</v>
      </c>
      <c r="AO32" s="13">
        <f t="shared" si="336"/>
        <v>19256.624999999978</v>
      </c>
      <c r="AP32" s="13">
        <f t="shared" si="336"/>
        <v>19256.624999999978</v>
      </c>
      <c r="AQ32" s="13">
        <f t="shared" si="336"/>
        <v>19256.624999999978</v>
      </c>
      <c r="AR32" s="13">
        <f t="shared" si="336"/>
        <v>19256.624999999978</v>
      </c>
      <c r="AS32" s="13">
        <f t="shared" si="336"/>
        <v>19256.624999999978</v>
      </c>
      <c r="AT32" s="13">
        <f t="shared" si="336"/>
        <v>19256.624999999978</v>
      </c>
      <c r="AU32" s="13">
        <f t="shared" si="336"/>
        <v>19256.624999999978</v>
      </c>
      <c r="AV32" s="13">
        <f t="shared" si="336"/>
        <v>19256.624999999978</v>
      </c>
      <c r="AW32" s="13">
        <f t="shared" si="336"/>
        <v>19256.624999999978</v>
      </c>
      <c r="AX32" s="13">
        <f t="shared" si="336"/>
        <v>19256.624999999978</v>
      </c>
      <c r="AY32" s="13">
        <f t="shared" si="336"/>
        <v>19256.624999999978</v>
      </c>
      <c r="AZ32" s="13">
        <f t="shared" si="336"/>
        <v>19256.624999999978</v>
      </c>
      <c r="BA32" s="13">
        <f t="shared" si="336"/>
        <v>19256.624999999978</v>
      </c>
      <c r="BB32" s="13">
        <f t="shared" si="336"/>
        <v>19256.624999999978</v>
      </c>
      <c r="BC32" s="13">
        <f t="shared" si="336"/>
        <v>19256.624999999978</v>
      </c>
      <c r="BD32" s="13">
        <f t="shared" si="336"/>
        <v>19256.624999999978</v>
      </c>
      <c r="BE32" s="13">
        <f t="shared" si="336"/>
        <v>19256.624999999978</v>
      </c>
      <c r="BF32" s="13">
        <f t="shared" si="336"/>
        <v>19256.624999999978</v>
      </c>
      <c r="BG32" s="13">
        <f t="shared" si="336"/>
        <v>19256.624999999978</v>
      </c>
      <c r="BH32" s="13">
        <f t="shared" si="336"/>
        <v>19256.624999999978</v>
      </c>
      <c r="BI32" s="13">
        <f t="shared" si="336"/>
        <v>19256.624999999978</v>
      </c>
      <c r="BJ32" s="13">
        <f t="shared" si="336"/>
        <v>19256.624999999978</v>
      </c>
      <c r="BK32" s="13">
        <f t="shared" si="336"/>
        <v>19256.624999999978</v>
      </c>
      <c r="BL32" s="13">
        <f t="shared" si="336"/>
        <v>19256.624999999978</v>
      </c>
      <c r="BM32" s="13">
        <f t="shared" si="336"/>
        <v>19256.624999999978</v>
      </c>
      <c r="BN32" s="13">
        <f t="shared" si="336"/>
        <v>19256.624999999978</v>
      </c>
      <c r="BO32" s="13">
        <f t="shared" si="336"/>
        <v>19256.624999999978</v>
      </c>
      <c r="BP32" s="13">
        <f t="shared" si="333"/>
        <v>19256.624999999978</v>
      </c>
      <c r="BQ32" s="13">
        <f t="shared" si="333"/>
        <v>19256.624999999978</v>
      </c>
      <c r="BR32" s="13">
        <f t="shared" si="333"/>
        <v>19256.624999999978</v>
      </c>
      <c r="BS32" s="13">
        <f t="shared" si="333"/>
        <v>19256.624999999978</v>
      </c>
      <c r="BT32" s="13">
        <f t="shared" si="333"/>
        <v>19256.624999999978</v>
      </c>
      <c r="BU32" s="13">
        <f t="shared" si="333"/>
        <v>19256.624999999978</v>
      </c>
      <c r="BV32" s="13">
        <f t="shared" si="333"/>
        <v>19256.624999999978</v>
      </c>
      <c r="BW32" s="13">
        <f t="shared" si="333"/>
        <v>25675.499999999971</v>
      </c>
      <c r="BX32" s="13">
        <f t="shared" si="333"/>
        <v>25675.499999999971</v>
      </c>
      <c r="BY32" s="13">
        <f t="shared" si="333"/>
        <v>25675.499999999971</v>
      </c>
      <c r="BZ32" s="13">
        <f t="shared" si="333"/>
        <v>25675.499999999971</v>
      </c>
      <c r="CA32" s="13">
        <f t="shared" si="333"/>
        <v>25675.499999999971</v>
      </c>
      <c r="CB32" s="13">
        <f t="shared" si="333"/>
        <v>25675.499999999971</v>
      </c>
      <c r="CC32" s="13">
        <f t="shared" si="333"/>
        <v>25675.499999999971</v>
      </c>
      <c r="CD32" s="13">
        <f t="shared" si="333"/>
        <v>25675.499999999971</v>
      </c>
      <c r="CE32" s="13">
        <f t="shared" si="333"/>
        <v>25675.499999999971</v>
      </c>
      <c r="CF32" s="13">
        <f t="shared" si="333"/>
        <v>25675.499999999971</v>
      </c>
      <c r="CG32" s="13">
        <f t="shared" si="333"/>
        <v>25675.499999999971</v>
      </c>
      <c r="CH32" s="13">
        <f t="shared" si="333"/>
        <v>25675.499999999971</v>
      </c>
      <c r="CI32" s="13">
        <f t="shared" si="333"/>
        <v>25675.499999999971</v>
      </c>
      <c r="CJ32" s="13">
        <f t="shared" si="333"/>
        <v>25675.499999999971</v>
      </c>
      <c r="CK32" s="13">
        <f t="shared" si="333"/>
        <v>25675.499999999971</v>
      </c>
      <c r="CL32" s="13">
        <f t="shared" si="333"/>
        <v>25675.499999999971</v>
      </c>
      <c r="CM32" s="13">
        <f t="shared" si="333"/>
        <v>25675.499999999971</v>
      </c>
      <c r="CN32" s="13">
        <f t="shared" si="333"/>
        <v>26445.76499999997</v>
      </c>
      <c r="CO32" s="13">
        <f t="shared" si="333"/>
        <v>26445.76499999997</v>
      </c>
      <c r="CP32" s="13">
        <f t="shared" si="333"/>
        <v>26445.76499999997</v>
      </c>
      <c r="CQ32" s="13">
        <f t="shared" si="333"/>
        <v>26445.76499999997</v>
      </c>
      <c r="CR32" s="13">
        <f t="shared" si="333"/>
        <v>26445.76499999997</v>
      </c>
      <c r="CS32" s="13">
        <f t="shared" si="333"/>
        <v>26445.76499999997</v>
      </c>
      <c r="CT32" s="13">
        <f t="shared" si="333"/>
        <v>26445.76499999997</v>
      </c>
      <c r="CU32" s="13">
        <f t="shared" si="333"/>
        <v>27216.02999999997</v>
      </c>
      <c r="CV32" s="13">
        <f t="shared" si="333"/>
        <v>27216.02999999997</v>
      </c>
      <c r="CW32" s="13">
        <f t="shared" si="333"/>
        <v>27216.02999999997</v>
      </c>
      <c r="CX32" s="13">
        <f t="shared" si="333"/>
        <v>27216.02999999997</v>
      </c>
      <c r="CY32" s="13">
        <f t="shared" si="333"/>
        <v>27216.02999999997</v>
      </c>
      <c r="CZ32" s="13">
        <f t="shared" si="333"/>
        <v>27216.02999999997</v>
      </c>
      <c r="DA32" s="13">
        <f t="shared" si="333"/>
        <v>27216.02999999997</v>
      </c>
      <c r="DB32" s="13">
        <f t="shared" si="333"/>
        <v>27216.02999999997</v>
      </c>
      <c r="DC32" s="13">
        <f t="shared" si="333"/>
        <v>27216.02999999997</v>
      </c>
      <c r="DD32" s="13">
        <f t="shared" si="333"/>
        <v>27216.02999999997</v>
      </c>
      <c r="DE32" s="13">
        <f t="shared" si="333"/>
        <v>27216.02999999997</v>
      </c>
      <c r="DF32" s="13">
        <f t="shared" si="333"/>
        <v>27216.02999999997</v>
      </c>
      <c r="DG32" s="13">
        <f t="shared" si="333"/>
        <v>27986.294999999969</v>
      </c>
      <c r="DH32" s="13">
        <f t="shared" si="333"/>
        <v>27986.294999999969</v>
      </c>
      <c r="DI32" s="13">
        <f t="shared" si="333"/>
        <v>27986.294999999969</v>
      </c>
      <c r="DJ32" s="13">
        <f t="shared" si="333"/>
        <v>27986.294999999969</v>
      </c>
      <c r="DK32" s="13">
        <f t="shared" si="333"/>
        <v>27986.294999999969</v>
      </c>
      <c r="DL32" s="13">
        <f t="shared" si="333"/>
        <v>27986.294999999969</v>
      </c>
      <c r="DM32" s="13">
        <f t="shared" si="333"/>
        <v>27986.294999999969</v>
      </c>
      <c r="DN32" s="13">
        <f t="shared" si="333"/>
        <v>27986.294999999969</v>
      </c>
      <c r="DO32" s="13">
        <f t="shared" si="333"/>
        <v>27986.294999999969</v>
      </c>
      <c r="DP32" s="13">
        <f t="shared" si="333"/>
        <v>27986.294999999969</v>
      </c>
      <c r="DQ32" s="13">
        <f t="shared" si="333"/>
        <v>27986.294999999969</v>
      </c>
      <c r="DR32" s="13">
        <f t="shared" si="333"/>
        <v>27986.294999999969</v>
      </c>
      <c r="DS32" s="13">
        <f t="shared" si="333"/>
        <v>28756.559999999969</v>
      </c>
      <c r="DT32" s="13">
        <f t="shared" si="333"/>
        <v>28756.559999999969</v>
      </c>
      <c r="DU32" s="13">
        <f t="shared" si="333"/>
        <v>28756.559999999969</v>
      </c>
      <c r="DV32" s="13">
        <f t="shared" si="333"/>
        <v>28756.559999999969</v>
      </c>
      <c r="DW32" s="13">
        <f t="shared" si="333"/>
        <v>28756.559999999969</v>
      </c>
      <c r="DX32" s="13">
        <f t="shared" si="333"/>
        <v>28756.559999999969</v>
      </c>
      <c r="DY32" s="13">
        <f t="shared" si="333"/>
        <v>28756.559999999969</v>
      </c>
      <c r="DZ32" s="13">
        <f t="shared" si="333"/>
        <v>28756.559999999969</v>
      </c>
      <c r="EA32" s="13">
        <f t="shared" si="334"/>
        <v>28756.559999999969</v>
      </c>
      <c r="EB32" s="13">
        <f t="shared" si="334"/>
        <v>28756.559999999969</v>
      </c>
      <c r="EC32" s="13">
        <f t="shared" si="334"/>
        <v>28756.559999999969</v>
      </c>
      <c r="ED32" s="13">
        <f t="shared" si="334"/>
        <v>28756.559999999969</v>
      </c>
      <c r="EE32" s="13">
        <f t="shared" si="334"/>
        <v>29526.824999999972</v>
      </c>
      <c r="EF32" s="13">
        <f t="shared" si="334"/>
        <v>29526.824999999972</v>
      </c>
      <c r="EG32" s="13">
        <f t="shared" si="334"/>
        <v>29526.824999999972</v>
      </c>
      <c r="EH32" s="13">
        <f t="shared" si="334"/>
        <v>29526.824999999972</v>
      </c>
      <c r="EI32" s="13">
        <f t="shared" si="334"/>
        <v>29526.824999999972</v>
      </c>
      <c r="EJ32" s="13">
        <f t="shared" si="334"/>
        <v>29526.824999999972</v>
      </c>
      <c r="EK32" s="13">
        <f t="shared" si="334"/>
        <v>29526.824999999972</v>
      </c>
      <c r="EL32" s="13">
        <f t="shared" si="334"/>
        <v>29526.824999999972</v>
      </c>
      <c r="EM32" s="13">
        <f t="shared" si="334"/>
        <v>29526.824999999972</v>
      </c>
      <c r="EN32" s="13">
        <f t="shared" si="334"/>
        <v>29526.824999999972</v>
      </c>
      <c r="EO32" s="13">
        <f t="shared" si="334"/>
        <v>29526.824999999972</v>
      </c>
      <c r="EP32" s="13">
        <f t="shared" si="334"/>
        <v>29526.824999999972</v>
      </c>
      <c r="EQ32" s="13">
        <f t="shared" si="334"/>
        <v>30297.089999999971</v>
      </c>
      <c r="ER32" s="13">
        <f t="shared" si="334"/>
        <v>30297.089999999971</v>
      </c>
      <c r="ES32" s="13">
        <f t="shared" si="334"/>
        <v>30297.089999999971</v>
      </c>
      <c r="ET32" s="13">
        <f t="shared" si="334"/>
        <v>30297.089999999971</v>
      </c>
      <c r="EU32" s="13">
        <f t="shared" si="334"/>
        <v>30297.089999999971</v>
      </c>
      <c r="EV32" s="13">
        <f t="shared" si="334"/>
        <v>30297.089999999971</v>
      </c>
      <c r="EW32" s="13">
        <f t="shared" si="334"/>
        <v>30297.089999999971</v>
      </c>
      <c r="EX32" s="13">
        <f t="shared" si="334"/>
        <v>30297.089999999971</v>
      </c>
      <c r="EY32" s="13">
        <f t="shared" si="334"/>
        <v>30297.089999999971</v>
      </c>
      <c r="EZ32" s="13">
        <f t="shared" si="334"/>
        <v>30297.089999999971</v>
      </c>
      <c r="FA32" s="13">
        <f t="shared" si="334"/>
        <v>30297.089999999971</v>
      </c>
      <c r="FB32" s="13">
        <f t="shared" si="334"/>
        <v>30297.089999999971</v>
      </c>
      <c r="FC32" s="13">
        <f t="shared" si="334"/>
        <v>31067.35499999997</v>
      </c>
      <c r="FD32" s="13">
        <f t="shared" si="334"/>
        <v>31067.35499999997</v>
      </c>
      <c r="FE32" s="13">
        <f t="shared" si="334"/>
        <v>31067.35499999997</v>
      </c>
      <c r="FF32" s="13">
        <f t="shared" si="334"/>
        <v>31067.35499999997</v>
      </c>
      <c r="FG32" s="13">
        <f t="shared" si="334"/>
        <v>31067.35499999997</v>
      </c>
      <c r="FH32" s="13">
        <f t="shared" si="334"/>
        <v>31067.35499999997</v>
      </c>
      <c r="FI32" s="13">
        <f t="shared" si="334"/>
        <v>31067.35499999997</v>
      </c>
      <c r="FJ32" s="13">
        <f t="shared" si="334"/>
        <v>31067.35499999997</v>
      </c>
      <c r="FK32" s="13">
        <f t="shared" si="334"/>
        <v>31067.35499999997</v>
      </c>
      <c r="FL32" s="13">
        <f t="shared" si="334"/>
        <v>31067.35499999997</v>
      </c>
      <c r="FM32" s="13">
        <f t="shared" si="334"/>
        <v>31067.35499999997</v>
      </c>
      <c r="FN32" s="13">
        <f t="shared" si="334"/>
        <v>31067.35499999997</v>
      </c>
      <c r="FO32" s="13">
        <f t="shared" si="334"/>
        <v>31837.61999999997</v>
      </c>
      <c r="FP32" s="13">
        <f t="shared" si="334"/>
        <v>31837.61999999997</v>
      </c>
      <c r="FQ32" s="13">
        <f t="shared" si="334"/>
        <v>31837.61999999997</v>
      </c>
      <c r="FR32" s="13">
        <f t="shared" si="334"/>
        <v>31837.61999999997</v>
      </c>
      <c r="FS32" s="13">
        <f t="shared" si="334"/>
        <v>31837.61999999997</v>
      </c>
      <c r="FT32" s="13">
        <f t="shared" si="334"/>
        <v>31837.61999999997</v>
      </c>
      <c r="FU32" s="13">
        <f t="shared" si="334"/>
        <v>31837.61999999997</v>
      </c>
      <c r="FV32" s="13">
        <f t="shared" si="334"/>
        <v>31837.61999999997</v>
      </c>
      <c r="FW32" s="13">
        <f t="shared" si="334"/>
        <v>31837.61999999997</v>
      </c>
      <c r="FX32" s="13">
        <f t="shared" si="334"/>
        <v>31837.61999999997</v>
      </c>
      <c r="FY32" s="13">
        <f t="shared" si="334"/>
        <v>31837.61999999997</v>
      </c>
      <c r="FZ32" s="13">
        <f t="shared" si="334"/>
        <v>31837.61999999997</v>
      </c>
      <c r="GA32" s="13">
        <f t="shared" si="335"/>
        <v>32607.884999999969</v>
      </c>
      <c r="GB32" s="13">
        <f t="shared" si="335"/>
        <v>32607.884999999969</v>
      </c>
      <c r="GC32" s="13">
        <f t="shared" si="335"/>
        <v>32607.884999999969</v>
      </c>
      <c r="GD32" s="13">
        <f t="shared" si="335"/>
        <v>32607.884999999969</v>
      </c>
      <c r="GE32" s="13">
        <f t="shared" si="335"/>
        <v>32607.884999999969</v>
      </c>
      <c r="GF32" s="13">
        <f t="shared" si="335"/>
        <v>32607.884999999969</v>
      </c>
      <c r="GG32" s="13">
        <f t="shared" si="335"/>
        <v>32607.884999999969</v>
      </c>
      <c r="GH32" s="13">
        <f t="shared" si="335"/>
        <v>32607.884999999969</v>
      </c>
      <c r="GI32" s="13">
        <f t="shared" si="335"/>
        <v>32607.884999999969</v>
      </c>
      <c r="GJ32" s="13">
        <f t="shared" si="335"/>
        <v>32607.884999999969</v>
      </c>
      <c r="GK32" s="13">
        <f t="shared" si="335"/>
        <v>32607.884999999969</v>
      </c>
      <c r="GL32" s="13">
        <f t="shared" si="335"/>
        <v>32607.884999999969</v>
      </c>
      <c r="GM32" s="13">
        <f t="shared" si="335"/>
        <v>33378.149999999972</v>
      </c>
      <c r="GN32" s="13">
        <f t="shared" si="335"/>
        <v>33378.149999999972</v>
      </c>
      <c r="GO32" s="13">
        <f t="shared" si="335"/>
        <v>33378.149999999972</v>
      </c>
      <c r="GP32" s="13">
        <f t="shared" si="335"/>
        <v>33378.149999999972</v>
      </c>
      <c r="GQ32" s="13">
        <f t="shared" si="335"/>
        <v>33378.149999999972</v>
      </c>
      <c r="GR32" s="13">
        <f t="shared" si="335"/>
        <v>33378.149999999972</v>
      </c>
      <c r="GS32" s="13">
        <f t="shared" si="335"/>
        <v>33378.149999999972</v>
      </c>
      <c r="GT32" s="13">
        <f t="shared" si="335"/>
        <v>33378.149999999972</v>
      </c>
      <c r="GU32" s="13">
        <f t="shared" si="335"/>
        <v>33378.149999999972</v>
      </c>
      <c r="GV32" s="13">
        <f t="shared" si="335"/>
        <v>33378.149999999972</v>
      </c>
      <c r="GW32" s="13">
        <f t="shared" si="335"/>
        <v>33378.149999999972</v>
      </c>
      <c r="GX32" s="13">
        <f t="shared" si="335"/>
        <v>33378.149999999972</v>
      </c>
      <c r="GY32" s="13">
        <f t="shared" si="335"/>
        <v>34148.414999999972</v>
      </c>
      <c r="GZ32" s="13">
        <f t="shared" si="335"/>
        <v>34148.414999999972</v>
      </c>
      <c r="HA32" s="13">
        <f t="shared" si="335"/>
        <v>34148.414999999972</v>
      </c>
      <c r="HB32" s="13">
        <f t="shared" si="335"/>
        <v>34148.414999999972</v>
      </c>
      <c r="HC32" s="13">
        <f t="shared" si="335"/>
        <v>34148.414999999972</v>
      </c>
      <c r="HD32" s="13">
        <f t="shared" si="335"/>
        <v>34148.414999999972</v>
      </c>
      <c r="HE32" s="13">
        <f t="shared" si="335"/>
        <v>34148.414999999972</v>
      </c>
      <c r="HF32" s="13">
        <f t="shared" si="335"/>
        <v>34148.414999999972</v>
      </c>
      <c r="HG32" s="13">
        <f t="shared" si="335"/>
        <v>34148.414999999972</v>
      </c>
      <c r="HH32" s="13">
        <f t="shared" si="335"/>
        <v>34148.414999999972</v>
      </c>
      <c r="HI32" s="13">
        <f t="shared" si="335"/>
        <v>34148.414999999972</v>
      </c>
      <c r="HJ32" s="13">
        <f t="shared" si="335"/>
        <v>34148.414999999972</v>
      </c>
      <c r="HK32" s="13">
        <f t="shared" si="335"/>
        <v>34148.414999999972</v>
      </c>
      <c r="HL32" s="13">
        <f t="shared" si="335"/>
        <v>34148.414999999972</v>
      </c>
      <c r="HM32" s="13">
        <f t="shared" si="335"/>
        <v>34148.414999999972</v>
      </c>
      <c r="HN32" s="13">
        <f t="shared" si="335"/>
        <v>34148.414999999972</v>
      </c>
      <c r="HO32" s="13">
        <f t="shared" si="335"/>
        <v>34148.414999999972</v>
      </c>
      <c r="HP32" s="13">
        <f t="shared" si="335"/>
        <v>34148.414999999972</v>
      </c>
      <c r="HQ32" s="13">
        <f t="shared" si="335"/>
        <v>34148.414999999972</v>
      </c>
      <c r="HR32" s="13">
        <f t="shared" si="335"/>
        <v>34148.414999999972</v>
      </c>
      <c r="HS32" s="13">
        <f t="shared" si="335"/>
        <v>34148.414999999972</v>
      </c>
      <c r="HT32" s="13">
        <f t="shared" si="335"/>
        <v>34148.414999999972</v>
      </c>
      <c r="HU32" s="13">
        <f t="shared" si="335"/>
        <v>34148.414999999972</v>
      </c>
      <c r="HV32" s="13">
        <f t="shared" si="335"/>
        <v>34148.414999999972</v>
      </c>
      <c r="HW32" s="13">
        <f t="shared" si="335"/>
        <v>34148.414999999972</v>
      </c>
      <c r="HX32" s="13">
        <f t="shared" si="335"/>
        <v>34148.414999999972</v>
      </c>
      <c r="HY32" s="13">
        <f t="shared" si="335"/>
        <v>34148.414999999972</v>
      </c>
      <c r="HZ32" s="13">
        <f t="shared" si="335"/>
        <v>34148.414999999972</v>
      </c>
      <c r="IA32" s="13">
        <f t="shared" si="335"/>
        <v>34148.414999999972</v>
      </c>
      <c r="IB32" s="13">
        <f t="shared" si="335"/>
        <v>34148.414999999972</v>
      </c>
      <c r="IC32" s="13">
        <f t="shared" si="335"/>
        <v>34148.414999999972</v>
      </c>
      <c r="ID32" s="13">
        <f t="shared" si="335"/>
        <v>34148.414999999972</v>
      </c>
      <c r="IE32" s="13">
        <f t="shared" si="335"/>
        <v>34148.414999999972</v>
      </c>
      <c r="IF32" s="13">
        <f t="shared" si="335"/>
        <v>34148.414999999972</v>
      </c>
      <c r="IG32" s="13">
        <f t="shared" si="335"/>
        <v>34148.414999999972</v>
      </c>
      <c r="IH32" s="13">
        <f t="shared" si="335"/>
        <v>34148.414999999972</v>
      </c>
      <c r="II32" s="69">
        <f t="shared" si="314"/>
        <v>6201403.5150000043</v>
      </c>
    </row>
    <row r="33" spans="1:243" x14ac:dyDescent="0.45">
      <c r="A33" s="16" t="s">
        <v>425</v>
      </c>
      <c r="B33" s="18">
        <f>4*2*3*5000*2</f>
        <v>240000</v>
      </c>
      <c r="C33" s="13">
        <f t="shared" si="320"/>
        <v>60000</v>
      </c>
      <c r="D33" s="13">
        <f t="shared" si="336"/>
        <v>60000</v>
      </c>
      <c r="E33" s="13">
        <f t="shared" si="336"/>
        <v>60000</v>
      </c>
      <c r="F33" s="13">
        <f t="shared" si="336"/>
        <v>60000</v>
      </c>
      <c r="G33" s="13">
        <f t="shared" si="336"/>
        <v>60000</v>
      </c>
      <c r="H33" s="13">
        <f t="shared" si="336"/>
        <v>60000</v>
      </c>
      <c r="I33" s="13">
        <f t="shared" si="336"/>
        <v>60000</v>
      </c>
      <c r="J33" s="13">
        <f t="shared" si="336"/>
        <v>60000</v>
      </c>
      <c r="K33" s="13">
        <f t="shared" si="336"/>
        <v>60000</v>
      </c>
      <c r="L33" s="13">
        <f t="shared" si="336"/>
        <v>60000</v>
      </c>
      <c r="M33" s="13">
        <f t="shared" si="336"/>
        <v>60000</v>
      </c>
      <c r="N33" s="13">
        <f t="shared" si="336"/>
        <v>60000</v>
      </c>
      <c r="O33" s="13">
        <f t="shared" si="336"/>
        <v>60000</v>
      </c>
      <c r="P33" s="13">
        <f t="shared" si="336"/>
        <v>60000</v>
      </c>
      <c r="Q33" s="13">
        <f t="shared" si="336"/>
        <v>60000</v>
      </c>
      <c r="R33" s="13">
        <f t="shared" si="336"/>
        <v>60000</v>
      </c>
      <c r="S33" s="13">
        <f t="shared" si="336"/>
        <v>60000</v>
      </c>
      <c r="T33" s="13">
        <f t="shared" si="336"/>
        <v>60000</v>
      </c>
      <c r="U33" s="13">
        <f t="shared" si="336"/>
        <v>60000</v>
      </c>
      <c r="V33" s="13">
        <f t="shared" si="336"/>
        <v>60000</v>
      </c>
      <c r="W33" s="13">
        <f t="shared" si="336"/>
        <v>60000</v>
      </c>
      <c r="X33" s="13">
        <f t="shared" si="336"/>
        <v>60000</v>
      </c>
      <c r="Y33" s="13">
        <f t="shared" si="336"/>
        <v>60000</v>
      </c>
      <c r="Z33" s="13">
        <f t="shared" si="336"/>
        <v>60000</v>
      </c>
      <c r="AA33" s="13">
        <f t="shared" si="336"/>
        <v>180000</v>
      </c>
      <c r="AB33" s="13">
        <f t="shared" si="336"/>
        <v>180000</v>
      </c>
      <c r="AC33" s="13">
        <f t="shared" si="336"/>
        <v>180000</v>
      </c>
      <c r="AD33" s="13">
        <f t="shared" si="336"/>
        <v>180000</v>
      </c>
      <c r="AE33" s="13">
        <f t="shared" si="336"/>
        <v>180000</v>
      </c>
      <c r="AF33" s="13">
        <f t="shared" si="336"/>
        <v>180000</v>
      </c>
      <c r="AG33" s="13">
        <f t="shared" si="336"/>
        <v>180000</v>
      </c>
      <c r="AH33" s="13">
        <f t="shared" si="336"/>
        <v>180000</v>
      </c>
      <c r="AI33" s="13">
        <f t="shared" si="336"/>
        <v>180000</v>
      </c>
      <c r="AJ33" s="13">
        <f t="shared" si="336"/>
        <v>180000</v>
      </c>
      <c r="AK33" s="13">
        <f t="shared" si="336"/>
        <v>180000</v>
      </c>
      <c r="AL33" s="13">
        <f t="shared" si="336"/>
        <v>180000</v>
      </c>
      <c r="AM33" s="13">
        <f t="shared" si="336"/>
        <v>180000</v>
      </c>
      <c r="AN33" s="13">
        <f t="shared" si="336"/>
        <v>180000</v>
      </c>
      <c r="AO33" s="13">
        <f t="shared" si="336"/>
        <v>180000</v>
      </c>
      <c r="AP33" s="13">
        <f t="shared" si="336"/>
        <v>180000</v>
      </c>
      <c r="AQ33" s="13">
        <f t="shared" si="336"/>
        <v>180000</v>
      </c>
      <c r="AR33" s="13">
        <f t="shared" si="336"/>
        <v>180000</v>
      </c>
      <c r="AS33" s="13">
        <f t="shared" si="336"/>
        <v>180000</v>
      </c>
      <c r="AT33" s="13">
        <f t="shared" si="336"/>
        <v>180000</v>
      </c>
      <c r="AU33" s="13">
        <f t="shared" si="336"/>
        <v>180000</v>
      </c>
      <c r="AV33" s="13">
        <f t="shared" si="336"/>
        <v>180000</v>
      </c>
      <c r="AW33" s="13">
        <f t="shared" si="336"/>
        <v>180000</v>
      </c>
      <c r="AX33" s="13">
        <f t="shared" si="336"/>
        <v>180000</v>
      </c>
      <c r="AY33" s="13">
        <f t="shared" si="336"/>
        <v>180000</v>
      </c>
      <c r="AZ33" s="13">
        <f t="shared" si="336"/>
        <v>180000</v>
      </c>
      <c r="BA33" s="13">
        <f t="shared" si="336"/>
        <v>180000</v>
      </c>
      <c r="BB33" s="13">
        <f t="shared" si="336"/>
        <v>180000</v>
      </c>
      <c r="BC33" s="13">
        <f t="shared" si="336"/>
        <v>180000</v>
      </c>
      <c r="BD33" s="13">
        <f t="shared" si="336"/>
        <v>180000</v>
      </c>
      <c r="BE33" s="13">
        <f t="shared" si="336"/>
        <v>180000</v>
      </c>
      <c r="BF33" s="13">
        <f t="shared" si="336"/>
        <v>180000</v>
      </c>
      <c r="BG33" s="13">
        <f t="shared" si="336"/>
        <v>180000</v>
      </c>
      <c r="BH33" s="13">
        <f t="shared" si="336"/>
        <v>180000</v>
      </c>
      <c r="BI33" s="13">
        <f t="shared" si="336"/>
        <v>180000</v>
      </c>
      <c r="BJ33" s="13">
        <f t="shared" si="336"/>
        <v>180000</v>
      </c>
      <c r="BK33" s="13">
        <f t="shared" si="336"/>
        <v>180000</v>
      </c>
      <c r="BL33" s="13">
        <f t="shared" si="336"/>
        <v>180000</v>
      </c>
      <c r="BM33" s="13">
        <f t="shared" si="336"/>
        <v>180000</v>
      </c>
      <c r="BN33" s="13">
        <f t="shared" si="336"/>
        <v>180000</v>
      </c>
      <c r="BO33" s="13">
        <f t="shared" si="336"/>
        <v>180000</v>
      </c>
      <c r="BP33" s="13">
        <f t="shared" si="333"/>
        <v>180000</v>
      </c>
      <c r="BQ33" s="13">
        <f t="shared" si="333"/>
        <v>180000</v>
      </c>
      <c r="BR33" s="13">
        <f t="shared" si="333"/>
        <v>180000</v>
      </c>
      <c r="BS33" s="13">
        <f t="shared" si="333"/>
        <v>180000</v>
      </c>
      <c r="BT33" s="13">
        <f t="shared" si="333"/>
        <v>180000</v>
      </c>
      <c r="BU33" s="13">
        <f t="shared" si="333"/>
        <v>180000</v>
      </c>
      <c r="BV33" s="13">
        <f t="shared" si="333"/>
        <v>180000</v>
      </c>
      <c r="BW33" s="13">
        <f t="shared" si="333"/>
        <v>240000</v>
      </c>
      <c r="BX33" s="13">
        <f t="shared" si="333"/>
        <v>240000</v>
      </c>
      <c r="BY33" s="13">
        <f t="shared" si="333"/>
        <v>240000</v>
      </c>
      <c r="BZ33" s="13">
        <f t="shared" si="333"/>
        <v>240000</v>
      </c>
      <c r="CA33" s="13">
        <f t="shared" si="333"/>
        <v>240000</v>
      </c>
      <c r="CB33" s="13">
        <f t="shared" si="333"/>
        <v>240000</v>
      </c>
      <c r="CC33" s="13">
        <f t="shared" si="333"/>
        <v>240000</v>
      </c>
      <c r="CD33" s="13">
        <f t="shared" si="333"/>
        <v>240000</v>
      </c>
      <c r="CE33" s="13">
        <f t="shared" si="333"/>
        <v>240000</v>
      </c>
      <c r="CF33" s="13">
        <f t="shared" si="333"/>
        <v>240000</v>
      </c>
      <c r="CG33" s="13">
        <f t="shared" si="333"/>
        <v>240000</v>
      </c>
      <c r="CH33" s="13">
        <f t="shared" si="333"/>
        <v>240000</v>
      </c>
      <c r="CI33" s="13">
        <f t="shared" si="333"/>
        <v>240000</v>
      </c>
      <c r="CJ33" s="13">
        <f t="shared" si="333"/>
        <v>240000</v>
      </c>
      <c r="CK33" s="13">
        <f t="shared" si="333"/>
        <v>240000</v>
      </c>
      <c r="CL33" s="13">
        <f t="shared" si="333"/>
        <v>240000</v>
      </c>
      <c r="CM33" s="13">
        <f t="shared" si="333"/>
        <v>240000</v>
      </c>
      <c r="CN33" s="13">
        <f t="shared" si="333"/>
        <v>247200</v>
      </c>
      <c r="CO33" s="13">
        <f t="shared" si="333"/>
        <v>247200</v>
      </c>
      <c r="CP33" s="13">
        <f t="shared" si="333"/>
        <v>247200</v>
      </c>
      <c r="CQ33" s="13">
        <f t="shared" si="333"/>
        <v>247200</v>
      </c>
      <c r="CR33" s="13">
        <f t="shared" si="333"/>
        <v>247200</v>
      </c>
      <c r="CS33" s="13">
        <f t="shared" si="333"/>
        <v>247200</v>
      </c>
      <c r="CT33" s="13">
        <f t="shared" si="333"/>
        <v>247200</v>
      </c>
      <c r="CU33" s="13">
        <f t="shared" si="333"/>
        <v>254400</v>
      </c>
      <c r="CV33" s="13">
        <f t="shared" si="333"/>
        <v>254400</v>
      </c>
      <c r="CW33" s="13">
        <f t="shared" si="333"/>
        <v>254400</v>
      </c>
      <c r="CX33" s="13">
        <f t="shared" si="333"/>
        <v>254400</v>
      </c>
      <c r="CY33" s="13">
        <f t="shared" si="333"/>
        <v>254400</v>
      </c>
      <c r="CZ33" s="13">
        <f t="shared" si="333"/>
        <v>254400</v>
      </c>
      <c r="DA33" s="13">
        <f t="shared" si="333"/>
        <v>254400</v>
      </c>
      <c r="DB33" s="13">
        <f t="shared" si="333"/>
        <v>254400</v>
      </c>
      <c r="DC33" s="13">
        <f t="shared" si="333"/>
        <v>254400</v>
      </c>
      <c r="DD33" s="13">
        <f t="shared" si="333"/>
        <v>254400</v>
      </c>
      <c r="DE33" s="13">
        <f t="shared" si="333"/>
        <v>254400</v>
      </c>
      <c r="DF33" s="13">
        <f t="shared" si="333"/>
        <v>254400</v>
      </c>
      <c r="DG33" s="13">
        <f t="shared" si="333"/>
        <v>261600.00000000003</v>
      </c>
      <c r="DH33" s="13">
        <f t="shared" si="333"/>
        <v>261600.00000000003</v>
      </c>
      <c r="DI33" s="13">
        <f t="shared" si="333"/>
        <v>261600.00000000003</v>
      </c>
      <c r="DJ33" s="13">
        <f t="shared" si="333"/>
        <v>261600.00000000003</v>
      </c>
      <c r="DK33" s="13">
        <f t="shared" si="333"/>
        <v>261600.00000000003</v>
      </c>
      <c r="DL33" s="13">
        <f t="shared" si="333"/>
        <v>261600.00000000003</v>
      </c>
      <c r="DM33" s="13">
        <f t="shared" si="333"/>
        <v>261600.00000000003</v>
      </c>
      <c r="DN33" s="13">
        <f t="shared" si="333"/>
        <v>261600.00000000003</v>
      </c>
      <c r="DO33" s="13">
        <f t="shared" si="333"/>
        <v>261600.00000000003</v>
      </c>
      <c r="DP33" s="13">
        <f t="shared" si="333"/>
        <v>261600.00000000003</v>
      </c>
      <c r="DQ33" s="13">
        <f t="shared" si="333"/>
        <v>261600.00000000003</v>
      </c>
      <c r="DR33" s="13">
        <f t="shared" si="333"/>
        <v>261600.00000000003</v>
      </c>
      <c r="DS33" s="13">
        <f t="shared" si="333"/>
        <v>268800</v>
      </c>
      <c r="DT33" s="13">
        <f t="shared" si="333"/>
        <v>268800</v>
      </c>
      <c r="DU33" s="13">
        <f t="shared" si="333"/>
        <v>268800</v>
      </c>
      <c r="DV33" s="13">
        <f t="shared" si="333"/>
        <v>268800</v>
      </c>
      <c r="DW33" s="13">
        <f t="shared" si="333"/>
        <v>268800</v>
      </c>
      <c r="DX33" s="13">
        <f t="shared" si="333"/>
        <v>268800</v>
      </c>
      <c r="DY33" s="13">
        <f t="shared" si="333"/>
        <v>268800</v>
      </c>
      <c r="DZ33" s="13">
        <f t="shared" si="333"/>
        <v>268800</v>
      </c>
      <c r="EA33" s="13">
        <f t="shared" si="334"/>
        <v>268800</v>
      </c>
      <c r="EB33" s="13">
        <f t="shared" si="334"/>
        <v>268800</v>
      </c>
      <c r="EC33" s="13">
        <f t="shared" si="334"/>
        <v>268800</v>
      </c>
      <c r="ED33" s="13">
        <f t="shared" si="334"/>
        <v>268800</v>
      </c>
      <c r="EE33" s="13">
        <f t="shared" si="334"/>
        <v>276000.00000000006</v>
      </c>
      <c r="EF33" s="13">
        <f t="shared" si="334"/>
        <v>276000.00000000006</v>
      </c>
      <c r="EG33" s="13">
        <f t="shared" si="334"/>
        <v>276000.00000000006</v>
      </c>
      <c r="EH33" s="13">
        <f t="shared" si="334"/>
        <v>276000.00000000006</v>
      </c>
      <c r="EI33" s="13">
        <f t="shared" si="334"/>
        <v>276000.00000000006</v>
      </c>
      <c r="EJ33" s="13">
        <f t="shared" si="334"/>
        <v>276000.00000000006</v>
      </c>
      <c r="EK33" s="13">
        <f t="shared" si="334"/>
        <v>276000.00000000006</v>
      </c>
      <c r="EL33" s="13">
        <f t="shared" si="334"/>
        <v>276000.00000000006</v>
      </c>
      <c r="EM33" s="13">
        <f t="shared" si="334"/>
        <v>276000.00000000006</v>
      </c>
      <c r="EN33" s="13">
        <f t="shared" si="334"/>
        <v>276000.00000000006</v>
      </c>
      <c r="EO33" s="13">
        <f t="shared" si="334"/>
        <v>276000.00000000006</v>
      </c>
      <c r="EP33" s="13">
        <f t="shared" si="334"/>
        <v>276000.00000000006</v>
      </c>
      <c r="EQ33" s="13">
        <f t="shared" si="334"/>
        <v>283200.00000000006</v>
      </c>
      <c r="ER33" s="13">
        <f t="shared" si="334"/>
        <v>283200.00000000006</v>
      </c>
      <c r="ES33" s="13">
        <f t="shared" si="334"/>
        <v>283200.00000000006</v>
      </c>
      <c r="ET33" s="13">
        <f t="shared" si="334"/>
        <v>283200.00000000006</v>
      </c>
      <c r="EU33" s="13">
        <f t="shared" si="334"/>
        <v>283200.00000000006</v>
      </c>
      <c r="EV33" s="13">
        <f t="shared" si="334"/>
        <v>283200.00000000006</v>
      </c>
      <c r="EW33" s="13">
        <f t="shared" si="334"/>
        <v>283200.00000000006</v>
      </c>
      <c r="EX33" s="13">
        <f t="shared" si="334"/>
        <v>283200.00000000006</v>
      </c>
      <c r="EY33" s="13">
        <f t="shared" si="334"/>
        <v>283200.00000000006</v>
      </c>
      <c r="EZ33" s="13">
        <f t="shared" si="334"/>
        <v>283200.00000000006</v>
      </c>
      <c r="FA33" s="13">
        <f t="shared" si="334"/>
        <v>283200.00000000006</v>
      </c>
      <c r="FB33" s="13">
        <f t="shared" si="334"/>
        <v>283200.00000000006</v>
      </c>
      <c r="FC33" s="13">
        <f t="shared" si="334"/>
        <v>290400.00000000006</v>
      </c>
      <c r="FD33" s="13">
        <f t="shared" si="334"/>
        <v>290400.00000000006</v>
      </c>
      <c r="FE33" s="13">
        <f t="shared" si="334"/>
        <v>290400.00000000006</v>
      </c>
      <c r="FF33" s="13">
        <f t="shared" si="334"/>
        <v>290400.00000000006</v>
      </c>
      <c r="FG33" s="13">
        <f t="shared" si="334"/>
        <v>290400.00000000006</v>
      </c>
      <c r="FH33" s="13">
        <f t="shared" si="334"/>
        <v>290400.00000000006</v>
      </c>
      <c r="FI33" s="13">
        <f t="shared" si="334"/>
        <v>290400.00000000006</v>
      </c>
      <c r="FJ33" s="13">
        <f t="shared" si="334"/>
        <v>290400.00000000006</v>
      </c>
      <c r="FK33" s="13">
        <f t="shared" si="334"/>
        <v>290400.00000000006</v>
      </c>
      <c r="FL33" s="13">
        <f t="shared" si="334"/>
        <v>290400.00000000006</v>
      </c>
      <c r="FM33" s="13">
        <f t="shared" si="334"/>
        <v>290400.00000000006</v>
      </c>
      <c r="FN33" s="13">
        <f t="shared" si="334"/>
        <v>290400.00000000006</v>
      </c>
      <c r="FO33" s="13">
        <f t="shared" si="334"/>
        <v>297600.00000000006</v>
      </c>
      <c r="FP33" s="13">
        <f t="shared" si="334"/>
        <v>297600.00000000006</v>
      </c>
      <c r="FQ33" s="13">
        <f t="shared" si="334"/>
        <v>297600.00000000006</v>
      </c>
      <c r="FR33" s="13">
        <f t="shared" si="334"/>
        <v>297600.00000000006</v>
      </c>
      <c r="FS33" s="13">
        <f t="shared" si="334"/>
        <v>297600.00000000006</v>
      </c>
      <c r="FT33" s="13">
        <f t="shared" si="334"/>
        <v>297600.00000000006</v>
      </c>
      <c r="FU33" s="13">
        <f t="shared" si="334"/>
        <v>297600.00000000006</v>
      </c>
      <c r="FV33" s="13">
        <f t="shared" si="334"/>
        <v>297600.00000000006</v>
      </c>
      <c r="FW33" s="13">
        <f t="shared" si="334"/>
        <v>297600.00000000006</v>
      </c>
      <c r="FX33" s="13">
        <f t="shared" si="334"/>
        <v>297600.00000000006</v>
      </c>
      <c r="FY33" s="13">
        <f t="shared" si="334"/>
        <v>297600.00000000006</v>
      </c>
      <c r="FZ33" s="13">
        <f t="shared" si="334"/>
        <v>297600.00000000006</v>
      </c>
      <c r="GA33" s="13">
        <f t="shared" si="335"/>
        <v>304800.00000000006</v>
      </c>
      <c r="GB33" s="13">
        <f t="shared" si="335"/>
        <v>304800.00000000006</v>
      </c>
      <c r="GC33" s="13">
        <f t="shared" si="335"/>
        <v>304800.00000000006</v>
      </c>
      <c r="GD33" s="13">
        <f t="shared" si="335"/>
        <v>304800.00000000006</v>
      </c>
      <c r="GE33" s="13">
        <f t="shared" si="335"/>
        <v>304800.00000000006</v>
      </c>
      <c r="GF33" s="13">
        <f t="shared" si="335"/>
        <v>304800.00000000006</v>
      </c>
      <c r="GG33" s="13">
        <f t="shared" si="335"/>
        <v>304800.00000000006</v>
      </c>
      <c r="GH33" s="13">
        <f t="shared" si="335"/>
        <v>304800.00000000006</v>
      </c>
      <c r="GI33" s="13">
        <f t="shared" si="335"/>
        <v>304800.00000000006</v>
      </c>
      <c r="GJ33" s="13">
        <f t="shared" si="335"/>
        <v>304800.00000000006</v>
      </c>
      <c r="GK33" s="13">
        <f t="shared" si="335"/>
        <v>304800.00000000006</v>
      </c>
      <c r="GL33" s="13">
        <f t="shared" si="335"/>
        <v>304800.00000000006</v>
      </c>
      <c r="GM33" s="13">
        <f t="shared" si="335"/>
        <v>312000.00000000006</v>
      </c>
      <c r="GN33" s="13">
        <f t="shared" si="335"/>
        <v>312000.00000000006</v>
      </c>
      <c r="GO33" s="13">
        <f t="shared" si="335"/>
        <v>312000.00000000006</v>
      </c>
      <c r="GP33" s="13">
        <f t="shared" si="335"/>
        <v>312000.00000000006</v>
      </c>
      <c r="GQ33" s="13">
        <f t="shared" si="335"/>
        <v>312000.00000000006</v>
      </c>
      <c r="GR33" s="13">
        <f t="shared" si="335"/>
        <v>312000.00000000006</v>
      </c>
      <c r="GS33" s="13">
        <f t="shared" si="335"/>
        <v>312000.00000000006</v>
      </c>
      <c r="GT33" s="13">
        <f t="shared" si="335"/>
        <v>312000.00000000006</v>
      </c>
      <c r="GU33" s="13">
        <f t="shared" si="335"/>
        <v>312000.00000000006</v>
      </c>
      <c r="GV33" s="13">
        <f t="shared" si="335"/>
        <v>312000.00000000006</v>
      </c>
      <c r="GW33" s="13">
        <f t="shared" si="335"/>
        <v>312000.00000000006</v>
      </c>
      <c r="GX33" s="13">
        <f t="shared" si="335"/>
        <v>312000.00000000006</v>
      </c>
      <c r="GY33" s="13">
        <f t="shared" si="335"/>
        <v>319200.00000000006</v>
      </c>
      <c r="GZ33" s="13">
        <f t="shared" si="335"/>
        <v>319200.00000000006</v>
      </c>
      <c r="HA33" s="13">
        <f t="shared" si="335"/>
        <v>319200.00000000006</v>
      </c>
      <c r="HB33" s="13">
        <f t="shared" si="335"/>
        <v>319200.00000000006</v>
      </c>
      <c r="HC33" s="13">
        <f t="shared" si="335"/>
        <v>319200.00000000006</v>
      </c>
      <c r="HD33" s="13">
        <f t="shared" si="335"/>
        <v>319200.00000000006</v>
      </c>
      <c r="HE33" s="13">
        <f t="shared" si="335"/>
        <v>319200.00000000006</v>
      </c>
      <c r="HF33" s="13">
        <f t="shared" si="335"/>
        <v>319200.00000000006</v>
      </c>
      <c r="HG33" s="13">
        <f t="shared" si="335"/>
        <v>319200.00000000006</v>
      </c>
      <c r="HH33" s="13">
        <f t="shared" si="335"/>
        <v>319200.00000000006</v>
      </c>
      <c r="HI33" s="13">
        <f t="shared" si="335"/>
        <v>319200.00000000006</v>
      </c>
      <c r="HJ33" s="13">
        <f t="shared" si="335"/>
        <v>319200.00000000006</v>
      </c>
      <c r="HK33" s="13">
        <f t="shared" si="335"/>
        <v>319200.00000000006</v>
      </c>
      <c r="HL33" s="13">
        <f t="shared" si="335"/>
        <v>319200.00000000006</v>
      </c>
      <c r="HM33" s="13">
        <f t="shared" si="335"/>
        <v>319200.00000000006</v>
      </c>
      <c r="HN33" s="13">
        <f t="shared" si="335"/>
        <v>319200.00000000006</v>
      </c>
      <c r="HO33" s="13">
        <f t="shared" si="335"/>
        <v>319200.00000000006</v>
      </c>
      <c r="HP33" s="13">
        <f t="shared" si="335"/>
        <v>319200.00000000006</v>
      </c>
      <c r="HQ33" s="13">
        <f t="shared" si="335"/>
        <v>319200.00000000006</v>
      </c>
      <c r="HR33" s="13">
        <f t="shared" si="335"/>
        <v>319200.00000000006</v>
      </c>
      <c r="HS33" s="13">
        <f t="shared" si="335"/>
        <v>319200.00000000006</v>
      </c>
      <c r="HT33" s="13">
        <f t="shared" si="335"/>
        <v>319200.00000000006</v>
      </c>
      <c r="HU33" s="13">
        <f t="shared" si="335"/>
        <v>319200.00000000006</v>
      </c>
      <c r="HV33" s="13">
        <f t="shared" si="335"/>
        <v>319200.00000000006</v>
      </c>
      <c r="HW33" s="13">
        <f t="shared" si="335"/>
        <v>319200.00000000006</v>
      </c>
      <c r="HX33" s="13">
        <f t="shared" si="335"/>
        <v>319200.00000000006</v>
      </c>
      <c r="HY33" s="13">
        <f t="shared" si="335"/>
        <v>319200.00000000006</v>
      </c>
      <c r="HZ33" s="13">
        <f t="shared" si="335"/>
        <v>319200.00000000006</v>
      </c>
      <c r="IA33" s="13">
        <f t="shared" si="335"/>
        <v>319200.00000000006</v>
      </c>
      <c r="IB33" s="13">
        <f t="shared" si="335"/>
        <v>319200.00000000006</v>
      </c>
      <c r="IC33" s="13">
        <f t="shared" si="335"/>
        <v>319200.00000000006</v>
      </c>
      <c r="ID33" s="13">
        <f t="shared" si="335"/>
        <v>319200.00000000006</v>
      </c>
      <c r="IE33" s="13">
        <f t="shared" si="335"/>
        <v>319200.00000000006</v>
      </c>
      <c r="IF33" s="13">
        <f t="shared" si="335"/>
        <v>319200.00000000006</v>
      </c>
      <c r="IG33" s="13">
        <f t="shared" si="335"/>
        <v>319200.00000000006</v>
      </c>
      <c r="IH33" s="13">
        <f t="shared" si="335"/>
        <v>319200.00000000006</v>
      </c>
      <c r="II33" s="69">
        <f t="shared" si="314"/>
        <v>57967200</v>
      </c>
    </row>
    <row r="34" spans="1:243" x14ac:dyDescent="0.45">
      <c r="A34" s="16" t="s">
        <v>233</v>
      </c>
      <c r="B34" s="18">
        <v>40000</v>
      </c>
      <c r="C34" s="13">
        <f t="shared" si="320"/>
        <v>10000</v>
      </c>
      <c r="D34" s="13">
        <f t="shared" si="336"/>
        <v>10000</v>
      </c>
      <c r="E34" s="13">
        <f t="shared" si="336"/>
        <v>10000</v>
      </c>
      <c r="F34" s="13">
        <f t="shared" si="336"/>
        <v>10000</v>
      </c>
      <c r="G34" s="13">
        <f t="shared" si="336"/>
        <v>10000</v>
      </c>
      <c r="H34" s="13">
        <f t="shared" si="336"/>
        <v>10000</v>
      </c>
      <c r="I34" s="13">
        <f t="shared" si="336"/>
        <v>10000</v>
      </c>
      <c r="J34" s="13">
        <f t="shared" si="336"/>
        <v>10000</v>
      </c>
      <c r="K34" s="13">
        <f t="shared" si="336"/>
        <v>10000</v>
      </c>
      <c r="L34" s="13">
        <f t="shared" si="336"/>
        <v>10000</v>
      </c>
      <c r="M34" s="13">
        <f t="shared" si="336"/>
        <v>10000</v>
      </c>
      <c r="N34" s="13">
        <f t="shared" si="336"/>
        <v>10000</v>
      </c>
      <c r="O34" s="13">
        <f t="shared" si="336"/>
        <v>10000</v>
      </c>
      <c r="P34" s="13">
        <f t="shared" si="336"/>
        <v>10000</v>
      </c>
      <c r="Q34" s="13">
        <f t="shared" si="336"/>
        <v>10000</v>
      </c>
      <c r="R34" s="13">
        <f t="shared" si="336"/>
        <v>10000</v>
      </c>
      <c r="S34" s="13">
        <f t="shared" si="336"/>
        <v>10000</v>
      </c>
      <c r="T34" s="13">
        <f t="shared" si="336"/>
        <v>10000</v>
      </c>
      <c r="U34" s="13">
        <f t="shared" si="336"/>
        <v>10000</v>
      </c>
      <c r="V34" s="13">
        <f t="shared" si="336"/>
        <v>10000</v>
      </c>
      <c r="W34" s="13">
        <f t="shared" si="336"/>
        <v>10000</v>
      </c>
      <c r="X34" s="13">
        <f t="shared" si="336"/>
        <v>10000</v>
      </c>
      <c r="Y34" s="13">
        <f t="shared" si="336"/>
        <v>10000</v>
      </c>
      <c r="Z34" s="13">
        <f t="shared" si="336"/>
        <v>10000</v>
      </c>
      <c r="AA34" s="13">
        <f t="shared" si="336"/>
        <v>30000</v>
      </c>
      <c r="AB34" s="13">
        <f t="shared" si="336"/>
        <v>30000</v>
      </c>
      <c r="AC34" s="13">
        <f t="shared" si="336"/>
        <v>30000</v>
      </c>
      <c r="AD34" s="13">
        <f t="shared" si="336"/>
        <v>30000</v>
      </c>
      <c r="AE34" s="13">
        <f t="shared" si="336"/>
        <v>30000</v>
      </c>
      <c r="AF34" s="13">
        <f t="shared" si="336"/>
        <v>30000</v>
      </c>
      <c r="AG34" s="13">
        <f t="shared" si="336"/>
        <v>30000</v>
      </c>
      <c r="AH34" s="13">
        <f t="shared" si="336"/>
        <v>30000</v>
      </c>
      <c r="AI34" s="13">
        <f t="shared" si="336"/>
        <v>30000</v>
      </c>
      <c r="AJ34" s="13">
        <f t="shared" si="336"/>
        <v>30000</v>
      </c>
      <c r="AK34" s="13">
        <f t="shared" si="336"/>
        <v>30000</v>
      </c>
      <c r="AL34" s="13">
        <f t="shared" si="336"/>
        <v>30000</v>
      </c>
      <c r="AM34" s="13">
        <f t="shared" si="336"/>
        <v>30000</v>
      </c>
      <c r="AN34" s="13">
        <f t="shared" si="336"/>
        <v>30000</v>
      </c>
      <c r="AO34" s="13">
        <f t="shared" si="336"/>
        <v>30000</v>
      </c>
      <c r="AP34" s="13">
        <f t="shared" si="336"/>
        <v>30000</v>
      </c>
      <c r="AQ34" s="13">
        <f t="shared" si="336"/>
        <v>30000</v>
      </c>
      <c r="AR34" s="13">
        <f t="shared" si="336"/>
        <v>30000</v>
      </c>
      <c r="AS34" s="13">
        <f t="shared" si="336"/>
        <v>30000</v>
      </c>
      <c r="AT34" s="13">
        <f t="shared" si="336"/>
        <v>30000</v>
      </c>
      <c r="AU34" s="13">
        <f t="shared" si="336"/>
        <v>30000</v>
      </c>
      <c r="AV34" s="13">
        <f t="shared" si="336"/>
        <v>30000</v>
      </c>
      <c r="AW34" s="13">
        <f t="shared" si="336"/>
        <v>30000</v>
      </c>
      <c r="AX34" s="13">
        <f t="shared" si="336"/>
        <v>30000</v>
      </c>
      <c r="AY34" s="13">
        <f t="shared" si="336"/>
        <v>30000</v>
      </c>
      <c r="AZ34" s="13">
        <f t="shared" si="336"/>
        <v>30000</v>
      </c>
      <c r="BA34" s="13">
        <f t="shared" si="336"/>
        <v>30000</v>
      </c>
      <c r="BB34" s="13">
        <f t="shared" si="336"/>
        <v>30000</v>
      </c>
      <c r="BC34" s="13">
        <f t="shared" si="336"/>
        <v>30000</v>
      </c>
      <c r="BD34" s="13">
        <f t="shared" si="336"/>
        <v>30000</v>
      </c>
      <c r="BE34" s="13">
        <f t="shared" si="336"/>
        <v>30000</v>
      </c>
      <c r="BF34" s="13">
        <f t="shared" si="336"/>
        <v>30000</v>
      </c>
      <c r="BG34" s="13">
        <f t="shared" si="336"/>
        <v>30000</v>
      </c>
      <c r="BH34" s="13">
        <f t="shared" si="336"/>
        <v>30000</v>
      </c>
      <c r="BI34" s="13">
        <f t="shared" si="336"/>
        <v>30000</v>
      </c>
      <c r="BJ34" s="13">
        <f t="shared" si="336"/>
        <v>30000</v>
      </c>
      <c r="BK34" s="13">
        <f t="shared" si="336"/>
        <v>30000</v>
      </c>
      <c r="BL34" s="13">
        <f t="shared" si="336"/>
        <v>30000</v>
      </c>
      <c r="BM34" s="13">
        <f t="shared" si="336"/>
        <v>30000</v>
      </c>
      <c r="BN34" s="13">
        <f t="shared" si="336"/>
        <v>30000</v>
      </c>
      <c r="BO34" s="13">
        <f t="shared" si="336"/>
        <v>30000</v>
      </c>
      <c r="BP34" s="13">
        <f t="shared" si="333"/>
        <v>30000</v>
      </c>
      <c r="BQ34" s="13">
        <f t="shared" si="333"/>
        <v>30000</v>
      </c>
      <c r="BR34" s="13">
        <f t="shared" si="333"/>
        <v>30000</v>
      </c>
      <c r="BS34" s="13">
        <f t="shared" si="333"/>
        <v>30000</v>
      </c>
      <c r="BT34" s="13">
        <f t="shared" si="333"/>
        <v>30000</v>
      </c>
      <c r="BU34" s="13">
        <f t="shared" si="333"/>
        <v>30000</v>
      </c>
      <c r="BV34" s="13">
        <f t="shared" si="333"/>
        <v>30000</v>
      </c>
      <c r="BW34" s="13">
        <f t="shared" si="333"/>
        <v>40000</v>
      </c>
      <c r="BX34" s="13">
        <f t="shared" si="333"/>
        <v>40000</v>
      </c>
      <c r="BY34" s="13">
        <f t="shared" si="333"/>
        <v>40000</v>
      </c>
      <c r="BZ34" s="13">
        <f t="shared" si="333"/>
        <v>40000</v>
      </c>
      <c r="CA34" s="13">
        <f t="shared" si="333"/>
        <v>40000</v>
      </c>
      <c r="CB34" s="13">
        <f t="shared" si="333"/>
        <v>40000</v>
      </c>
      <c r="CC34" s="13">
        <f t="shared" si="333"/>
        <v>40000</v>
      </c>
      <c r="CD34" s="13">
        <f t="shared" si="333"/>
        <v>40000</v>
      </c>
      <c r="CE34" s="13">
        <f t="shared" si="333"/>
        <v>40000</v>
      </c>
      <c r="CF34" s="13">
        <f t="shared" si="333"/>
        <v>40000</v>
      </c>
      <c r="CG34" s="13">
        <f t="shared" si="333"/>
        <v>40000</v>
      </c>
      <c r="CH34" s="13">
        <f t="shared" si="333"/>
        <v>40000</v>
      </c>
      <c r="CI34" s="13">
        <f t="shared" si="333"/>
        <v>40000</v>
      </c>
      <c r="CJ34" s="13">
        <f t="shared" si="333"/>
        <v>40000</v>
      </c>
      <c r="CK34" s="13">
        <f t="shared" si="333"/>
        <v>40000</v>
      </c>
      <c r="CL34" s="13">
        <f t="shared" si="333"/>
        <v>40000</v>
      </c>
      <c r="CM34" s="13">
        <f t="shared" si="333"/>
        <v>40000</v>
      </c>
      <c r="CN34" s="13">
        <f t="shared" si="333"/>
        <v>41200</v>
      </c>
      <c r="CO34" s="13">
        <f t="shared" si="333"/>
        <v>41200</v>
      </c>
      <c r="CP34" s="13">
        <f t="shared" si="333"/>
        <v>41200</v>
      </c>
      <c r="CQ34" s="13">
        <f t="shared" si="333"/>
        <v>41200</v>
      </c>
      <c r="CR34" s="13">
        <f t="shared" si="333"/>
        <v>41200</v>
      </c>
      <c r="CS34" s="13">
        <f t="shared" si="333"/>
        <v>41200</v>
      </c>
      <c r="CT34" s="13">
        <f t="shared" si="333"/>
        <v>41200</v>
      </c>
      <c r="CU34" s="13">
        <f t="shared" si="333"/>
        <v>42400</v>
      </c>
      <c r="CV34" s="13">
        <f t="shared" si="333"/>
        <v>42400</v>
      </c>
      <c r="CW34" s="13">
        <f t="shared" si="333"/>
        <v>42400</v>
      </c>
      <c r="CX34" s="13">
        <f t="shared" si="333"/>
        <v>42400</v>
      </c>
      <c r="CY34" s="13">
        <f t="shared" si="333"/>
        <v>42400</v>
      </c>
      <c r="CZ34" s="13">
        <f t="shared" si="333"/>
        <v>42400</v>
      </c>
      <c r="DA34" s="13">
        <f t="shared" si="333"/>
        <v>42400</v>
      </c>
      <c r="DB34" s="13">
        <f t="shared" si="333"/>
        <v>42400</v>
      </c>
      <c r="DC34" s="13">
        <f t="shared" si="333"/>
        <v>42400</v>
      </c>
      <c r="DD34" s="13">
        <f t="shared" si="333"/>
        <v>42400</v>
      </c>
      <c r="DE34" s="13">
        <f t="shared" si="333"/>
        <v>42400</v>
      </c>
      <c r="DF34" s="13">
        <f t="shared" si="333"/>
        <v>42400</v>
      </c>
      <c r="DG34" s="13">
        <f t="shared" si="333"/>
        <v>43600</v>
      </c>
      <c r="DH34" s="13">
        <f t="shared" si="333"/>
        <v>43600</v>
      </c>
      <c r="DI34" s="13">
        <f t="shared" si="333"/>
        <v>43600</v>
      </c>
      <c r="DJ34" s="13">
        <f t="shared" si="333"/>
        <v>43600</v>
      </c>
      <c r="DK34" s="13">
        <f t="shared" si="333"/>
        <v>43600</v>
      </c>
      <c r="DL34" s="13">
        <f t="shared" si="333"/>
        <v>43600</v>
      </c>
      <c r="DM34" s="13">
        <f t="shared" si="333"/>
        <v>43600</v>
      </c>
      <c r="DN34" s="13">
        <f t="shared" si="333"/>
        <v>43600</v>
      </c>
      <c r="DO34" s="13">
        <f t="shared" si="333"/>
        <v>43600</v>
      </c>
      <c r="DP34" s="13">
        <f t="shared" si="333"/>
        <v>43600</v>
      </c>
      <c r="DQ34" s="13">
        <f t="shared" si="333"/>
        <v>43600</v>
      </c>
      <c r="DR34" s="13">
        <f t="shared" si="333"/>
        <v>43600</v>
      </c>
      <c r="DS34" s="13">
        <f t="shared" si="333"/>
        <v>44800.000000000007</v>
      </c>
      <c r="DT34" s="13">
        <f t="shared" si="333"/>
        <v>44800.000000000007</v>
      </c>
      <c r="DU34" s="13">
        <f t="shared" si="333"/>
        <v>44800.000000000007</v>
      </c>
      <c r="DV34" s="13">
        <f t="shared" si="333"/>
        <v>44800.000000000007</v>
      </c>
      <c r="DW34" s="13">
        <f t="shared" si="333"/>
        <v>44800.000000000007</v>
      </c>
      <c r="DX34" s="13">
        <f t="shared" si="333"/>
        <v>44800.000000000007</v>
      </c>
      <c r="DY34" s="13">
        <f t="shared" si="333"/>
        <v>44800.000000000007</v>
      </c>
      <c r="DZ34" s="13">
        <f t="shared" si="333"/>
        <v>44800.000000000007</v>
      </c>
      <c r="EA34" s="13">
        <f t="shared" si="334"/>
        <v>44800.000000000007</v>
      </c>
      <c r="EB34" s="13">
        <f t="shared" si="334"/>
        <v>44800.000000000007</v>
      </c>
      <c r="EC34" s="13">
        <f t="shared" si="334"/>
        <v>44800.000000000007</v>
      </c>
      <c r="ED34" s="13">
        <f t="shared" si="334"/>
        <v>44800.000000000007</v>
      </c>
      <c r="EE34" s="13">
        <f t="shared" si="334"/>
        <v>46000.000000000007</v>
      </c>
      <c r="EF34" s="13">
        <f t="shared" si="334"/>
        <v>46000.000000000007</v>
      </c>
      <c r="EG34" s="13">
        <f t="shared" si="334"/>
        <v>46000.000000000007</v>
      </c>
      <c r="EH34" s="13">
        <f t="shared" si="334"/>
        <v>46000.000000000007</v>
      </c>
      <c r="EI34" s="13">
        <f t="shared" si="334"/>
        <v>46000.000000000007</v>
      </c>
      <c r="EJ34" s="13">
        <f t="shared" si="334"/>
        <v>46000.000000000007</v>
      </c>
      <c r="EK34" s="13">
        <f t="shared" si="334"/>
        <v>46000.000000000007</v>
      </c>
      <c r="EL34" s="13">
        <f t="shared" si="334"/>
        <v>46000.000000000007</v>
      </c>
      <c r="EM34" s="13">
        <f t="shared" si="334"/>
        <v>46000.000000000007</v>
      </c>
      <c r="EN34" s="13">
        <f t="shared" si="334"/>
        <v>46000.000000000007</v>
      </c>
      <c r="EO34" s="13">
        <f t="shared" si="334"/>
        <v>46000.000000000007</v>
      </c>
      <c r="EP34" s="13">
        <f t="shared" si="334"/>
        <v>46000.000000000007</v>
      </c>
      <c r="EQ34" s="13">
        <f t="shared" si="334"/>
        <v>47200.000000000007</v>
      </c>
      <c r="ER34" s="13">
        <f t="shared" si="334"/>
        <v>47200.000000000007</v>
      </c>
      <c r="ES34" s="13">
        <f t="shared" si="334"/>
        <v>47200.000000000007</v>
      </c>
      <c r="ET34" s="13">
        <f t="shared" si="334"/>
        <v>47200.000000000007</v>
      </c>
      <c r="EU34" s="13">
        <f t="shared" si="334"/>
        <v>47200.000000000007</v>
      </c>
      <c r="EV34" s="13">
        <f t="shared" si="334"/>
        <v>47200.000000000007</v>
      </c>
      <c r="EW34" s="13">
        <f t="shared" si="334"/>
        <v>47200.000000000007</v>
      </c>
      <c r="EX34" s="13">
        <f t="shared" si="334"/>
        <v>47200.000000000007</v>
      </c>
      <c r="EY34" s="13">
        <f t="shared" si="334"/>
        <v>47200.000000000007</v>
      </c>
      <c r="EZ34" s="13">
        <f t="shared" si="334"/>
        <v>47200.000000000007</v>
      </c>
      <c r="FA34" s="13">
        <f t="shared" si="334"/>
        <v>47200.000000000007</v>
      </c>
      <c r="FB34" s="13">
        <f t="shared" si="334"/>
        <v>47200.000000000007</v>
      </c>
      <c r="FC34" s="13">
        <f t="shared" si="334"/>
        <v>48400.000000000007</v>
      </c>
      <c r="FD34" s="13">
        <f t="shared" si="334"/>
        <v>48400.000000000007</v>
      </c>
      <c r="FE34" s="13">
        <f t="shared" si="334"/>
        <v>48400.000000000007</v>
      </c>
      <c r="FF34" s="13">
        <f t="shared" si="334"/>
        <v>48400.000000000007</v>
      </c>
      <c r="FG34" s="13">
        <f t="shared" si="334"/>
        <v>48400.000000000007</v>
      </c>
      <c r="FH34" s="13">
        <f t="shared" si="334"/>
        <v>48400.000000000007</v>
      </c>
      <c r="FI34" s="13">
        <f t="shared" si="334"/>
        <v>48400.000000000007</v>
      </c>
      <c r="FJ34" s="13">
        <f t="shared" si="334"/>
        <v>48400.000000000007</v>
      </c>
      <c r="FK34" s="13">
        <f t="shared" si="334"/>
        <v>48400.000000000007</v>
      </c>
      <c r="FL34" s="13">
        <f t="shared" si="334"/>
        <v>48400.000000000007</v>
      </c>
      <c r="FM34" s="13">
        <f t="shared" si="334"/>
        <v>48400.000000000007</v>
      </c>
      <c r="FN34" s="13">
        <f t="shared" si="334"/>
        <v>48400.000000000007</v>
      </c>
      <c r="FO34" s="13">
        <f t="shared" si="334"/>
        <v>49600.000000000007</v>
      </c>
      <c r="FP34" s="13">
        <f t="shared" si="334"/>
        <v>49600.000000000007</v>
      </c>
      <c r="FQ34" s="13">
        <f t="shared" si="334"/>
        <v>49600.000000000007</v>
      </c>
      <c r="FR34" s="13">
        <f t="shared" si="334"/>
        <v>49600.000000000007</v>
      </c>
      <c r="FS34" s="13">
        <f t="shared" si="334"/>
        <v>49600.000000000007</v>
      </c>
      <c r="FT34" s="13">
        <f t="shared" si="334"/>
        <v>49600.000000000007</v>
      </c>
      <c r="FU34" s="13">
        <f t="shared" si="334"/>
        <v>49600.000000000007</v>
      </c>
      <c r="FV34" s="13">
        <f t="shared" si="334"/>
        <v>49600.000000000007</v>
      </c>
      <c r="FW34" s="13">
        <f t="shared" si="334"/>
        <v>49600.000000000007</v>
      </c>
      <c r="FX34" s="13">
        <f t="shared" si="334"/>
        <v>49600.000000000007</v>
      </c>
      <c r="FY34" s="13">
        <f t="shared" si="334"/>
        <v>49600.000000000007</v>
      </c>
      <c r="FZ34" s="13">
        <f t="shared" si="334"/>
        <v>49600.000000000007</v>
      </c>
      <c r="GA34" s="13">
        <f t="shared" si="335"/>
        <v>50800.000000000007</v>
      </c>
      <c r="GB34" s="13">
        <f t="shared" si="335"/>
        <v>50800.000000000007</v>
      </c>
      <c r="GC34" s="13">
        <f t="shared" si="335"/>
        <v>50800.000000000007</v>
      </c>
      <c r="GD34" s="13">
        <f t="shared" si="335"/>
        <v>50800.000000000007</v>
      </c>
      <c r="GE34" s="13">
        <f t="shared" si="335"/>
        <v>50800.000000000007</v>
      </c>
      <c r="GF34" s="13">
        <f t="shared" si="335"/>
        <v>50800.000000000007</v>
      </c>
      <c r="GG34" s="13">
        <f t="shared" si="335"/>
        <v>50800.000000000007</v>
      </c>
      <c r="GH34" s="13">
        <f t="shared" si="335"/>
        <v>50800.000000000007</v>
      </c>
      <c r="GI34" s="13">
        <f t="shared" si="335"/>
        <v>50800.000000000007</v>
      </c>
      <c r="GJ34" s="13">
        <f t="shared" si="335"/>
        <v>50800.000000000007</v>
      </c>
      <c r="GK34" s="13">
        <f t="shared" si="335"/>
        <v>50800.000000000007</v>
      </c>
      <c r="GL34" s="13">
        <f t="shared" si="335"/>
        <v>50800.000000000007</v>
      </c>
      <c r="GM34" s="13">
        <f t="shared" si="335"/>
        <v>52000.000000000007</v>
      </c>
      <c r="GN34" s="13">
        <f t="shared" si="335"/>
        <v>52000.000000000007</v>
      </c>
      <c r="GO34" s="13">
        <f t="shared" si="335"/>
        <v>52000.000000000007</v>
      </c>
      <c r="GP34" s="13">
        <f t="shared" si="335"/>
        <v>52000.000000000007</v>
      </c>
      <c r="GQ34" s="13">
        <f t="shared" si="335"/>
        <v>52000.000000000007</v>
      </c>
      <c r="GR34" s="13">
        <f t="shared" si="335"/>
        <v>52000.000000000007</v>
      </c>
      <c r="GS34" s="13">
        <f t="shared" si="335"/>
        <v>52000.000000000007</v>
      </c>
      <c r="GT34" s="13">
        <f t="shared" si="335"/>
        <v>52000.000000000007</v>
      </c>
      <c r="GU34" s="13">
        <f t="shared" si="335"/>
        <v>52000.000000000007</v>
      </c>
      <c r="GV34" s="13">
        <f t="shared" si="335"/>
        <v>52000.000000000007</v>
      </c>
      <c r="GW34" s="13">
        <f t="shared" si="335"/>
        <v>52000.000000000007</v>
      </c>
      <c r="GX34" s="13">
        <f t="shared" si="335"/>
        <v>52000.000000000007</v>
      </c>
      <c r="GY34" s="13">
        <f t="shared" si="335"/>
        <v>53200.000000000015</v>
      </c>
      <c r="GZ34" s="13">
        <f t="shared" si="335"/>
        <v>53200.000000000015</v>
      </c>
      <c r="HA34" s="13">
        <f t="shared" si="335"/>
        <v>53200.000000000015</v>
      </c>
      <c r="HB34" s="13">
        <f t="shared" si="335"/>
        <v>53200.000000000015</v>
      </c>
      <c r="HC34" s="13">
        <f t="shared" si="335"/>
        <v>53200.000000000015</v>
      </c>
      <c r="HD34" s="13">
        <f t="shared" si="335"/>
        <v>53200.000000000015</v>
      </c>
      <c r="HE34" s="13">
        <f t="shared" si="335"/>
        <v>53200.000000000015</v>
      </c>
      <c r="HF34" s="13">
        <f t="shared" si="335"/>
        <v>53200.000000000015</v>
      </c>
      <c r="HG34" s="13">
        <f t="shared" si="335"/>
        <v>53200.000000000015</v>
      </c>
      <c r="HH34" s="13">
        <f t="shared" si="335"/>
        <v>53200.000000000015</v>
      </c>
      <c r="HI34" s="13">
        <f t="shared" si="335"/>
        <v>53200.000000000015</v>
      </c>
      <c r="HJ34" s="13">
        <f t="shared" si="335"/>
        <v>53200.000000000015</v>
      </c>
      <c r="HK34" s="13">
        <f t="shared" si="335"/>
        <v>53200.000000000015</v>
      </c>
      <c r="HL34" s="13">
        <f t="shared" si="335"/>
        <v>53200.000000000015</v>
      </c>
      <c r="HM34" s="13">
        <f t="shared" si="335"/>
        <v>53200.000000000015</v>
      </c>
      <c r="HN34" s="13">
        <f t="shared" si="335"/>
        <v>53200.000000000015</v>
      </c>
      <c r="HO34" s="13">
        <f t="shared" si="335"/>
        <v>53200.000000000015</v>
      </c>
      <c r="HP34" s="13">
        <f t="shared" si="335"/>
        <v>53200.000000000015</v>
      </c>
      <c r="HQ34" s="13">
        <f t="shared" si="335"/>
        <v>53200.000000000015</v>
      </c>
      <c r="HR34" s="13">
        <f t="shared" si="335"/>
        <v>53200.000000000015</v>
      </c>
      <c r="HS34" s="13">
        <f t="shared" si="335"/>
        <v>53200.000000000015</v>
      </c>
      <c r="HT34" s="13">
        <f t="shared" si="335"/>
        <v>53200.000000000015</v>
      </c>
      <c r="HU34" s="13">
        <f t="shared" si="335"/>
        <v>53200.000000000015</v>
      </c>
      <c r="HV34" s="13">
        <f t="shared" si="335"/>
        <v>53200.000000000015</v>
      </c>
      <c r="HW34" s="13">
        <f t="shared" si="335"/>
        <v>53200.000000000015</v>
      </c>
      <c r="HX34" s="13">
        <f t="shared" si="335"/>
        <v>53200.000000000015</v>
      </c>
      <c r="HY34" s="13">
        <f t="shared" si="335"/>
        <v>53200.000000000015</v>
      </c>
      <c r="HZ34" s="13">
        <f t="shared" si="335"/>
        <v>53200.000000000015</v>
      </c>
      <c r="IA34" s="13">
        <f t="shared" si="335"/>
        <v>53200.000000000015</v>
      </c>
      <c r="IB34" s="13">
        <f t="shared" si="335"/>
        <v>53200.000000000015</v>
      </c>
      <c r="IC34" s="13">
        <f t="shared" si="335"/>
        <v>53200.000000000015</v>
      </c>
      <c r="ID34" s="13">
        <f t="shared" si="335"/>
        <v>53200.000000000015</v>
      </c>
      <c r="IE34" s="13">
        <f t="shared" si="335"/>
        <v>53200.000000000015</v>
      </c>
      <c r="IF34" s="13">
        <f t="shared" si="335"/>
        <v>53200.000000000015</v>
      </c>
      <c r="IG34" s="13">
        <f t="shared" si="335"/>
        <v>53200.000000000015</v>
      </c>
      <c r="IH34" s="13">
        <f t="shared" si="335"/>
        <v>53200.000000000015</v>
      </c>
      <c r="II34" s="69">
        <f t="shared" si="314"/>
        <v>9661200</v>
      </c>
    </row>
    <row r="35" spans="1:243" x14ac:dyDescent="0.45">
      <c r="A35" s="16" t="s">
        <v>234</v>
      </c>
      <c r="B35" s="18">
        <v>15000</v>
      </c>
      <c r="C35" s="13">
        <f t="shared" si="320"/>
        <v>3750</v>
      </c>
      <c r="D35" s="13">
        <f t="shared" si="336"/>
        <v>3750</v>
      </c>
      <c r="E35" s="13">
        <f t="shared" si="336"/>
        <v>3750</v>
      </c>
      <c r="F35" s="13">
        <f t="shared" si="336"/>
        <v>3750</v>
      </c>
      <c r="G35" s="13">
        <f t="shared" si="336"/>
        <v>3750</v>
      </c>
      <c r="H35" s="13">
        <f t="shared" si="336"/>
        <v>3750</v>
      </c>
      <c r="I35" s="13">
        <f t="shared" si="336"/>
        <v>3750</v>
      </c>
      <c r="J35" s="13">
        <f t="shared" si="336"/>
        <v>3750</v>
      </c>
      <c r="K35" s="13">
        <f t="shared" si="336"/>
        <v>3750</v>
      </c>
      <c r="L35" s="13">
        <f t="shared" si="336"/>
        <v>3750</v>
      </c>
      <c r="M35" s="13">
        <f t="shared" si="336"/>
        <v>3750</v>
      </c>
      <c r="N35" s="13">
        <f t="shared" si="336"/>
        <v>3750</v>
      </c>
      <c r="O35" s="13">
        <f t="shared" si="336"/>
        <v>3750</v>
      </c>
      <c r="P35" s="13">
        <f t="shared" si="336"/>
        <v>3750</v>
      </c>
      <c r="Q35" s="13">
        <f t="shared" si="336"/>
        <v>3750</v>
      </c>
      <c r="R35" s="13">
        <f t="shared" si="336"/>
        <v>3750</v>
      </c>
      <c r="S35" s="13">
        <f t="shared" si="336"/>
        <v>3750</v>
      </c>
      <c r="T35" s="13">
        <f t="shared" si="336"/>
        <v>3750</v>
      </c>
      <c r="U35" s="13">
        <f t="shared" si="336"/>
        <v>3750</v>
      </c>
      <c r="V35" s="13">
        <f t="shared" si="336"/>
        <v>3750</v>
      </c>
      <c r="W35" s="13">
        <f t="shared" si="336"/>
        <v>3750</v>
      </c>
      <c r="X35" s="13">
        <f t="shared" si="336"/>
        <v>3750</v>
      </c>
      <c r="Y35" s="13">
        <f t="shared" si="336"/>
        <v>3750</v>
      </c>
      <c r="Z35" s="13">
        <f t="shared" si="336"/>
        <v>3750</v>
      </c>
      <c r="AA35" s="13">
        <f t="shared" si="336"/>
        <v>11250</v>
      </c>
      <c r="AB35" s="13">
        <f t="shared" si="336"/>
        <v>11250</v>
      </c>
      <c r="AC35" s="13">
        <f t="shared" si="336"/>
        <v>11250</v>
      </c>
      <c r="AD35" s="13">
        <f t="shared" si="336"/>
        <v>11250</v>
      </c>
      <c r="AE35" s="13">
        <f t="shared" si="336"/>
        <v>11250</v>
      </c>
      <c r="AF35" s="13">
        <f t="shared" si="336"/>
        <v>11250</v>
      </c>
      <c r="AG35" s="13">
        <f t="shared" si="336"/>
        <v>11250</v>
      </c>
      <c r="AH35" s="13">
        <f t="shared" si="336"/>
        <v>11250</v>
      </c>
      <c r="AI35" s="13">
        <f t="shared" si="336"/>
        <v>11250</v>
      </c>
      <c r="AJ35" s="13">
        <f t="shared" si="336"/>
        <v>11250</v>
      </c>
      <c r="AK35" s="13">
        <f t="shared" si="336"/>
        <v>11250</v>
      </c>
      <c r="AL35" s="13">
        <f t="shared" si="336"/>
        <v>11250</v>
      </c>
      <c r="AM35" s="13">
        <f t="shared" si="336"/>
        <v>11250</v>
      </c>
      <c r="AN35" s="13">
        <f t="shared" si="336"/>
        <v>11250</v>
      </c>
      <c r="AO35" s="13">
        <f t="shared" si="336"/>
        <v>11250</v>
      </c>
      <c r="AP35" s="13">
        <f t="shared" si="336"/>
        <v>11250</v>
      </c>
      <c r="AQ35" s="13">
        <f t="shared" si="336"/>
        <v>11250</v>
      </c>
      <c r="AR35" s="13">
        <f t="shared" si="336"/>
        <v>11250</v>
      </c>
      <c r="AS35" s="13">
        <f t="shared" si="336"/>
        <v>11250</v>
      </c>
      <c r="AT35" s="13">
        <f t="shared" si="336"/>
        <v>11250</v>
      </c>
      <c r="AU35" s="13">
        <f t="shared" si="336"/>
        <v>11250</v>
      </c>
      <c r="AV35" s="13">
        <f t="shared" si="336"/>
        <v>11250</v>
      </c>
      <c r="AW35" s="13">
        <f t="shared" si="336"/>
        <v>11250</v>
      </c>
      <c r="AX35" s="13">
        <f t="shared" si="336"/>
        <v>11250</v>
      </c>
      <c r="AY35" s="13">
        <f t="shared" si="336"/>
        <v>11250</v>
      </c>
      <c r="AZ35" s="13">
        <f t="shared" si="336"/>
        <v>11250</v>
      </c>
      <c r="BA35" s="13">
        <f t="shared" si="336"/>
        <v>11250</v>
      </c>
      <c r="BB35" s="13">
        <f t="shared" si="336"/>
        <v>11250</v>
      </c>
      <c r="BC35" s="13">
        <f t="shared" si="336"/>
        <v>11250</v>
      </c>
      <c r="BD35" s="13">
        <f t="shared" si="336"/>
        <v>11250</v>
      </c>
      <c r="BE35" s="13">
        <f t="shared" si="336"/>
        <v>11250</v>
      </c>
      <c r="BF35" s="13">
        <f t="shared" si="336"/>
        <v>11250</v>
      </c>
      <c r="BG35" s="13">
        <f t="shared" si="336"/>
        <v>11250</v>
      </c>
      <c r="BH35" s="13">
        <f t="shared" si="336"/>
        <v>11250</v>
      </c>
      <c r="BI35" s="13">
        <f t="shared" si="336"/>
        <v>11250</v>
      </c>
      <c r="BJ35" s="13">
        <f t="shared" si="336"/>
        <v>11250</v>
      </c>
      <c r="BK35" s="13">
        <f t="shared" si="336"/>
        <v>11250</v>
      </c>
      <c r="BL35" s="13">
        <f t="shared" si="336"/>
        <v>11250</v>
      </c>
      <c r="BM35" s="13">
        <f t="shared" si="336"/>
        <v>11250</v>
      </c>
      <c r="BN35" s="13">
        <f t="shared" si="336"/>
        <v>11250</v>
      </c>
      <c r="BO35" s="13">
        <f t="shared" ref="BO35:DZ36" si="337">$B35*BO$9</f>
        <v>11250</v>
      </c>
      <c r="BP35" s="13">
        <f t="shared" si="337"/>
        <v>11250</v>
      </c>
      <c r="BQ35" s="13">
        <f t="shared" si="337"/>
        <v>11250</v>
      </c>
      <c r="BR35" s="13">
        <f t="shared" si="337"/>
        <v>11250</v>
      </c>
      <c r="BS35" s="13">
        <f t="shared" si="337"/>
        <v>11250</v>
      </c>
      <c r="BT35" s="13">
        <f t="shared" si="337"/>
        <v>11250</v>
      </c>
      <c r="BU35" s="13">
        <f t="shared" si="337"/>
        <v>11250</v>
      </c>
      <c r="BV35" s="13">
        <f t="shared" si="337"/>
        <v>11250</v>
      </c>
      <c r="BW35" s="13">
        <f t="shared" si="337"/>
        <v>15000</v>
      </c>
      <c r="BX35" s="13">
        <f t="shared" si="337"/>
        <v>15000</v>
      </c>
      <c r="BY35" s="13">
        <f t="shared" si="337"/>
        <v>15000</v>
      </c>
      <c r="BZ35" s="13">
        <f t="shared" si="337"/>
        <v>15000</v>
      </c>
      <c r="CA35" s="13">
        <f t="shared" si="337"/>
        <v>15000</v>
      </c>
      <c r="CB35" s="13">
        <f t="shared" si="337"/>
        <v>15000</v>
      </c>
      <c r="CC35" s="13">
        <f t="shared" si="337"/>
        <v>15000</v>
      </c>
      <c r="CD35" s="13">
        <f t="shared" si="337"/>
        <v>15000</v>
      </c>
      <c r="CE35" s="13">
        <f t="shared" si="337"/>
        <v>15000</v>
      </c>
      <c r="CF35" s="13">
        <f t="shared" si="337"/>
        <v>15000</v>
      </c>
      <c r="CG35" s="13">
        <f t="shared" si="337"/>
        <v>15000</v>
      </c>
      <c r="CH35" s="13">
        <f t="shared" si="337"/>
        <v>15000</v>
      </c>
      <c r="CI35" s="13">
        <f t="shared" si="337"/>
        <v>15000</v>
      </c>
      <c r="CJ35" s="13">
        <f t="shared" si="337"/>
        <v>15000</v>
      </c>
      <c r="CK35" s="13">
        <f t="shared" si="337"/>
        <v>15000</v>
      </c>
      <c r="CL35" s="13">
        <f t="shared" si="337"/>
        <v>15000</v>
      </c>
      <c r="CM35" s="13">
        <f t="shared" si="337"/>
        <v>15000</v>
      </c>
      <c r="CN35" s="13">
        <f t="shared" si="337"/>
        <v>15450</v>
      </c>
      <c r="CO35" s="13">
        <f t="shared" si="337"/>
        <v>15450</v>
      </c>
      <c r="CP35" s="13">
        <f t="shared" si="337"/>
        <v>15450</v>
      </c>
      <c r="CQ35" s="13">
        <f t="shared" si="337"/>
        <v>15450</v>
      </c>
      <c r="CR35" s="13">
        <f t="shared" si="337"/>
        <v>15450</v>
      </c>
      <c r="CS35" s="13">
        <f t="shared" si="337"/>
        <v>15450</v>
      </c>
      <c r="CT35" s="13">
        <f t="shared" si="337"/>
        <v>15450</v>
      </c>
      <c r="CU35" s="13">
        <f t="shared" si="337"/>
        <v>15900</v>
      </c>
      <c r="CV35" s="13">
        <f t="shared" si="337"/>
        <v>15900</v>
      </c>
      <c r="CW35" s="13">
        <f t="shared" si="337"/>
        <v>15900</v>
      </c>
      <c r="CX35" s="13">
        <f t="shared" si="337"/>
        <v>15900</v>
      </c>
      <c r="CY35" s="13">
        <f t="shared" si="337"/>
        <v>15900</v>
      </c>
      <c r="CZ35" s="13">
        <f t="shared" si="337"/>
        <v>15900</v>
      </c>
      <c r="DA35" s="13">
        <f t="shared" si="337"/>
        <v>15900</v>
      </c>
      <c r="DB35" s="13">
        <f t="shared" si="337"/>
        <v>15900</v>
      </c>
      <c r="DC35" s="13">
        <f t="shared" si="337"/>
        <v>15900</v>
      </c>
      <c r="DD35" s="13">
        <f t="shared" si="337"/>
        <v>15900</v>
      </c>
      <c r="DE35" s="13">
        <f t="shared" si="337"/>
        <v>15900</v>
      </c>
      <c r="DF35" s="13">
        <f t="shared" si="337"/>
        <v>15900</v>
      </c>
      <c r="DG35" s="13">
        <f t="shared" si="337"/>
        <v>16350.000000000002</v>
      </c>
      <c r="DH35" s="13">
        <f t="shared" si="337"/>
        <v>16350.000000000002</v>
      </c>
      <c r="DI35" s="13">
        <f t="shared" si="337"/>
        <v>16350.000000000002</v>
      </c>
      <c r="DJ35" s="13">
        <f t="shared" si="337"/>
        <v>16350.000000000002</v>
      </c>
      <c r="DK35" s="13">
        <f t="shared" si="337"/>
        <v>16350.000000000002</v>
      </c>
      <c r="DL35" s="13">
        <f t="shared" si="337"/>
        <v>16350.000000000002</v>
      </c>
      <c r="DM35" s="13">
        <f t="shared" si="337"/>
        <v>16350.000000000002</v>
      </c>
      <c r="DN35" s="13">
        <f t="shared" si="337"/>
        <v>16350.000000000002</v>
      </c>
      <c r="DO35" s="13">
        <f t="shared" si="337"/>
        <v>16350.000000000002</v>
      </c>
      <c r="DP35" s="13">
        <f t="shared" si="337"/>
        <v>16350.000000000002</v>
      </c>
      <c r="DQ35" s="13">
        <f t="shared" si="337"/>
        <v>16350.000000000002</v>
      </c>
      <c r="DR35" s="13">
        <f t="shared" si="337"/>
        <v>16350.000000000002</v>
      </c>
      <c r="DS35" s="13">
        <f t="shared" si="337"/>
        <v>16800</v>
      </c>
      <c r="DT35" s="13">
        <f t="shared" si="337"/>
        <v>16800</v>
      </c>
      <c r="DU35" s="13">
        <f t="shared" si="337"/>
        <v>16800</v>
      </c>
      <c r="DV35" s="13">
        <f t="shared" si="337"/>
        <v>16800</v>
      </c>
      <c r="DW35" s="13">
        <f t="shared" si="337"/>
        <v>16800</v>
      </c>
      <c r="DX35" s="13">
        <f t="shared" si="337"/>
        <v>16800</v>
      </c>
      <c r="DY35" s="13">
        <f t="shared" si="337"/>
        <v>16800</v>
      </c>
      <c r="DZ35" s="13">
        <f t="shared" si="337"/>
        <v>16800</v>
      </c>
      <c r="EA35" s="13">
        <f t="shared" si="334"/>
        <v>16800</v>
      </c>
      <c r="EB35" s="13">
        <f t="shared" si="334"/>
        <v>16800</v>
      </c>
      <c r="EC35" s="13">
        <f t="shared" si="334"/>
        <v>16800</v>
      </c>
      <c r="ED35" s="13">
        <f t="shared" si="334"/>
        <v>16800</v>
      </c>
      <c r="EE35" s="13">
        <f t="shared" si="334"/>
        <v>17250.000000000004</v>
      </c>
      <c r="EF35" s="13">
        <f t="shared" si="334"/>
        <v>17250.000000000004</v>
      </c>
      <c r="EG35" s="13">
        <f t="shared" si="334"/>
        <v>17250.000000000004</v>
      </c>
      <c r="EH35" s="13">
        <f t="shared" si="334"/>
        <v>17250.000000000004</v>
      </c>
      <c r="EI35" s="13">
        <f t="shared" si="334"/>
        <v>17250.000000000004</v>
      </c>
      <c r="EJ35" s="13">
        <f t="shared" si="334"/>
        <v>17250.000000000004</v>
      </c>
      <c r="EK35" s="13">
        <f t="shared" si="334"/>
        <v>17250.000000000004</v>
      </c>
      <c r="EL35" s="13">
        <f t="shared" si="334"/>
        <v>17250.000000000004</v>
      </c>
      <c r="EM35" s="13">
        <f t="shared" si="334"/>
        <v>17250.000000000004</v>
      </c>
      <c r="EN35" s="13">
        <f t="shared" si="334"/>
        <v>17250.000000000004</v>
      </c>
      <c r="EO35" s="13">
        <f t="shared" si="334"/>
        <v>17250.000000000004</v>
      </c>
      <c r="EP35" s="13">
        <f t="shared" si="334"/>
        <v>17250.000000000004</v>
      </c>
      <c r="EQ35" s="13">
        <f t="shared" si="334"/>
        <v>17700.000000000004</v>
      </c>
      <c r="ER35" s="13">
        <f t="shared" si="334"/>
        <v>17700.000000000004</v>
      </c>
      <c r="ES35" s="13">
        <f t="shared" si="334"/>
        <v>17700.000000000004</v>
      </c>
      <c r="ET35" s="13">
        <f t="shared" si="334"/>
        <v>17700.000000000004</v>
      </c>
      <c r="EU35" s="13">
        <f t="shared" si="334"/>
        <v>17700.000000000004</v>
      </c>
      <c r="EV35" s="13">
        <f t="shared" si="334"/>
        <v>17700.000000000004</v>
      </c>
      <c r="EW35" s="13">
        <f t="shared" si="334"/>
        <v>17700.000000000004</v>
      </c>
      <c r="EX35" s="13">
        <f t="shared" si="334"/>
        <v>17700.000000000004</v>
      </c>
      <c r="EY35" s="13">
        <f t="shared" si="334"/>
        <v>17700.000000000004</v>
      </c>
      <c r="EZ35" s="13">
        <f t="shared" si="334"/>
        <v>17700.000000000004</v>
      </c>
      <c r="FA35" s="13">
        <f t="shared" si="334"/>
        <v>17700.000000000004</v>
      </c>
      <c r="FB35" s="13">
        <f t="shared" si="334"/>
        <v>17700.000000000004</v>
      </c>
      <c r="FC35" s="13">
        <f t="shared" si="334"/>
        <v>18150.000000000004</v>
      </c>
      <c r="FD35" s="13">
        <f t="shared" si="334"/>
        <v>18150.000000000004</v>
      </c>
      <c r="FE35" s="13">
        <f t="shared" si="334"/>
        <v>18150.000000000004</v>
      </c>
      <c r="FF35" s="13">
        <f t="shared" si="334"/>
        <v>18150.000000000004</v>
      </c>
      <c r="FG35" s="13">
        <f t="shared" si="334"/>
        <v>18150.000000000004</v>
      </c>
      <c r="FH35" s="13">
        <f t="shared" si="334"/>
        <v>18150.000000000004</v>
      </c>
      <c r="FI35" s="13">
        <f t="shared" si="334"/>
        <v>18150.000000000004</v>
      </c>
      <c r="FJ35" s="13">
        <f t="shared" si="334"/>
        <v>18150.000000000004</v>
      </c>
      <c r="FK35" s="13">
        <f t="shared" si="334"/>
        <v>18150.000000000004</v>
      </c>
      <c r="FL35" s="13">
        <f t="shared" si="334"/>
        <v>18150.000000000004</v>
      </c>
      <c r="FM35" s="13">
        <f t="shared" si="334"/>
        <v>18150.000000000004</v>
      </c>
      <c r="FN35" s="13">
        <f t="shared" si="334"/>
        <v>18150.000000000004</v>
      </c>
      <c r="FO35" s="13">
        <f t="shared" si="334"/>
        <v>18600.000000000004</v>
      </c>
      <c r="FP35" s="13">
        <f t="shared" si="334"/>
        <v>18600.000000000004</v>
      </c>
      <c r="FQ35" s="13">
        <f t="shared" si="334"/>
        <v>18600.000000000004</v>
      </c>
      <c r="FR35" s="13">
        <f t="shared" si="334"/>
        <v>18600.000000000004</v>
      </c>
      <c r="FS35" s="13">
        <f t="shared" si="334"/>
        <v>18600.000000000004</v>
      </c>
      <c r="FT35" s="13">
        <f t="shared" si="334"/>
        <v>18600.000000000004</v>
      </c>
      <c r="FU35" s="13">
        <f t="shared" si="334"/>
        <v>18600.000000000004</v>
      </c>
      <c r="FV35" s="13">
        <f t="shared" ref="FV35:IG36" si="338">$B35*FV$9</f>
        <v>18600.000000000004</v>
      </c>
      <c r="FW35" s="13">
        <f t="shared" si="338"/>
        <v>18600.000000000004</v>
      </c>
      <c r="FX35" s="13">
        <f t="shared" si="338"/>
        <v>18600.000000000004</v>
      </c>
      <c r="FY35" s="13">
        <f t="shared" si="338"/>
        <v>18600.000000000004</v>
      </c>
      <c r="FZ35" s="13">
        <f t="shared" si="338"/>
        <v>18600.000000000004</v>
      </c>
      <c r="GA35" s="13">
        <f t="shared" si="338"/>
        <v>19050.000000000004</v>
      </c>
      <c r="GB35" s="13">
        <f t="shared" si="338"/>
        <v>19050.000000000004</v>
      </c>
      <c r="GC35" s="13">
        <f t="shared" si="338"/>
        <v>19050.000000000004</v>
      </c>
      <c r="GD35" s="13">
        <f t="shared" si="338"/>
        <v>19050.000000000004</v>
      </c>
      <c r="GE35" s="13">
        <f t="shared" si="338"/>
        <v>19050.000000000004</v>
      </c>
      <c r="GF35" s="13">
        <f t="shared" si="338"/>
        <v>19050.000000000004</v>
      </c>
      <c r="GG35" s="13">
        <f t="shared" si="338"/>
        <v>19050.000000000004</v>
      </c>
      <c r="GH35" s="13">
        <f t="shared" si="338"/>
        <v>19050.000000000004</v>
      </c>
      <c r="GI35" s="13">
        <f t="shared" si="338"/>
        <v>19050.000000000004</v>
      </c>
      <c r="GJ35" s="13">
        <f t="shared" si="338"/>
        <v>19050.000000000004</v>
      </c>
      <c r="GK35" s="13">
        <f t="shared" si="338"/>
        <v>19050.000000000004</v>
      </c>
      <c r="GL35" s="13">
        <f t="shared" si="338"/>
        <v>19050.000000000004</v>
      </c>
      <c r="GM35" s="13">
        <f t="shared" si="338"/>
        <v>19500.000000000004</v>
      </c>
      <c r="GN35" s="13">
        <f t="shared" si="338"/>
        <v>19500.000000000004</v>
      </c>
      <c r="GO35" s="13">
        <f t="shared" si="338"/>
        <v>19500.000000000004</v>
      </c>
      <c r="GP35" s="13">
        <f t="shared" si="338"/>
        <v>19500.000000000004</v>
      </c>
      <c r="GQ35" s="13">
        <f t="shared" si="338"/>
        <v>19500.000000000004</v>
      </c>
      <c r="GR35" s="13">
        <f t="shared" si="338"/>
        <v>19500.000000000004</v>
      </c>
      <c r="GS35" s="13">
        <f t="shared" si="338"/>
        <v>19500.000000000004</v>
      </c>
      <c r="GT35" s="13">
        <f t="shared" si="338"/>
        <v>19500.000000000004</v>
      </c>
      <c r="GU35" s="13">
        <f t="shared" si="338"/>
        <v>19500.000000000004</v>
      </c>
      <c r="GV35" s="13">
        <f t="shared" si="338"/>
        <v>19500.000000000004</v>
      </c>
      <c r="GW35" s="13">
        <f t="shared" si="338"/>
        <v>19500.000000000004</v>
      </c>
      <c r="GX35" s="13">
        <f t="shared" si="338"/>
        <v>19500.000000000004</v>
      </c>
      <c r="GY35" s="13">
        <f t="shared" si="338"/>
        <v>19950.000000000004</v>
      </c>
      <c r="GZ35" s="13">
        <f t="shared" si="338"/>
        <v>19950.000000000004</v>
      </c>
      <c r="HA35" s="13">
        <f t="shared" si="338"/>
        <v>19950.000000000004</v>
      </c>
      <c r="HB35" s="13">
        <f t="shared" si="338"/>
        <v>19950.000000000004</v>
      </c>
      <c r="HC35" s="13">
        <f t="shared" si="338"/>
        <v>19950.000000000004</v>
      </c>
      <c r="HD35" s="13">
        <f t="shared" si="338"/>
        <v>19950.000000000004</v>
      </c>
      <c r="HE35" s="13">
        <f t="shared" si="338"/>
        <v>19950.000000000004</v>
      </c>
      <c r="HF35" s="13">
        <f t="shared" si="338"/>
        <v>19950.000000000004</v>
      </c>
      <c r="HG35" s="13">
        <f t="shared" si="338"/>
        <v>19950.000000000004</v>
      </c>
      <c r="HH35" s="13">
        <f t="shared" si="338"/>
        <v>19950.000000000004</v>
      </c>
      <c r="HI35" s="13">
        <f t="shared" si="338"/>
        <v>19950.000000000004</v>
      </c>
      <c r="HJ35" s="13">
        <f t="shared" si="338"/>
        <v>19950.000000000004</v>
      </c>
      <c r="HK35" s="13">
        <f t="shared" si="338"/>
        <v>19950.000000000004</v>
      </c>
      <c r="HL35" s="13">
        <f t="shared" si="338"/>
        <v>19950.000000000004</v>
      </c>
      <c r="HM35" s="13">
        <f t="shared" si="338"/>
        <v>19950.000000000004</v>
      </c>
      <c r="HN35" s="13">
        <f t="shared" si="338"/>
        <v>19950.000000000004</v>
      </c>
      <c r="HO35" s="13">
        <f t="shared" si="338"/>
        <v>19950.000000000004</v>
      </c>
      <c r="HP35" s="13">
        <f t="shared" si="338"/>
        <v>19950.000000000004</v>
      </c>
      <c r="HQ35" s="13">
        <f t="shared" si="338"/>
        <v>19950.000000000004</v>
      </c>
      <c r="HR35" s="13">
        <f t="shared" si="338"/>
        <v>19950.000000000004</v>
      </c>
      <c r="HS35" s="13">
        <f t="shared" si="338"/>
        <v>19950.000000000004</v>
      </c>
      <c r="HT35" s="13">
        <f t="shared" si="338"/>
        <v>19950.000000000004</v>
      </c>
      <c r="HU35" s="13">
        <f t="shared" si="338"/>
        <v>19950.000000000004</v>
      </c>
      <c r="HV35" s="13">
        <f t="shared" si="338"/>
        <v>19950.000000000004</v>
      </c>
      <c r="HW35" s="13">
        <f t="shared" si="338"/>
        <v>19950.000000000004</v>
      </c>
      <c r="HX35" s="13">
        <f t="shared" si="338"/>
        <v>19950.000000000004</v>
      </c>
      <c r="HY35" s="13">
        <f t="shared" si="338"/>
        <v>19950.000000000004</v>
      </c>
      <c r="HZ35" s="13">
        <f t="shared" si="338"/>
        <v>19950.000000000004</v>
      </c>
      <c r="IA35" s="13">
        <f t="shared" si="338"/>
        <v>19950.000000000004</v>
      </c>
      <c r="IB35" s="13">
        <f t="shared" si="338"/>
        <v>19950.000000000004</v>
      </c>
      <c r="IC35" s="13">
        <f t="shared" si="338"/>
        <v>19950.000000000004</v>
      </c>
      <c r="ID35" s="13">
        <f t="shared" si="338"/>
        <v>19950.000000000004</v>
      </c>
      <c r="IE35" s="13">
        <f t="shared" si="338"/>
        <v>19950.000000000004</v>
      </c>
      <c r="IF35" s="13">
        <f t="shared" si="338"/>
        <v>19950.000000000004</v>
      </c>
      <c r="IG35" s="13">
        <f t="shared" si="338"/>
        <v>19950.000000000004</v>
      </c>
      <c r="IH35" s="13">
        <f t="shared" ref="IH35:IH36" si="339">$B35*IH$9</f>
        <v>19950.000000000004</v>
      </c>
      <c r="II35" s="69">
        <f t="shared" si="314"/>
        <v>3622950</v>
      </c>
    </row>
    <row r="36" spans="1:243" x14ac:dyDescent="0.45">
      <c r="A36" s="16" t="s">
        <v>235</v>
      </c>
      <c r="B36" s="18">
        <v>30000</v>
      </c>
      <c r="C36" s="18">
        <v>200000</v>
      </c>
      <c r="D36" s="13">
        <f t="shared" ref="D36:BO36" si="340">$B36*D$9</f>
        <v>7500</v>
      </c>
      <c r="E36" s="13">
        <f t="shared" si="340"/>
        <v>7500</v>
      </c>
      <c r="F36" s="13">
        <f t="shared" si="340"/>
        <v>7500</v>
      </c>
      <c r="G36" s="13">
        <f t="shared" si="340"/>
        <v>7500</v>
      </c>
      <c r="H36" s="13">
        <f t="shared" si="340"/>
        <v>7500</v>
      </c>
      <c r="I36" s="13">
        <f t="shared" si="340"/>
        <v>7500</v>
      </c>
      <c r="J36" s="13">
        <f t="shared" si="340"/>
        <v>7500</v>
      </c>
      <c r="K36" s="13">
        <f t="shared" si="340"/>
        <v>7500</v>
      </c>
      <c r="L36" s="13">
        <f t="shared" si="340"/>
        <v>7500</v>
      </c>
      <c r="M36" s="13">
        <f t="shared" si="340"/>
        <v>7500</v>
      </c>
      <c r="N36" s="13">
        <f t="shared" si="340"/>
        <v>7500</v>
      </c>
      <c r="O36" s="13">
        <f t="shared" si="340"/>
        <v>7500</v>
      </c>
      <c r="P36" s="13">
        <f t="shared" si="340"/>
        <v>7500</v>
      </c>
      <c r="Q36" s="13">
        <f t="shared" si="340"/>
        <v>7500</v>
      </c>
      <c r="R36" s="13">
        <f t="shared" si="340"/>
        <v>7500</v>
      </c>
      <c r="S36" s="13">
        <f t="shared" si="340"/>
        <v>7500</v>
      </c>
      <c r="T36" s="13">
        <f t="shared" si="340"/>
        <v>7500</v>
      </c>
      <c r="U36" s="13">
        <f t="shared" si="340"/>
        <v>7500</v>
      </c>
      <c r="V36" s="13">
        <f t="shared" si="340"/>
        <v>7500</v>
      </c>
      <c r="W36" s="13">
        <f t="shared" si="340"/>
        <v>7500</v>
      </c>
      <c r="X36" s="13">
        <f t="shared" si="340"/>
        <v>7500</v>
      </c>
      <c r="Y36" s="13">
        <f t="shared" si="340"/>
        <v>7500</v>
      </c>
      <c r="Z36" s="13">
        <f t="shared" si="340"/>
        <v>7500</v>
      </c>
      <c r="AA36" s="13">
        <f t="shared" si="340"/>
        <v>22500</v>
      </c>
      <c r="AB36" s="13">
        <f t="shared" si="340"/>
        <v>22500</v>
      </c>
      <c r="AC36" s="13">
        <f t="shared" si="340"/>
        <v>22500</v>
      </c>
      <c r="AD36" s="13">
        <f t="shared" si="340"/>
        <v>22500</v>
      </c>
      <c r="AE36" s="13">
        <f t="shared" si="340"/>
        <v>22500</v>
      </c>
      <c r="AF36" s="13">
        <f t="shared" si="340"/>
        <v>22500</v>
      </c>
      <c r="AG36" s="13">
        <f t="shared" si="340"/>
        <v>22500</v>
      </c>
      <c r="AH36" s="13">
        <f t="shared" si="340"/>
        <v>22500</v>
      </c>
      <c r="AI36" s="13">
        <f t="shared" si="340"/>
        <v>22500</v>
      </c>
      <c r="AJ36" s="13">
        <f t="shared" si="340"/>
        <v>22500</v>
      </c>
      <c r="AK36" s="13">
        <f t="shared" si="340"/>
        <v>22500</v>
      </c>
      <c r="AL36" s="13">
        <f t="shared" si="340"/>
        <v>22500</v>
      </c>
      <c r="AM36" s="13">
        <f t="shared" si="340"/>
        <v>22500</v>
      </c>
      <c r="AN36" s="13">
        <f t="shared" si="340"/>
        <v>22500</v>
      </c>
      <c r="AO36" s="13">
        <f t="shared" si="340"/>
        <v>22500</v>
      </c>
      <c r="AP36" s="13">
        <f t="shared" si="340"/>
        <v>22500</v>
      </c>
      <c r="AQ36" s="13">
        <f t="shared" si="340"/>
        <v>22500</v>
      </c>
      <c r="AR36" s="13">
        <f t="shared" si="340"/>
        <v>22500</v>
      </c>
      <c r="AS36" s="13">
        <f t="shared" si="340"/>
        <v>22500</v>
      </c>
      <c r="AT36" s="13">
        <f t="shared" si="340"/>
        <v>22500</v>
      </c>
      <c r="AU36" s="13">
        <f t="shared" si="340"/>
        <v>22500</v>
      </c>
      <c r="AV36" s="13">
        <f t="shared" si="340"/>
        <v>22500</v>
      </c>
      <c r="AW36" s="13">
        <f t="shared" si="340"/>
        <v>22500</v>
      </c>
      <c r="AX36" s="13">
        <f t="shared" si="340"/>
        <v>22500</v>
      </c>
      <c r="AY36" s="13">
        <f t="shared" si="340"/>
        <v>22500</v>
      </c>
      <c r="AZ36" s="13">
        <f t="shared" si="340"/>
        <v>22500</v>
      </c>
      <c r="BA36" s="13">
        <f t="shared" si="340"/>
        <v>22500</v>
      </c>
      <c r="BB36" s="13">
        <f t="shared" si="340"/>
        <v>22500</v>
      </c>
      <c r="BC36" s="13">
        <f t="shared" si="340"/>
        <v>22500</v>
      </c>
      <c r="BD36" s="13">
        <f t="shared" si="340"/>
        <v>22500</v>
      </c>
      <c r="BE36" s="13">
        <f t="shared" si="340"/>
        <v>22500</v>
      </c>
      <c r="BF36" s="13">
        <f t="shared" si="340"/>
        <v>22500</v>
      </c>
      <c r="BG36" s="13">
        <f t="shared" si="340"/>
        <v>22500</v>
      </c>
      <c r="BH36" s="13">
        <f t="shared" si="340"/>
        <v>22500</v>
      </c>
      <c r="BI36" s="13">
        <f t="shared" si="340"/>
        <v>22500</v>
      </c>
      <c r="BJ36" s="13">
        <f t="shared" si="340"/>
        <v>22500</v>
      </c>
      <c r="BK36" s="13">
        <f t="shared" si="340"/>
        <v>22500</v>
      </c>
      <c r="BL36" s="13">
        <f t="shared" si="340"/>
        <v>22500</v>
      </c>
      <c r="BM36" s="13">
        <f t="shared" si="340"/>
        <v>22500</v>
      </c>
      <c r="BN36" s="13">
        <f t="shared" si="340"/>
        <v>22500</v>
      </c>
      <c r="BO36" s="13">
        <f t="shared" si="340"/>
        <v>22500</v>
      </c>
      <c r="BP36" s="13">
        <f t="shared" si="337"/>
        <v>22500</v>
      </c>
      <c r="BQ36" s="13">
        <f t="shared" si="337"/>
        <v>22500</v>
      </c>
      <c r="BR36" s="13">
        <f t="shared" si="337"/>
        <v>22500</v>
      </c>
      <c r="BS36" s="13">
        <f t="shared" si="337"/>
        <v>22500</v>
      </c>
      <c r="BT36" s="13">
        <f t="shared" si="337"/>
        <v>22500</v>
      </c>
      <c r="BU36" s="13">
        <f t="shared" si="337"/>
        <v>22500</v>
      </c>
      <c r="BV36" s="13">
        <f t="shared" si="337"/>
        <v>22500</v>
      </c>
      <c r="BW36" s="13">
        <f t="shared" si="337"/>
        <v>30000</v>
      </c>
      <c r="BX36" s="13">
        <f t="shared" si="337"/>
        <v>30000</v>
      </c>
      <c r="BY36" s="13">
        <f t="shared" si="337"/>
        <v>30000</v>
      </c>
      <c r="BZ36" s="13">
        <f t="shared" si="337"/>
        <v>30000</v>
      </c>
      <c r="CA36" s="13">
        <f t="shared" si="337"/>
        <v>30000</v>
      </c>
      <c r="CB36" s="13">
        <f t="shared" si="337"/>
        <v>30000</v>
      </c>
      <c r="CC36" s="13">
        <f t="shared" si="337"/>
        <v>30000</v>
      </c>
      <c r="CD36" s="13">
        <f t="shared" si="337"/>
        <v>30000</v>
      </c>
      <c r="CE36" s="13">
        <f t="shared" si="337"/>
        <v>30000</v>
      </c>
      <c r="CF36" s="13">
        <f t="shared" si="337"/>
        <v>30000</v>
      </c>
      <c r="CG36" s="13">
        <f t="shared" si="337"/>
        <v>30000</v>
      </c>
      <c r="CH36" s="13">
        <f t="shared" si="337"/>
        <v>30000</v>
      </c>
      <c r="CI36" s="13">
        <f t="shared" si="337"/>
        <v>30000</v>
      </c>
      <c r="CJ36" s="13">
        <f t="shared" si="337"/>
        <v>30000</v>
      </c>
      <c r="CK36" s="13">
        <f t="shared" si="337"/>
        <v>30000</v>
      </c>
      <c r="CL36" s="13">
        <f t="shared" si="337"/>
        <v>30000</v>
      </c>
      <c r="CM36" s="13">
        <f t="shared" si="337"/>
        <v>30000</v>
      </c>
      <c r="CN36" s="13">
        <f t="shared" si="337"/>
        <v>30900</v>
      </c>
      <c r="CO36" s="13">
        <f t="shared" si="337"/>
        <v>30900</v>
      </c>
      <c r="CP36" s="13">
        <f t="shared" si="337"/>
        <v>30900</v>
      </c>
      <c r="CQ36" s="13">
        <f t="shared" si="337"/>
        <v>30900</v>
      </c>
      <c r="CR36" s="13">
        <f t="shared" si="337"/>
        <v>30900</v>
      </c>
      <c r="CS36" s="13">
        <f t="shared" si="337"/>
        <v>30900</v>
      </c>
      <c r="CT36" s="13">
        <f t="shared" si="337"/>
        <v>30900</v>
      </c>
      <c r="CU36" s="13">
        <f t="shared" si="337"/>
        <v>31800</v>
      </c>
      <c r="CV36" s="13">
        <f t="shared" si="337"/>
        <v>31800</v>
      </c>
      <c r="CW36" s="13">
        <f t="shared" si="337"/>
        <v>31800</v>
      </c>
      <c r="CX36" s="13">
        <f t="shared" si="337"/>
        <v>31800</v>
      </c>
      <c r="CY36" s="13">
        <f t="shared" si="337"/>
        <v>31800</v>
      </c>
      <c r="CZ36" s="13">
        <f t="shared" si="337"/>
        <v>31800</v>
      </c>
      <c r="DA36" s="13">
        <f t="shared" si="337"/>
        <v>31800</v>
      </c>
      <c r="DB36" s="13">
        <f t="shared" si="337"/>
        <v>31800</v>
      </c>
      <c r="DC36" s="13">
        <f t="shared" si="337"/>
        <v>31800</v>
      </c>
      <c r="DD36" s="13">
        <f t="shared" si="337"/>
        <v>31800</v>
      </c>
      <c r="DE36" s="13">
        <f t="shared" si="337"/>
        <v>31800</v>
      </c>
      <c r="DF36" s="13">
        <f t="shared" si="337"/>
        <v>31800</v>
      </c>
      <c r="DG36" s="13">
        <f t="shared" si="337"/>
        <v>32700.000000000004</v>
      </c>
      <c r="DH36" s="13">
        <f t="shared" si="337"/>
        <v>32700.000000000004</v>
      </c>
      <c r="DI36" s="13">
        <f t="shared" si="337"/>
        <v>32700.000000000004</v>
      </c>
      <c r="DJ36" s="13">
        <f t="shared" si="337"/>
        <v>32700.000000000004</v>
      </c>
      <c r="DK36" s="13">
        <f t="shared" si="337"/>
        <v>32700.000000000004</v>
      </c>
      <c r="DL36" s="13">
        <f t="shared" si="337"/>
        <v>32700.000000000004</v>
      </c>
      <c r="DM36" s="13">
        <f t="shared" si="337"/>
        <v>32700.000000000004</v>
      </c>
      <c r="DN36" s="13">
        <f t="shared" si="337"/>
        <v>32700.000000000004</v>
      </c>
      <c r="DO36" s="13">
        <f t="shared" si="337"/>
        <v>32700.000000000004</v>
      </c>
      <c r="DP36" s="13">
        <f t="shared" si="337"/>
        <v>32700.000000000004</v>
      </c>
      <c r="DQ36" s="13">
        <f t="shared" si="337"/>
        <v>32700.000000000004</v>
      </c>
      <c r="DR36" s="13">
        <f t="shared" si="337"/>
        <v>32700.000000000004</v>
      </c>
      <c r="DS36" s="13">
        <f t="shared" si="337"/>
        <v>33600</v>
      </c>
      <c r="DT36" s="13">
        <f t="shared" si="337"/>
        <v>33600</v>
      </c>
      <c r="DU36" s="13">
        <f t="shared" si="337"/>
        <v>33600</v>
      </c>
      <c r="DV36" s="13">
        <f t="shared" si="337"/>
        <v>33600</v>
      </c>
      <c r="DW36" s="13">
        <f t="shared" si="337"/>
        <v>33600</v>
      </c>
      <c r="DX36" s="13">
        <f t="shared" si="337"/>
        <v>33600</v>
      </c>
      <c r="DY36" s="13">
        <f t="shared" si="337"/>
        <v>33600</v>
      </c>
      <c r="DZ36" s="13">
        <f t="shared" si="337"/>
        <v>33600</v>
      </c>
      <c r="EA36" s="13">
        <f t="shared" ref="EA36:FZ36" si="341">$B36*EA$9</f>
        <v>33600</v>
      </c>
      <c r="EB36" s="13">
        <f t="shared" si="341"/>
        <v>33600</v>
      </c>
      <c r="EC36" s="13">
        <f t="shared" si="341"/>
        <v>33600</v>
      </c>
      <c r="ED36" s="13">
        <f t="shared" si="341"/>
        <v>33600</v>
      </c>
      <c r="EE36" s="13">
        <f t="shared" si="341"/>
        <v>34500.000000000007</v>
      </c>
      <c r="EF36" s="13">
        <f t="shared" si="341"/>
        <v>34500.000000000007</v>
      </c>
      <c r="EG36" s="13">
        <f t="shared" si="341"/>
        <v>34500.000000000007</v>
      </c>
      <c r="EH36" s="13">
        <f t="shared" si="341"/>
        <v>34500.000000000007</v>
      </c>
      <c r="EI36" s="13">
        <f t="shared" si="341"/>
        <v>34500.000000000007</v>
      </c>
      <c r="EJ36" s="13">
        <f t="shared" si="341"/>
        <v>34500.000000000007</v>
      </c>
      <c r="EK36" s="13">
        <f t="shared" si="341"/>
        <v>34500.000000000007</v>
      </c>
      <c r="EL36" s="13">
        <f t="shared" si="341"/>
        <v>34500.000000000007</v>
      </c>
      <c r="EM36" s="13">
        <f t="shared" si="341"/>
        <v>34500.000000000007</v>
      </c>
      <c r="EN36" s="13">
        <f t="shared" si="341"/>
        <v>34500.000000000007</v>
      </c>
      <c r="EO36" s="13">
        <f t="shared" si="341"/>
        <v>34500.000000000007</v>
      </c>
      <c r="EP36" s="13">
        <f t="shared" si="341"/>
        <v>34500.000000000007</v>
      </c>
      <c r="EQ36" s="13">
        <f t="shared" si="341"/>
        <v>35400.000000000007</v>
      </c>
      <c r="ER36" s="13">
        <f t="shared" si="341"/>
        <v>35400.000000000007</v>
      </c>
      <c r="ES36" s="13">
        <f t="shared" si="341"/>
        <v>35400.000000000007</v>
      </c>
      <c r="ET36" s="13">
        <f t="shared" si="341"/>
        <v>35400.000000000007</v>
      </c>
      <c r="EU36" s="13">
        <f t="shared" si="341"/>
        <v>35400.000000000007</v>
      </c>
      <c r="EV36" s="13">
        <f t="shared" si="341"/>
        <v>35400.000000000007</v>
      </c>
      <c r="EW36" s="13">
        <f t="shared" si="341"/>
        <v>35400.000000000007</v>
      </c>
      <c r="EX36" s="13">
        <f t="shared" si="341"/>
        <v>35400.000000000007</v>
      </c>
      <c r="EY36" s="13">
        <f t="shared" si="341"/>
        <v>35400.000000000007</v>
      </c>
      <c r="EZ36" s="13">
        <f t="shared" si="341"/>
        <v>35400.000000000007</v>
      </c>
      <c r="FA36" s="13">
        <f t="shared" si="341"/>
        <v>35400.000000000007</v>
      </c>
      <c r="FB36" s="13">
        <f t="shared" si="341"/>
        <v>35400.000000000007</v>
      </c>
      <c r="FC36" s="13">
        <f t="shared" si="341"/>
        <v>36300.000000000007</v>
      </c>
      <c r="FD36" s="13">
        <f t="shared" si="341"/>
        <v>36300.000000000007</v>
      </c>
      <c r="FE36" s="13">
        <f t="shared" si="341"/>
        <v>36300.000000000007</v>
      </c>
      <c r="FF36" s="13">
        <f t="shared" si="341"/>
        <v>36300.000000000007</v>
      </c>
      <c r="FG36" s="13">
        <f t="shared" si="341"/>
        <v>36300.000000000007</v>
      </c>
      <c r="FH36" s="13">
        <f t="shared" si="341"/>
        <v>36300.000000000007</v>
      </c>
      <c r="FI36" s="13">
        <f t="shared" si="341"/>
        <v>36300.000000000007</v>
      </c>
      <c r="FJ36" s="13">
        <f t="shared" si="341"/>
        <v>36300.000000000007</v>
      </c>
      <c r="FK36" s="13">
        <f t="shared" si="341"/>
        <v>36300.000000000007</v>
      </c>
      <c r="FL36" s="13">
        <f t="shared" si="341"/>
        <v>36300.000000000007</v>
      </c>
      <c r="FM36" s="13">
        <f t="shared" si="341"/>
        <v>36300.000000000007</v>
      </c>
      <c r="FN36" s="13">
        <f t="shared" si="341"/>
        <v>36300.000000000007</v>
      </c>
      <c r="FO36" s="13">
        <f t="shared" si="341"/>
        <v>37200.000000000007</v>
      </c>
      <c r="FP36" s="13">
        <f t="shared" si="341"/>
        <v>37200.000000000007</v>
      </c>
      <c r="FQ36" s="13">
        <f t="shared" si="341"/>
        <v>37200.000000000007</v>
      </c>
      <c r="FR36" s="13">
        <f t="shared" si="341"/>
        <v>37200.000000000007</v>
      </c>
      <c r="FS36" s="13">
        <f t="shared" si="341"/>
        <v>37200.000000000007</v>
      </c>
      <c r="FT36" s="13">
        <f t="shared" si="341"/>
        <v>37200.000000000007</v>
      </c>
      <c r="FU36" s="13">
        <f t="shared" si="341"/>
        <v>37200.000000000007</v>
      </c>
      <c r="FV36" s="13">
        <f t="shared" si="341"/>
        <v>37200.000000000007</v>
      </c>
      <c r="FW36" s="13">
        <f t="shared" si="341"/>
        <v>37200.000000000007</v>
      </c>
      <c r="FX36" s="13">
        <f t="shared" si="341"/>
        <v>37200.000000000007</v>
      </c>
      <c r="FY36" s="13">
        <f t="shared" si="341"/>
        <v>37200.000000000007</v>
      </c>
      <c r="FZ36" s="13">
        <f t="shared" si="341"/>
        <v>37200.000000000007</v>
      </c>
      <c r="GA36" s="13">
        <f t="shared" si="338"/>
        <v>38100.000000000007</v>
      </c>
      <c r="GB36" s="13">
        <f t="shared" si="338"/>
        <v>38100.000000000007</v>
      </c>
      <c r="GC36" s="13">
        <f t="shared" si="338"/>
        <v>38100.000000000007</v>
      </c>
      <c r="GD36" s="13">
        <f t="shared" si="338"/>
        <v>38100.000000000007</v>
      </c>
      <c r="GE36" s="13">
        <f t="shared" si="338"/>
        <v>38100.000000000007</v>
      </c>
      <c r="GF36" s="13">
        <f t="shared" si="338"/>
        <v>38100.000000000007</v>
      </c>
      <c r="GG36" s="13">
        <f t="shared" si="338"/>
        <v>38100.000000000007</v>
      </c>
      <c r="GH36" s="13">
        <f t="shared" si="338"/>
        <v>38100.000000000007</v>
      </c>
      <c r="GI36" s="13">
        <f t="shared" si="338"/>
        <v>38100.000000000007</v>
      </c>
      <c r="GJ36" s="13">
        <f t="shared" si="338"/>
        <v>38100.000000000007</v>
      </c>
      <c r="GK36" s="13">
        <f t="shared" si="338"/>
        <v>38100.000000000007</v>
      </c>
      <c r="GL36" s="13">
        <f t="shared" si="338"/>
        <v>38100.000000000007</v>
      </c>
      <c r="GM36" s="13">
        <f t="shared" si="338"/>
        <v>39000.000000000007</v>
      </c>
      <c r="GN36" s="13">
        <f t="shared" si="338"/>
        <v>39000.000000000007</v>
      </c>
      <c r="GO36" s="13">
        <f t="shared" si="338"/>
        <v>39000.000000000007</v>
      </c>
      <c r="GP36" s="13">
        <f t="shared" si="338"/>
        <v>39000.000000000007</v>
      </c>
      <c r="GQ36" s="13">
        <f t="shared" si="338"/>
        <v>39000.000000000007</v>
      </c>
      <c r="GR36" s="13">
        <f t="shared" si="338"/>
        <v>39000.000000000007</v>
      </c>
      <c r="GS36" s="13">
        <f t="shared" si="338"/>
        <v>39000.000000000007</v>
      </c>
      <c r="GT36" s="13">
        <f t="shared" si="338"/>
        <v>39000.000000000007</v>
      </c>
      <c r="GU36" s="13">
        <f t="shared" si="338"/>
        <v>39000.000000000007</v>
      </c>
      <c r="GV36" s="13">
        <f t="shared" si="338"/>
        <v>39000.000000000007</v>
      </c>
      <c r="GW36" s="13">
        <f t="shared" si="338"/>
        <v>39000.000000000007</v>
      </c>
      <c r="GX36" s="13">
        <f t="shared" si="338"/>
        <v>39000.000000000007</v>
      </c>
      <c r="GY36" s="13">
        <f t="shared" si="338"/>
        <v>39900.000000000007</v>
      </c>
      <c r="GZ36" s="13">
        <f t="shared" si="338"/>
        <v>39900.000000000007</v>
      </c>
      <c r="HA36" s="13">
        <f t="shared" si="338"/>
        <v>39900.000000000007</v>
      </c>
      <c r="HB36" s="13">
        <f t="shared" si="338"/>
        <v>39900.000000000007</v>
      </c>
      <c r="HC36" s="13">
        <f t="shared" si="338"/>
        <v>39900.000000000007</v>
      </c>
      <c r="HD36" s="13">
        <f t="shared" si="338"/>
        <v>39900.000000000007</v>
      </c>
      <c r="HE36" s="13">
        <f t="shared" si="338"/>
        <v>39900.000000000007</v>
      </c>
      <c r="HF36" s="13">
        <f t="shared" si="338"/>
        <v>39900.000000000007</v>
      </c>
      <c r="HG36" s="13">
        <f t="shared" si="338"/>
        <v>39900.000000000007</v>
      </c>
      <c r="HH36" s="13">
        <f t="shared" si="338"/>
        <v>39900.000000000007</v>
      </c>
      <c r="HI36" s="13">
        <f t="shared" si="338"/>
        <v>39900.000000000007</v>
      </c>
      <c r="HJ36" s="13">
        <f t="shared" si="338"/>
        <v>39900.000000000007</v>
      </c>
      <c r="HK36" s="13">
        <f t="shared" si="338"/>
        <v>39900.000000000007</v>
      </c>
      <c r="HL36" s="13">
        <f t="shared" si="338"/>
        <v>39900.000000000007</v>
      </c>
      <c r="HM36" s="13">
        <f t="shared" si="338"/>
        <v>39900.000000000007</v>
      </c>
      <c r="HN36" s="13">
        <f t="shared" si="338"/>
        <v>39900.000000000007</v>
      </c>
      <c r="HO36" s="13">
        <f t="shared" si="338"/>
        <v>39900.000000000007</v>
      </c>
      <c r="HP36" s="13">
        <f t="shared" si="338"/>
        <v>39900.000000000007</v>
      </c>
      <c r="HQ36" s="13">
        <f t="shared" si="338"/>
        <v>39900.000000000007</v>
      </c>
      <c r="HR36" s="13">
        <f t="shared" si="338"/>
        <v>39900.000000000007</v>
      </c>
      <c r="HS36" s="13">
        <f t="shared" si="338"/>
        <v>39900.000000000007</v>
      </c>
      <c r="HT36" s="13">
        <f t="shared" si="338"/>
        <v>39900.000000000007</v>
      </c>
      <c r="HU36" s="13">
        <f t="shared" si="338"/>
        <v>39900.000000000007</v>
      </c>
      <c r="HV36" s="13">
        <f t="shared" si="338"/>
        <v>39900.000000000007</v>
      </c>
      <c r="HW36" s="13">
        <f t="shared" si="338"/>
        <v>39900.000000000007</v>
      </c>
      <c r="HX36" s="13">
        <f t="shared" si="338"/>
        <v>39900.000000000007</v>
      </c>
      <c r="HY36" s="13">
        <f t="shared" si="338"/>
        <v>39900.000000000007</v>
      </c>
      <c r="HZ36" s="13">
        <f t="shared" si="338"/>
        <v>39900.000000000007</v>
      </c>
      <c r="IA36" s="13">
        <f t="shared" si="338"/>
        <v>39900.000000000007</v>
      </c>
      <c r="IB36" s="13">
        <f t="shared" si="338"/>
        <v>39900.000000000007</v>
      </c>
      <c r="IC36" s="13">
        <f t="shared" si="338"/>
        <v>39900.000000000007</v>
      </c>
      <c r="ID36" s="13">
        <f t="shared" si="338"/>
        <v>39900.000000000007</v>
      </c>
      <c r="IE36" s="13">
        <f t="shared" si="338"/>
        <v>39900.000000000007</v>
      </c>
      <c r="IF36" s="13">
        <f t="shared" si="338"/>
        <v>39900.000000000007</v>
      </c>
      <c r="IG36" s="13">
        <f t="shared" si="338"/>
        <v>39900.000000000007</v>
      </c>
      <c r="IH36" s="13">
        <f t="shared" si="339"/>
        <v>39900.000000000007</v>
      </c>
      <c r="II36" s="69">
        <f t="shared" si="314"/>
        <v>7438400</v>
      </c>
    </row>
    <row r="37" spans="1:243" x14ac:dyDescent="0.45">
      <c r="A37" s="16" t="s">
        <v>236</v>
      </c>
      <c r="B37" s="18">
        <v>0</v>
      </c>
      <c r="C37" s="18">
        <v>0</v>
      </c>
      <c r="D37" s="18">
        <v>0</v>
      </c>
      <c r="E37" s="18">
        <v>0</v>
      </c>
      <c r="F37" s="18">
        <v>0</v>
      </c>
      <c r="G37" s="18">
        <v>0</v>
      </c>
      <c r="H37" s="18">
        <v>0</v>
      </c>
      <c r="I37" s="18">
        <v>0</v>
      </c>
      <c r="J37" s="18">
        <v>0</v>
      </c>
      <c r="K37" s="18">
        <v>0</v>
      </c>
      <c r="L37" s="18">
        <v>0</v>
      </c>
      <c r="M37" s="18">
        <v>0</v>
      </c>
      <c r="N37" s="18">
        <v>0</v>
      </c>
      <c r="O37" s="18">
        <v>0</v>
      </c>
      <c r="P37" s="18">
        <v>0</v>
      </c>
      <c r="Q37" s="18">
        <v>0</v>
      </c>
      <c r="R37" s="18">
        <v>0</v>
      </c>
      <c r="S37" s="18">
        <v>0</v>
      </c>
      <c r="T37" s="18">
        <v>0</v>
      </c>
      <c r="U37" s="18">
        <v>0</v>
      </c>
      <c r="V37" s="18">
        <v>0</v>
      </c>
      <c r="W37" s="18">
        <v>0</v>
      </c>
      <c r="X37" s="18">
        <v>0</v>
      </c>
      <c r="Y37" s="18">
        <v>0</v>
      </c>
      <c r="Z37" s="18">
        <v>0</v>
      </c>
      <c r="AA37" s="18">
        <v>0</v>
      </c>
      <c r="AB37" s="18">
        <v>0</v>
      </c>
      <c r="AC37" s="18">
        <v>0</v>
      </c>
      <c r="AD37" s="18">
        <v>0</v>
      </c>
      <c r="AE37" s="18">
        <v>0</v>
      </c>
      <c r="AF37" s="18">
        <v>0</v>
      </c>
      <c r="AG37" s="18">
        <v>0</v>
      </c>
      <c r="AH37" s="18">
        <v>0</v>
      </c>
      <c r="AI37" s="18">
        <v>0</v>
      </c>
      <c r="AJ37" s="18">
        <v>0</v>
      </c>
      <c r="AK37" s="18">
        <v>0</v>
      </c>
      <c r="AL37" s="18">
        <v>0</v>
      </c>
      <c r="AM37" s="18">
        <v>0</v>
      </c>
      <c r="AN37" s="18">
        <v>0</v>
      </c>
      <c r="AO37" s="18">
        <v>0</v>
      </c>
      <c r="AP37" s="18">
        <v>0</v>
      </c>
      <c r="AQ37" s="18">
        <v>0</v>
      </c>
      <c r="AR37" s="18">
        <v>0</v>
      </c>
      <c r="AS37" s="18">
        <v>0</v>
      </c>
      <c r="AT37" s="18">
        <v>0</v>
      </c>
      <c r="AU37" s="18">
        <v>0</v>
      </c>
      <c r="AV37" s="18">
        <v>0</v>
      </c>
      <c r="AW37" s="18">
        <v>0</v>
      </c>
      <c r="AX37" s="18">
        <v>0</v>
      </c>
      <c r="AY37" s="18">
        <v>0</v>
      </c>
      <c r="AZ37" s="18">
        <v>0</v>
      </c>
      <c r="BA37" s="18">
        <v>0</v>
      </c>
      <c r="BB37" s="18">
        <v>0</v>
      </c>
      <c r="BC37" s="18">
        <v>0</v>
      </c>
      <c r="BD37" s="18">
        <v>0</v>
      </c>
      <c r="BE37" s="18">
        <v>0</v>
      </c>
      <c r="BF37" s="18">
        <v>0</v>
      </c>
      <c r="BG37" s="18">
        <v>0</v>
      </c>
      <c r="BH37" s="18">
        <v>0</v>
      </c>
      <c r="BI37" s="18">
        <v>0</v>
      </c>
      <c r="BJ37" s="18">
        <v>0</v>
      </c>
      <c r="BK37" s="18">
        <v>0</v>
      </c>
      <c r="BL37" s="18">
        <v>0</v>
      </c>
      <c r="BM37" s="18">
        <v>0</v>
      </c>
      <c r="BN37" s="18">
        <v>0</v>
      </c>
      <c r="BO37" s="18">
        <v>0</v>
      </c>
      <c r="BP37" s="18">
        <v>0</v>
      </c>
      <c r="BQ37" s="18">
        <v>0</v>
      </c>
      <c r="BR37" s="18">
        <v>0</v>
      </c>
      <c r="BS37" s="18">
        <v>0</v>
      </c>
      <c r="BT37" s="18">
        <v>0</v>
      </c>
      <c r="BU37" s="18">
        <v>0</v>
      </c>
      <c r="BV37" s="18">
        <v>0</v>
      </c>
      <c r="BW37" s="18">
        <v>0</v>
      </c>
      <c r="BX37" s="18">
        <v>0</v>
      </c>
      <c r="BY37" s="18">
        <v>0</v>
      </c>
      <c r="BZ37" s="18">
        <v>0</v>
      </c>
      <c r="CA37" s="18">
        <v>0</v>
      </c>
      <c r="CB37" s="18">
        <v>0</v>
      </c>
      <c r="CC37" s="18">
        <v>0</v>
      </c>
      <c r="CD37" s="18">
        <v>0</v>
      </c>
      <c r="CE37" s="18">
        <v>0</v>
      </c>
      <c r="CF37" s="18">
        <v>0</v>
      </c>
      <c r="CG37" s="18">
        <v>0</v>
      </c>
      <c r="CH37" s="18">
        <v>0</v>
      </c>
      <c r="CI37" s="18">
        <v>0</v>
      </c>
      <c r="CJ37" s="18">
        <v>0</v>
      </c>
      <c r="CK37" s="18">
        <v>0</v>
      </c>
      <c r="CL37" s="18">
        <v>0</v>
      </c>
      <c r="CM37" s="18">
        <v>0</v>
      </c>
      <c r="CN37" s="18">
        <v>0</v>
      </c>
      <c r="CO37" s="18">
        <v>0</v>
      </c>
      <c r="CP37" s="18">
        <v>0</v>
      </c>
      <c r="CQ37" s="18">
        <v>0</v>
      </c>
      <c r="CR37" s="18">
        <v>0</v>
      </c>
      <c r="CS37" s="18">
        <v>0</v>
      </c>
      <c r="CT37" s="18">
        <v>0</v>
      </c>
      <c r="CU37" s="18">
        <v>0</v>
      </c>
      <c r="CV37" s="18">
        <v>0</v>
      </c>
      <c r="CW37" s="18">
        <v>0</v>
      </c>
      <c r="CX37" s="18">
        <v>0</v>
      </c>
      <c r="CY37" s="18">
        <v>0</v>
      </c>
      <c r="CZ37" s="18">
        <v>0</v>
      </c>
      <c r="DA37" s="18">
        <v>0</v>
      </c>
      <c r="DB37" s="18">
        <v>0</v>
      </c>
      <c r="DC37" s="18">
        <v>0</v>
      </c>
      <c r="DD37" s="18">
        <v>0</v>
      </c>
      <c r="DE37" s="18">
        <v>0</v>
      </c>
      <c r="DF37" s="18">
        <v>0</v>
      </c>
      <c r="DG37" s="18">
        <v>0</v>
      </c>
      <c r="DH37" s="18">
        <v>0</v>
      </c>
      <c r="DI37" s="18">
        <v>0</v>
      </c>
      <c r="DJ37" s="18">
        <v>0</v>
      </c>
      <c r="DK37" s="18">
        <v>0</v>
      </c>
      <c r="DL37" s="18">
        <v>0</v>
      </c>
      <c r="DM37" s="18">
        <v>0</v>
      </c>
      <c r="DN37" s="18">
        <v>0</v>
      </c>
      <c r="DO37" s="18">
        <v>0</v>
      </c>
      <c r="DP37" s="18">
        <v>0</v>
      </c>
      <c r="DQ37" s="18">
        <v>0</v>
      </c>
      <c r="DR37" s="18">
        <v>0</v>
      </c>
      <c r="DS37" s="18">
        <v>0</v>
      </c>
      <c r="DT37" s="18">
        <v>0</v>
      </c>
      <c r="DU37" s="18">
        <v>0</v>
      </c>
      <c r="DV37" s="18">
        <v>0</v>
      </c>
      <c r="DW37" s="18">
        <v>0</v>
      </c>
      <c r="DX37" s="18">
        <v>0</v>
      </c>
      <c r="DY37" s="18">
        <v>0</v>
      </c>
      <c r="DZ37" s="18">
        <v>0</v>
      </c>
      <c r="EA37" s="18">
        <v>0</v>
      </c>
      <c r="EB37" s="18">
        <v>0</v>
      </c>
      <c r="EC37" s="18">
        <v>0</v>
      </c>
      <c r="ED37" s="18">
        <v>0</v>
      </c>
      <c r="EE37" s="18">
        <v>0</v>
      </c>
      <c r="EF37" s="18">
        <v>0</v>
      </c>
      <c r="EG37" s="18">
        <v>0</v>
      </c>
      <c r="EH37" s="18">
        <v>0</v>
      </c>
      <c r="EI37" s="18">
        <v>0</v>
      </c>
      <c r="EJ37" s="18">
        <v>0</v>
      </c>
      <c r="EK37" s="18">
        <v>0</v>
      </c>
      <c r="EL37" s="18">
        <v>0</v>
      </c>
      <c r="EM37" s="18">
        <v>0</v>
      </c>
      <c r="EN37" s="18">
        <v>0</v>
      </c>
      <c r="EO37" s="18">
        <v>0</v>
      </c>
      <c r="EP37" s="18">
        <v>0</v>
      </c>
      <c r="EQ37" s="18">
        <v>0</v>
      </c>
      <c r="ER37" s="18">
        <v>0</v>
      </c>
      <c r="ES37" s="18">
        <v>0</v>
      </c>
      <c r="ET37" s="18">
        <v>0</v>
      </c>
      <c r="EU37" s="18">
        <v>0</v>
      </c>
      <c r="EV37" s="18">
        <v>0</v>
      </c>
      <c r="EW37" s="18">
        <v>0</v>
      </c>
      <c r="EX37" s="18">
        <v>0</v>
      </c>
      <c r="EY37" s="18">
        <v>0</v>
      </c>
      <c r="EZ37" s="18">
        <v>0</v>
      </c>
      <c r="FA37" s="18">
        <v>0</v>
      </c>
      <c r="FB37" s="18">
        <v>0</v>
      </c>
      <c r="FC37" s="18">
        <v>0</v>
      </c>
      <c r="FD37" s="18">
        <v>0</v>
      </c>
      <c r="FE37" s="18">
        <v>0</v>
      </c>
      <c r="FF37" s="18">
        <v>0</v>
      </c>
      <c r="FG37" s="18">
        <v>0</v>
      </c>
      <c r="FH37" s="18">
        <v>0</v>
      </c>
      <c r="FI37" s="18">
        <v>0</v>
      </c>
      <c r="FJ37" s="18">
        <v>0</v>
      </c>
      <c r="FK37" s="18">
        <v>0</v>
      </c>
      <c r="FL37" s="18">
        <v>0</v>
      </c>
      <c r="FM37" s="18">
        <v>0</v>
      </c>
      <c r="FN37" s="18">
        <v>0</v>
      </c>
      <c r="FO37" s="18">
        <v>0</v>
      </c>
      <c r="FP37" s="18">
        <v>0</v>
      </c>
      <c r="FQ37" s="18">
        <v>0</v>
      </c>
      <c r="FR37" s="18">
        <v>0</v>
      </c>
      <c r="FS37" s="18">
        <v>0</v>
      </c>
      <c r="FT37" s="18">
        <v>0</v>
      </c>
      <c r="FU37" s="18">
        <v>0</v>
      </c>
      <c r="FV37" s="18">
        <v>0</v>
      </c>
      <c r="FW37" s="18">
        <v>0</v>
      </c>
      <c r="FX37" s="18">
        <v>0</v>
      </c>
      <c r="FY37" s="18">
        <v>0</v>
      </c>
      <c r="FZ37" s="18">
        <v>0</v>
      </c>
      <c r="GA37" s="18">
        <v>0</v>
      </c>
      <c r="GB37" s="18">
        <v>0</v>
      </c>
      <c r="GC37" s="18">
        <v>0</v>
      </c>
      <c r="GD37" s="18">
        <v>0</v>
      </c>
      <c r="GE37" s="18">
        <v>0</v>
      </c>
      <c r="GF37" s="18">
        <v>0</v>
      </c>
      <c r="GG37" s="18">
        <v>0</v>
      </c>
      <c r="GH37" s="18">
        <v>0</v>
      </c>
      <c r="GI37" s="18">
        <v>0</v>
      </c>
      <c r="GJ37" s="18">
        <v>0</v>
      </c>
      <c r="GK37" s="18">
        <v>0</v>
      </c>
      <c r="GL37" s="18">
        <v>0</v>
      </c>
      <c r="GM37" s="18">
        <v>0</v>
      </c>
      <c r="GN37" s="18">
        <v>0</v>
      </c>
      <c r="GO37" s="18">
        <v>0</v>
      </c>
      <c r="GP37" s="18">
        <v>0</v>
      </c>
      <c r="GQ37" s="18">
        <v>0</v>
      </c>
      <c r="GR37" s="18">
        <v>0</v>
      </c>
      <c r="GS37" s="18">
        <v>0</v>
      </c>
      <c r="GT37" s="18">
        <v>0</v>
      </c>
      <c r="GU37" s="18">
        <v>0</v>
      </c>
      <c r="GV37" s="18">
        <v>0</v>
      </c>
      <c r="GW37" s="18">
        <v>0</v>
      </c>
      <c r="GX37" s="18">
        <v>0</v>
      </c>
      <c r="GY37" s="18">
        <v>0</v>
      </c>
      <c r="GZ37" s="18">
        <v>0</v>
      </c>
      <c r="HA37" s="18">
        <v>0</v>
      </c>
      <c r="HB37" s="18">
        <v>0</v>
      </c>
      <c r="HC37" s="18">
        <v>0</v>
      </c>
      <c r="HD37" s="18">
        <v>0</v>
      </c>
      <c r="HE37" s="18">
        <v>0</v>
      </c>
      <c r="HF37" s="18">
        <v>0</v>
      </c>
      <c r="HG37" s="18">
        <v>0</v>
      </c>
      <c r="HH37" s="18">
        <v>0</v>
      </c>
      <c r="HI37" s="18">
        <v>0</v>
      </c>
      <c r="HJ37" s="18">
        <v>0</v>
      </c>
      <c r="HK37" s="18">
        <v>0</v>
      </c>
      <c r="HL37" s="18">
        <v>0</v>
      </c>
      <c r="HM37" s="18">
        <v>0</v>
      </c>
      <c r="HN37" s="18">
        <v>0</v>
      </c>
      <c r="HO37" s="18">
        <v>0</v>
      </c>
      <c r="HP37" s="18">
        <v>0</v>
      </c>
      <c r="HQ37" s="18">
        <v>0</v>
      </c>
      <c r="HR37" s="18">
        <v>0</v>
      </c>
      <c r="HS37" s="18">
        <v>0</v>
      </c>
      <c r="HT37" s="18">
        <v>0</v>
      </c>
      <c r="HU37" s="18">
        <v>0</v>
      </c>
      <c r="HV37" s="18">
        <v>0</v>
      </c>
      <c r="HW37" s="18">
        <v>0</v>
      </c>
      <c r="HX37" s="18">
        <v>0</v>
      </c>
      <c r="HY37" s="18">
        <v>0</v>
      </c>
      <c r="HZ37" s="18">
        <v>0</v>
      </c>
      <c r="IA37" s="18">
        <v>0</v>
      </c>
      <c r="IB37" s="18">
        <v>0</v>
      </c>
      <c r="IC37" s="18">
        <v>0</v>
      </c>
      <c r="ID37" s="18">
        <v>0</v>
      </c>
      <c r="IE37" s="18">
        <v>0</v>
      </c>
      <c r="IF37" s="18">
        <v>0</v>
      </c>
      <c r="IG37" s="18">
        <v>0</v>
      </c>
      <c r="IH37" s="18">
        <v>0</v>
      </c>
      <c r="II37" s="69">
        <f t="shared" si="314"/>
        <v>0</v>
      </c>
    </row>
    <row r="38" spans="1:243" x14ac:dyDescent="0.45">
      <c r="C38" s="887">
        <f>SUM(C18:N18)</f>
        <v>6131714.3933996884</v>
      </c>
      <c r="D38" s="887"/>
      <c r="E38" s="887"/>
      <c r="F38" s="887"/>
      <c r="G38" s="887"/>
      <c r="H38" s="887"/>
      <c r="I38" s="887"/>
      <c r="J38" s="887"/>
      <c r="K38" s="887"/>
      <c r="L38" s="887"/>
      <c r="M38" s="887"/>
      <c r="N38" s="887"/>
      <c r="O38" s="887">
        <f>SUM(O18:Z18)</f>
        <v>5889214.3933996884</v>
      </c>
      <c r="P38" s="887"/>
      <c r="Q38" s="887"/>
      <c r="R38" s="887"/>
      <c r="S38" s="887"/>
      <c r="T38" s="887"/>
      <c r="U38" s="887"/>
      <c r="V38" s="887"/>
      <c r="W38" s="887"/>
      <c r="X38" s="887"/>
      <c r="Y38" s="887"/>
      <c r="Z38" s="887"/>
      <c r="AA38" s="887">
        <f>SUM(AA18:AL18)</f>
        <v>14307643.180199059</v>
      </c>
      <c r="AB38" s="887"/>
      <c r="AC38" s="887"/>
      <c r="AD38" s="887"/>
      <c r="AE38" s="887"/>
      <c r="AF38" s="887"/>
      <c r="AG38" s="887"/>
      <c r="AH38" s="887"/>
      <c r="AI38" s="887"/>
      <c r="AJ38" s="887"/>
      <c r="AK38" s="887"/>
      <c r="AL38" s="887"/>
      <c r="AM38" s="887">
        <f>SUM(AM18:AX18)</f>
        <v>14307643.180199059</v>
      </c>
      <c r="AN38" s="887"/>
      <c r="AO38" s="887"/>
      <c r="AP38" s="887"/>
      <c r="AQ38" s="887"/>
      <c r="AR38" s="887"/>
      <c r="AS38" s="887"/>
      <c r="AT38" s="887"/>
      <c r="AU38" s="887"/>
      <c r="AV38" s="887"/>
      <c r="AW38" s="887"/>
      <c r="AX38" s="887"/>
      <c r="AY38" s="887">
        <f>SUM(AY18:BJ18)</f>
        <v>14307643.180199059</v>
      </c>
      <c r="AZ38" s="887"/>
      <c r="BA38" s="887"/>
      <c r="BB38" s="887"/>
      <c r="BC38" s="887"/>
      <c r="BD38" s="887"/>
      <c r="BE38" s="887"/>
      <c r="BF38" s="887"/>
      <c r="BG38" s="887"/>
      <c r="BH38" s="887"/>
      <c r="BI38" s="887"/>
      <c r="BJ38" s="887"/>
      <c r="BK38" s="887">
        <f>SUM(BK18:BV18)</f>
        <v>14307643.180199059</v>
      </c>
      <c r="BL38" s="887"/>
      <c r="BM38" s="887"/>
      <c r="BN38" s="887"/>
      <c r="BO38" s="887"/>
      <c r="BP38" s="887"/>
      <c r="BQ38" s="887"/>
      <c r="BR38" s="887"/>
      <c r="BS38" s="887"/>
      <c r="BT38" s="887"/>
      <c r="BU38" s="887"/>
      <c r="BV38" s="887"/>
      <c r="BW38" s="887">
        <f>SUM(BW18:CH18)</f>
        <v>19036857.573598754</v>
      </c>
      <c r="BX38" s="887"/>
      <c r="BY38" s="887"/>
      <c r="BZ38" s="887"/>
      <c r="CA38" s="887"/>
      <c r="CB38" s="887"/>
      <c r="CC38" s="887"/>
      <c r="CD38" s="887"/>
      <c r="CE38" s="887"/>
      <c r="CF38" s="887"/>
      <c r="CG38" s="887"/>
      <c r="CH38" s="887"/>
      <c r="CI38" s="887">
        <f>SUM(CI18:CT18)</f>
        <v>19367902.58113673</v>
      </c>
      <c r="CJ38" s="887"/>
      <c r="CK38" s="887"/>
      <c r="CL38" s="887"/>
      <c r="CM38" s="887"/>
      <c r="CN38" s="887"/>
      <c r="CO38" s="887"/>
      <c r="CP38" s="887"/>
      <c r="CQ38" s="887"/>
      <c r="CR38" s="887"/>
      <c r="CS38" s="887"/>
      <c r="CT38" s="887"/>
      <c r="CU38" s="887">
        <f>SUM(CU18:DF18)</f>
        <v>20171869.028014679</v>
      </c>
      <c r="CV38" s="887"/>
      <c r="CW38" s="887"/>
      <c r="CX38" s="887"/>
      <c r="CY38" s="887"/>
      <c r="CZ38" s="887"/>
      <c r="DA38" s="887"/>
      <c r="DB38" s="887"/>
      <c r="DC38" s="887"/>
      <c r="DD38" s="887"/>
      <c r="DE38" s="887"/>
      <c r="DF38" s="887"/>
      <c r="DG38" s="887">
        <f>SUM(DG18:DR18)</f>
        <v>20739374.755222637</v>
      </c>
      <c r="DH38" s="887"/>
      <c r="DI38" s="887"/>
      <c r="DJ38" s="887"/>
      <c r="DK38" s="887"/>
      <c r="DL38" s="887"/>
      <c r="DM38" s="887"/>
      <c r="DN38" s="887"/>
      <c r="DO38" s="887"/>
      <c r="DP38" s="887"/>
      <c r="DQ38" s="887"/>
      <c r="DR38" s="887"/>
      <c r="DS38" s="887">
        <f>SUM(DS18:ED18)</f>
        <v>21306880.482430596</v>
      </c>
      <c r="DT38" s="887"/>
      <c r="DU38" s="887"/>
      <c r="DV38" s="887"/>
      <c r="DW38" s="887"/>
      <c r="DX38" s="887"/>
      <c r="DY38" s="887"/>
      <c r="DZ38" s="887"/>
      <c r="EA38" s="887"/>
      <c r="EB38" s="887"/>
      <c r="EC38" s="887"/>
      <c r="ED38" s="887"/>
      <c r="EE38" s="887">
        <f>SUM(EE18:EP18)</f>
        <v>21874386.209638566</v>
      </c>
      <c r="EF38" s="887"/>
      <c r="EG38" s="887"/>
      <c r="EH38" s="887"/>
      <c r="EI38" s="887"/>
      <c r="EJ38" s="887"/>
      <c r="EK38" s="887"/>
      <c r="EL38" s="887"/>
      <c r="EM38" s="887"/>
      <c r="EN38" s="887"/>
      <c r="EO38" s="887"/>
      <c r="EP38" s="887"/>
      <c r="EQ38" s="887">
        <f>SUM(EQ18:FB18)</f>
        <v>22441891.936846524</v>
      </c>
      <c r="ER38" s="887"/>
      <c r="ES38" s="887"/>
      <c r="ET38" s="887"/>
      <c r="EU38" s="887"/>
      <c r="EV38" s="887"/>
      <c r="EW38" s="887"/>
      <c r="EX38" s="887"/>
      <c r="EY38" s="887"/>
      <c r="EZ38" s="887"/>
      <c r="FA38" s="887"/>
      <c r="FB38" s="887"/>
      <c r="FC38" s="887">
        <f>SUM(FC18:FN18)</f>
        <v>23009397.664054498</v>
      </c>
      <c r="FD38" s="887"/>
      <c r="FE38" s="887"/>
      <c r="FF38" s="887"/>
      <c r="FG38" s="887"/>
      <c r="FH38" s="887"/>
      <c r="FI38" s="887"/>
      <c r="FJ38" s="887"/>
      <c r="FK38" s="887"/>
      <c r="FL38" s="887"/>
      <c r="FM38" s="887"/>
      <c r="FN38" s="887"/>
      <c r="FO38" s="887">
        <f>SUM(FO18:FZ18)</f>
        <v>23576903.391262457</v>
      </c>
      <c r="FP38" s="887"/>
      <c r="FQ38" s="887"/>
      <c r="FR38" s="887"/>
      <c r="FS38" s="887"/>
      <c r="FT38" s="887"/>
      <c r="FU38" s="887"/>
      <c r="FV38" s="887"/>
      <c r="FW38" s="887"/>
      <c r="FX38" s="887"/>
      <c r="FY38" s="887"/>
      <c r="FZ38" s="887"/>
      <c r="GA38" s="887">
        <f>SUM(GA18:GL18)</f>
        <v>24144409.118470415</v>
      </c>
      <c r="GB38" s="887"/>
      <c r="GC38" s="887"/>
      <c r="GD38" s="887"/>
      <c r="GE38" s="887"/>
      <c r="GF38" s="887"/>
      <c r="GG38" s="887"/>
      <c r="GH38" s="887"/>
      <c r="GI38" s="887"/>
      <c r="GJ38" s="887"/>
      <c r="GK38" s="887"/>
      <c r="GL38" s="887"/>
      <c r="GM38" s="887">
        <f>SUM(GM18:GX18)</f>
        <v>24711914.845678385</v>
      </c>
      <c r="GN38" s="887"/>
      <c r="GO38" s="887"/>
      <c r="GP38" s="887"/>
      <c r="GQ38" s="887"/>
      <c r="GR38" s="887"/>
      <c r="GS38" s="887"/>
      <c r="GT38" s="887"/>
      <c r="GU38" s="887"/>
      <c r="GV38" s="887"/>
      <c r="GW38" s="887"/>
      <c r="GX38" s="887"/>
      <c r="GY38" s="887">
        <f>SUM(GY18:HJ18)</f>
        <v>25279420.572886344</v>
      </c>
      <c r="GZ38" s="887"/>
      <c r="HA38" s="887"/>
      <c r="HB38" s="887"/>
      <c r="HC38" s="887"/>
      <c r="HD38" s="887"/>
      <c r="HE38" s="887"/>
      <c r="HF38" s="887"/>
      <c r="HG38" s="887"/>
      <c r="HH38" s="887"/>
      <c r="HI38" s="887"/>
      <c r="HJ38" s="887"/>
      <c r="HK38" s="887">
        <f>SUM(HK18:HV18)</f>
        <v>25279420.572886344</v>
      </c>
      <c r="HL38" s="887"/>
      <c r="HM38" s="887"/>
      <c r="HN38" s="887"/>
      <c r="HO38" s="887"/>
      <c r="HP38" s="887"/>
      <c r="HQ38" s="887"/>
      <c r="HR38" s="887"/>
      <c r="HS38" s="887"/>
      <c r="HT38" s="887"/>
      <c r="HU38" s="887"/>
      <c r="HV38" s="887"/>
      <c r="HW38" s="887">
        <f>SUM(HW18:IH18)</f>
        <v>25279420.572886344</v>
      </c>
      <c r="HX38" s="887"/>
      <c r="HY38" s="887"/>
      <c r="HZ38" s="887"/>
      <c r="IA38" s="887"/>
      <c r="IB38" s="887"/>
      <c r="IC38" s="887"/>
      <c r="ID38" s="887"/>
      <c r="IE38" s="887"/>
      <c r="IF38" s="887"/>
      <c r="IG38" s="887"/>
      <c r="IH38" s="887"/>
      <c r="II38" s="69">
        <f t="shared" si="314"/>
        <v>385471550.81260896</v>
      </c>
    </row>
  </sheetData>
  <mergeCells count="40">
    <mergeCell ref="HK3:HV3"/>
    <mergeCell ref="HW3:IH3"/>
    <mergeCell ref="GY38:HJ38"/>
    <mergeCell ref="HK38:HV38"/>
    <mergeCell ref="HW38:IH38"/>
    <mergeCell ref="GA3:GL3"/>
    <mergeCell ref="GM3:GX3"/>
    <mergeCell ref="GA38:GL38"/>
    <mergeCell ref="GM38:GX38"/>
    <mergeCell ref="GY3:HJ3"/>
    <mergeCell ref="DG38:DR38"/>
    <mergeCell ref="DS38:ED38"/>
    <mergeCell ref="EE38:EP38"/>
    <mergeCell ref="C38:N38"/>
    <mergeCell ref="O38:Z38"/>
    <mergeCell ref="AA38:AL38"/>
    <mergeCell ref="AM38:AX38"/>
    <mergeCell ref="AY38:BJ38"/>
    <mergeCell ref="BK38:BV38"/>
    <mergeCell ref="BK3:BV3"/>
    <mergeCell ref="EQ38:FB38"/>
    <mergeCell ref="FC38:FN38"/>
    <mergeCell ref="FO38:FZ38"/>
    <mergeCell ref="BW38:CH38"/>
    <mergeCell ref="CI38:CT38"/>
    <mergeCell ref="EQ3:FB3"/>
    <mergeCell ref="FC3:FN3"/>
    <mergeCell ref="FO3:FZ3"/>
    <mergeCell ref="BW3:CH3"/>
    <mergeCell ref="CI3:CT3"/>
    <mergeCell ref="CU3:DF3"/>
    <mergeCell ref="DG3:DR3"/>
    <mergeCell ref="DS3:ED3"/>
    <mergeCell ref="EE3:EP3"/>
    <mergeCell ref="CU38:DF38"/>
    <mergeCell ref="C3:N3"/>
    <mergeCell ref="O3:Z3"/>
    <mergeCell ref="AA3:AL3"/>
    <mergeCell ref="AM3:AX3"/>
    <mergeCell ref="AY3:BJ3"/>
  </mergeCells>
  <pageMargins left="0.7" right="0.7" top="0.75" bottom="0.75" header="0.3" footer="0.3"/>
  <pageSetup paperSize="9" orientation="portrait" r:id="rId1"/>
  <ignoredErrors>
    <ignoredError sqref="C5:FZ5" formulaRange="1"/>
  </ignoredErrors>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6" tint="0.39997558519241921"/>
  </sheetPr>
  <dimension ref="A1:II56"/>
  <sheetViews>
    <sheetView workbookViewId="0">
      <pane xSplit="2" ySplit="4" topLeftCell="BN41" activePane="bottomRight" state="frozen"/>
      <selection activeCell="C22" sqref="C22"/>
      <selection pane="topRight" activeCell="C22" sqref="C22"/>
      <selection pane="bottomLeft" activeCell="C22" sqref="C22"/>
      <selection pane="bottomRight" activeCell="B45" sqref="B45"/>
    </sheetView>
  </sheetViews>
  <sheetFormatPr defaultRowHeight="14.25" x14ac:dyDescent="0.45"/>
  <cols>
    <col min="1" max="1" width="36.265625" customWidth="1"/>
    <col min="2" max="242" width="12.59765625" customWidth="1"/>
    <col min="243" max="243" width="14.86328125" bestFit="1" customWidth="1"/>
  </cols>
  <sheetData>
    <row r="1" spans="1:243" ht="23.25" x14ac:dyDescent="0.7">
      <c r="A1" s="9" t="s">
        <v>164</v>
      </c>
      <c r="B1" s="9"/>
    </row>
    <row r="3" spans="1:243" x14ac:dyDescent="0.45">
      <c r="A3" s="888" t="s">
        <v>166</v>
      </c>
      <c r="B3" s="889"/>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c r="II3" s="21" t="s">
        <v>245</v>
      </c>
    </row>
    <row r="4" spans="1:243" x14ac:dyDescent="0.45">
      <c r="A4" s="888" t="s">
        <v>167</v>
      </c>
      <c r="B4" s="889"/>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3" x14ac:dyDescent="0.45">
      <c r="A5" s="888" t="s">
        <v>209</v>
      </c>
      <c r="B5" s="889"/>
      <c r="C5" s="48">
        <v>0</v>
      </c>
      <c r="D5" s="48">
        <v>0</v>
      </c>
      <c r="E5" s="48">
        <v>0</v>
      </c>
      <c r="F5" s="48">
        <v>0</v>
      </c>
      <c r="G5" s="48">
        <v>0</v>
      </c>
      <c r="H5" s="48">
        <v>0</v>
      </c>
      <c r="I5" s="48">
        <v>0</v>
      </c>
      <c r="J5" s="48">
        <v>0</v>
      </c>
      <c r="K5" s="48">
        <v>0</v>
      </c>
      <c r="L5" s="48">
        <v>0</v>
      </c>
      <c r="M5" s="48">
        <v>0</v>
      </c>
      <c r="N5" s="48">
        <v>0</v>
      </c>
      <c r="O5" s="48">
        <v>0</v>
      </c>
      <c r="P5" s="48">
        <v>0</v>
      </c>
      <c r="Q5" s="48">
        <v>0</v>
      </c>
      <c r="R5" s="48">
        <v>0</v>
      </c>
      <c r="S5" s="48">
        <v>0</v>
      </c>
      <c r="T5" s="48">
        <v>0</v>
      </c>
      <c r="U5" s="48">
        <v>0</v>
      </c>
      <c r="V5" s="48">
        <v>0</v>
      </c>
      <c r="W5" s="48">
        <v>0</v>
      </c>
      <c r="X5" s="48">
        <v>0</v>
      </c>
      <c r="Y5" s="48">
        <v>0</v>
      </c>
      <c r="Z5" s="48">
        <v>0</v>
      </c>
      <c r="AA5" s="48">
        <v>0.3</v>
      </c>
      <c r="AB5" s="48">
        <v>0.3</v>
      </c>
      <c r="AC5" s="48">
        <v>0.3</v>
      </c>
      <c r="AD5" s="48">
        <v>0.3</v>
      </c>
      <c r="AE5" s="48">
        <v>0.3</v>
      </c>
      <c r="AF5" s="48">
        <v>0.3</v>
      </c>
      <c r="AG5" s="48">
        <v>0.3</v>
      </c>
      <c r="AH5" s="48">
        <v>0.3</v>
      </c>
      <c r="AI5" s="48">
        <v>0.3</v>
      </c>
      <c r="AJ5" s="48">
        <v>0.3</v>
      </c>
      <c r="AK5" s="48">
        <v>0.3</v>
      </c>
      <c r="AL5" s="48">
        <v>0.3</v>
      </c>
      <c r="AM5" s="48">
        <v>0.5</v>
      </c>
      <c r="AN5" s="48">
        <v>0.5</v>
      </c>
      <c r="AO5" s="48">
        <v>0.5</v>
      </c>
      <c r="AP5" s="48">
        <v>0.5</v>
      </c>
      <c r="AQ5" s="48">
        <v>0.5</v>
      </c>
      <c r="AR5" s="48">
        <v>0.5</v>
      </c>
      <c r="AS5" s="48">
        <v>0.5</v>
      </c>
      <c r="AT5" s="48">
        <v>0.5</v>
      </c>
      <c r="AU5" s="48">
        <v>0.5</v>
      </c>
      <c r="AV5" s="48">
        <v>0.5</v>
      </c>
      <c r="AW5" s="48">
        <v>0.5</v>
      </c>
      <c r="AX5" s="48">
        <v>0.5</v>
      </c>
      <c r="AY5" s="48">
        <v>0.7</v>
      </c>
      <c r="AZ5" s="48">
        <v>0.7</v>
      </c>
      <c r="BA5" s="48">
        <v>0.7</v>
      </c>
      <c r="BB5" s="48">
        <v>0.7</v>
      </c>
      <c r="BC5" s="48">
        <v>0.7</v>
      </c>
      <c r="BD5" s="48">
        <v>0.7</v>
      </c>
      <c r="BE5" s="48">
        <v>0.7</v>
      </c>
      <c r="BF5" s="48">
        <v>0.7</v>
      </c>
      <c r="BG5" s="48">
        <v>0.7</v>
      </c>
      <c r="BH5" s="48">
        <v>0.7</v>
      </c>
      <c r="BI5" s="48">
        <v>0.7</v>
      </c>
      <c r="BJ5" s="48">
        <v>0.7</v>
      </c>
      <c r="BK5" s="48">
        <v>0.85</v>
      </c>
      <c r="BL5" s="48">
        <v>0.85</v>
      </c>
      <c r="BM5" s="48">
        <v>0.85</v>
      </c>
      <c r="BN5" s="48">
        <v>0.85</v>
      </c>
      <c r="BO5" s="48">
        <v>0.85</v>
      </c>
      <c r="BP5" s="48">
        <v>0.85</v>
      </c>
      <c r="BQ5" s="48">
        <v>0.85</v>
      </c>
      <c r="BR5" s="48">
        <v>0.85</v>
      </c>
      <c r="BS5" s="48">
        <v>0.85</v>
      </c>
      <c r="BT5" s="48">
        <v>0.85</v>
      </c>
      <c r="BU5" s="48">
        <v>0.85</v>
      </c>
      <c r="BV5" s="48">
        <v>0.85</v>
      </c>
      <c r="BW5" s="48">
        <v>0.85</v>
      </c>
      <c r="BX5" s="48">
        <v>0.85</v>
      </c>
      <c r="BY5" s="48">
        <v>0.85</v>
      </c>
      <c r="BZ5" s="48">
        <v>0.85</v>
      </c>
      <c r="CA5" s="48">
        <v>0.85</v>
      </c>
      <c r="CB5" s="48">
        <v>0.85</v>
      </c>
      <c r="CC5" s="48">
        <v>0.85</v>
      </c>
      <c r="CD5" s="48">
        <v>0.85</v>
      </c>
      <c r="CE5" s="48">
        <v>0.85</v>
      </c>
      <c r="CF5" s="48">
        <v>0.85</v>
      </c>
      <c r="CG5" s="48">
        <v>0.85</v>
      </c>
      <c r="CH5" s="48">
        <v>0.85</v>
      </c>
      <c r="CI5" s="48">
        <v>0.85</v>
      </c>
      <c r="CJ5" s="48">
        <v>0.85</v>
      </c>
      <c r="CK5" s="48">
        <v>0.85</v>
      </c>
      <c r="CL5" s="48">
        <v>0.85</v>
      </c>
      <c r="CM5" s="48">
        <v>0.85</v>
      </c>
      <c r="CN5" s="48">
        <v>0.85</v>
      </c>
      <c r="CO5" s="48">
        <v>0.85</v>
      </c>
      <c r="CP5" s="48">
        <v>0.85</v>
      </c>
      <c r="CQ5" s="48">
        <v>0.85</v>
      </c>
      <c r="CR5" s="48">
        <v>0.85</v>
      </c>
      <c r="CS5" s="48">
        <v>0.85</v>
      </c>
      <c r="CT5" s="48">
        <v>0.85</v>
      </c>
      <c r="CU5" s="48">
        <v>0.85</v>
      </c>
      <c r="CV5" s="48">
        <v>0.85</v>
      </c>
      <c r="CW5" s="48">
        <v>0.85</v>
      </c>
      <c r="CX5" s="48">
        <v>0.85</v>
      </c>
      <c r="CY5" s="48">
        <v>0.85</v>
      </c>
      <c r="CZ5" s="48">
        <v>0.85</v>
      </c>
      <c r="DA5" s="48">
        <v>0.85</v>
      </c>
      <c r="DB5" s="48">
        <v>0.85</v>
      </c>
      <c r="DC5" s="48">
        <v>0.85</v>
      </c>
      <c r="DD5" s="48">
        <v>0.85</v>
      </c>
      <c r="DE5" s="48">
        <v>0.85</v>
      </c>
      <c r="DF5" s="48">
        <v>0.85</v>
      </c>
      <c r="DG5" s="48">
        <v>0.85</v>
      </c>
      <c r="DH5" s="48">
        <v>0.85</v>
      </c>
      <c r="DI5" s="48">
        <v>0.85</v>
      </c>
      <c r="DJ5" s="48">
        <v>0.85</v>
      </c>
      <c r="DK5" s="48">
        <v>0.85</v>
      </c>
      <c r="DL5" s="48">
        <v>0.85</v>
      </c>
      <c r="DM5" s="48">
        <v>0.85</v>
      </c>
      <c r="DN5" s="48">
        <v>0.85</v>
      </c>
      <c r="DO5" s="48">
        <v>0.85</v>
      </c>
      <c r="DP5" s="48">
        <v>0.85</v>
      </c>
      <c r="DQ5" s="48">
        <v>0.85</v>
      </c>
      <c r="DR5" s="48">
        <v>0.85</v>
      </c>
      <c r="DS5" s="48">
        <v>0.85</v>
      </c>
      <c r="DT5" s="48">
        <v>0.85</v>
      </c>
      <c r="DU5" s="48">
        <v>0.85</v>
      </c>
      <c r="DV5" s="48">
        <v>0.85</v>
      </c>
      <c r="DW5" s="48">
        <v>0.85</v>
      </c>
      <c r="DX5" s="48">
        <v>0.85</v>
      </c>
      <c r="DY5" s="48">
        <v>0.85</v>
      </c>
      <c r="DZ5" s="48">
        <v>0.85</v>
      </c>
      <c r="EA5" s="48">
        <v>0.85</v>
      </c>
      <c r="EB5" s="48">
        <v>0.85</v>
      </c>
      <c r="EC5" s="48">
        <v>0.85</v>
      </c>
      <c r="ED5" s="48">
        <v>0.85</v>
      </c>
      <c r="EE5" s="48">
        <v>0.85</v>
      </c>
      <c r="EF5" s="48">
        <v>0.85</v>
      </c>
      <c r="EG5" s="48">
        <v>0.85</v>
      </c>
      <c r="EH5" s="48">
        <v>0.85</v>
      </c>
      <c r="EI5" s="48">
        <v>0.85</v>
      </c>
      <c r="EJ5" s="48">
        <v>0.85</v>
      </c>
      <c r="EK5" s="48">
        <v>0.85</v>
      </c>
      <c r="EL5" s="48">
        <v>0.85</v>
      </c>
      <c r="EM5" s="48">
        <v>0.85</v>
      </c>
      <c r="EN5" s="48">
        <v>0.85</v>
      </c>
      <c r="EO5" s="48">
        <v>0.85</v>
      </c>
      <c r="EP5" s="48">
        <v>0.85</v>
      </c>
      <c r="EQ5" s="48">
        <v>0.85</v>
      </c>
      <c r="ER5" s="48">
        <v>0.85</v>
      </c>
      <c r="ES5" s="48">
        <v>0.85</v>
      </c>
      <c r="ET5" s="48">
        <v>0.85</v>
      </c>
      <c r="EU5" s="48">
        <v>0.85</v>
      </c>
      <c r="EV5" s="48">
        <v>0.85</v>
      </c>
      <c r="EW5" s="48">
        <v>0.85</v>
      </c>
      <c r="EX5" s="48">
        <v>0.85</v>
      </c>
      <c r="EY5" s="48">
        <v>0.85</v>
      </c>
      <c r="EZ5" s="48">
        <v>0.85</v>
      </c>
      <c r="FA5" s="48">
        <v>0.85</v>
      </c>
      <c r="FB5" s="48">
        <v>0.85</v>
      </c>
      <c r="FC5" s="48">
        <v>0.85</v>
      </c>
      <c r="FD5" s="48">
        <v>0.85</v>
      </c>
      <c r="FE5" s="48">
        <v>0.85</v>
      </c>
      <c r="FF5" s="48">
        <v>0.85</v>
      </c>
      <c r="FG5" s="48">
        <v>0.85</v>
      </c>
      <c r="FH5" s="48">
        <v>0.85</v>
      </c>
      <c r="FI5" s="48">
        <v>0.85</v>
      </c>
      <c r="FJ5" s="48">
        <v>0.85</v>
      </c>
      <c r="FK5" s="48">
        <v>0.85</v>
      </c>
      <c r="FL5" s="48">
        <v>0.85</v>
      </c>
      <c r="FM5" s="48">
        <v>0.85</v>
      </c>
      <c r="FN5" s="48">
        <v>0.85</v>
      </c>
      <c r="FO5" s="48">
        <v>0.85</v>
      </c>
      <c r="FP5" s="48">
        <v>0.85</v>
      </c>
      <c r="FQ5" s="48">
        <v>0.85</v>
      </c>
      <c r="FR5" s="48">
        <v>0.85</v>
      </c>
      <c r="FS5" s="48">
        <v>0.85</v>
      </c>
      <c r="FT5" s="48">
        <v>0.85</v>
      </c>
      <c r="FU5" s="48">
        <v>0.85</v>
      </c>
      <c r="FV5" s="48">
        <v>0.85</v>
      </c>
      <c r="FW5" s="48">
        <v>0.85</v>
      </c>
      <c r="FX5" s="48">
        <v>0.85</v>
      </c>
      <c r="FY5" s="48">
        <v>0.85</v>
      </c>
      <c r="FZ5" s="48">
        <v>0.85</v>
      </c>
      <c r="GA5" s="48">
        <v>0.85</v>
      </c>
      <c r="GB5" s="48">
        <v>0.85</v>
      </c>
      <c r="GC5" s="48">
        <v>0.85</v>
      </c>
      <c r="GD5" s="48">
        <v>0.85</v>
      </c>
      <c r="GE5" s="48">
        <v>0.85</v>
      </c>
      <c r="GF5" s="48">
        <v>0.85</v>
      </c>
      <c r="GG5" s="48">
        <v>0.85</v>
      </c>
      <c r="GH5" s="48">
        <v>0.85</v>
      </c>
      <c r="GI5" s="48">
        <v>0.85</v>
      </c>
      <c r="GJ5" s="48">
        <v>0.85</v>
      </c>
      <c r="GK5" s="48">
        <v>0.85</v>
      </c>
      <c r="GL5" s="48">
        <v>0.85</v>
      </c>
      <c r="GM5" s="48">
        <v>0.85</v>
      </c>
      <c r="GN5" s="48">
        <v>0.85</v>
      </c>
      <c r="GO5" s="48">
        <v>0.85</v>
      </c>
      <c r="GP5" s="48">
        <v>0.85</v>
      </c>
      <c r="GQ5" s="48">
        <v>0.85</v>
      </c>
      <c r="GR5" s="48">
        <v>0.85</v>
      </c>
      <c r="GS5" s="48">
        <v>0.85</v>
      </c>
      <c r="GT5" s="48">
        <v>0.85</v>
      </c>
      <c r="GU5" s="48">
        <v>0.85</v>
      </c>
      <c r="GV5" s="48">
        <v>0.85</v>
      </c>
      <c r="GW5" s="48">
        <v>0.85</v>
      </c>
      <c r="GX5" s="48">
        <v>0.85</v>
      </c>
      <c r="GY5" s="48">
        <v>0.85</v>
      </c>
      <c r="GZ5" s="48">
        <v>0.85</v>
      </c>
      <c r="HA5" s="48">
        <v>0.85</v>
      </c>
      <c r="HB5" s="48">
        <v>0.85</v>
      </c>
      <c r="HC5" s="48">
        <v>0.85</v>
      </c>
      <c r="HD5" s="48">
        <v>0.85</v>
      </c>
      <c r="HE5" s="48">
        <v>0.85</v>
      </c>
      <c r="HF5" s="48">
        <v>0.85</v>
      </c>
      <c r="HG5" s="48">
        <v>0.85</v>
      </c>
      <c r="HH5" s="48">
        <v>0.85</v>
      </c>
      <c r="HI5" s="48">
        <v>0.85</v>
      </c>
      <c r="HJ5" s="48">
        <v>0.85</v>
      </c>
      <c r="HK5" s="48">
        <v>0.85</v>
      </c>
      <c r="HL5" s="48">
        <v>0.85</v>
      </c>
      <c r="HM5" s="48">
        <v>0.85</v>
      </c>
      <c r="HN5" s="48">
        <v>0.85</v>
      </c>
      <c r="HO5" s="48">
        <v>0.85</v>
      </c>
      <c r="HP5" s="48">
        <v>0.85</v>
      </c>
      <c r="HQ5" s="48">
        <v>0.85</v>
      </c>
      <c r="HR5" s="48">
        <v>0.85</v>
      </c>
      <c r="HS5" s="48">
        <v>0.85</v>
      </c>
      <c r="HT5" s="48">
        <v>0.85</v>
      </c>
      <c r="HU5" s="48">
        <v>0.85</v>
      </c>
      <c r="HV5" s="48">
        <v>0.85</v>
      </c>
      <c r="HW5" s="48">
        <v>0.85</v>
      </c>
      <c r="HX5" s="48">
        <v>0.85</v>
      </c>
      <c r="HY5" s="48">
        <v>0.85</v>
      </c>
      <c r="HZ5" s="48">
        <v>0.85</v>
      </c>
      <c r="IA5" s="48">
        <v>0.85</v>
      </c>
      <c r="IB5" s="48">
        <v>0.85</v>
      </c>
      <c r="IC5" s="48">
        <v>0.85</v>
      </c>
      <c r="ID5" s="48">
        <v>0.85</v>
      </c>
      <c r="IE5" s="48">
        <v>0.85</v>
      </c>
      <c r="IF5" s="48">
        <v>0.85</v>
      </c>
      <c r="IG5" s="48">
        <v>0.85</v>
      </c>
      <c r="IH5" s="48">
        <v>0.85</v>
      </c>
    </row>
    <row r="6" spans="1:243" x14ac:dyDescent="0.45">
      <c r="A6" s="888" t="s">
        <v>210</v>
      </c>
      <c r="B6" s="889"/>
      <c r="C6" s="48">
        <v>0</v>
      </c>
      <c r="D6" s="48">
        <v>0</v>
      </c>
      <c r="E6" s="48">
        <v>0</v>
      </c>
      <c r="F6" s="48">
        <v>0</v>
      </c>
      <c r="G6" s="48">
        <v>0</v>
      </c>
      <c r="H6" s="48">
        <v>0</v>
      </c>
      <c r="I6" s="48">
        <v>0</v>
      </c>
      <c r="J6" s="48">
        <v>0</v>
      </c>
      <c r="K6" s="48">
        <v>0</v>
      </c>
      <c r="L6" s="48">
        <v>0</v>
      </c>
      <c r="M6" s="48">
        <v>0</v>
      </c>
      <c r="N6" s="48">
        <v>0</v>
      </c>
      <c r="O6" s="48">
        <v>0</v>
      </c>
      <c r="P6" s="48">
        <v>0</v>
      </c>
      <c r="Q6" s="48">
        <v>0</v>
      </c>
      <c r="R6" s="48">
        <v>0</v>
      </c>
      <c r="S6" s="48">
        <v>0</v>
      </c>
      <c r="T6" s="48">
        <v>0</v>
      </c>
      <c r="U6" s="48">
        <v>0</v>
      </c>
      <c r="V6" s="48">
        <v>0</v>
      </c>
      <c r="W6" s="48">
        <v>0</v>
      </c>
      <c r="X6" s="48">
        <v>0</v>
      </c>
      <c r="Y6" s="48">
        <v>0</v>
      </c>
      <c r="Z6" s="48">
        <v>0</v>
      </c>
      <c r="AA6" s="48">
        <v>0.3</v>
      </c>
      <c r="AB6" s="48">
        <v>0.3</v>
      </c>
      <c r="AC6" s="48">
        <v>0.3</v>
      </c>
      <c r="AD6" s="48">
        <v>0.3</v>
      </c>
      <c r="AE6" s="48">
        <v>0.3</v>
      </c>
      <c r="AF6" s="48">
        <v>0.3</v>
      </c>
      <c r="AG6" s="48">
        <v>0.3</v>
      </c>
      <c r="AH6" s="48">
        <v>0.3</v>
      </c>
      <c r="AI6" s="48">
        <v>0.3</v>
      </c>
      <c r="AJ6" s="48">
        <v>0.3</v>
      </c>
      <c r="AK6" s="48">
        <v>0.3</v>
      </c>
      <c r="AL6" s="48">
        <v>0.3</v>
      </c>
      <c r="AM6" s="48">
        <v>0.5</v>
      </c>
      <c r="AN6" s="48">
        <v>0.5</v>
      </c>
      <c r="AO6" s="48">
        <v>0.5</v>
      </c>
      <c r="AP6" s="48">
        <v>0.5</v>
      </c>
      <c r="AQ6" s="48">
        <v>0.5</v>
      </c>
      <c r="AR6" s="48">
        <v>0.5</v>
      </c>
      <c r="AS6" s="48">
        <v>0.5</v>
      </c>
      <c r="AT6" s="48">
        <v>0.5</v>
      </c>
      <c r="AU6" s="48">
        <v>0.5</v>
      </c>
      <c r="AV6" s="48">
        <v>0.5</v>
      </c>
      <c r="AW6" s="48">
        <v>0.5</v>
      </c>
      <c r="AX6" s="48">
        <v>0.5</v>
      </c>
      <c r="AY6" s="48">
        <v>0.7</v>
      </c>
      <c r="AZ6" s="48">
        <v>0.7</v>
      </c>
      <c r="BA6" s="48">
        <v>0.7</v>
      </c>
      <c r="BB6" s="48">
        <v>0.7</v>
      </c>
      <c r="BC6" s="48">
        <v>0.7</v>
      </c>
      <c r="BD6" s="48">
        <v>0.7</v>
      </c>
      <c r="BE6" s="48">
        <v>0.7</v>
      </c>
      <c r="BF6" s="48">
        <v>0.7</v>
      </c>
      <c r="BG6" s="48">
        <v>0.7</v>
      </c>
      <c r="BH6" s="48">
        <v>0.7</v>
      </c>
      <c r="BI6" s="48">
        <v>0.7</v>
      </c>
      <c r="BJ6" s="48">
        <v>0.7</v>
      </c>
      <c r="BK6" s="48">
        <v>0.85</v>
      </c>
      <c r="BL6" s="48">
        <v>0.85</v>
      </c>
      <c r="BM6" s="48">
        <v>0.85</v>
      </c>
      <c r="BN6" s="48">
        <v>0.85</v>
      </c>
      <c r="BO6" s="48">
        <v>0.85</v>
      </c>
      <c r="BP6" s="48">
        <v>0.85</v>
      </c>
      <c r="BQ6" s="48">
        <v>0.85</v>
      </c>
      <c r="BR6" s="48">
        <v>0.85</v>
      </c>
      <c r="BS6" s="48">
        <v>0.85</v>
      </c>
      <c r="BT6" s="48">
        <v>0.85</v>
      </c>
      <c r="BU6" s="48">
        <v>0.85</v>
      </c>
      <c r="BV6" s="48">
        <v>0.85</v>
      </c>
      <c r="BW6" s="48">
        <v>0.85</v>
      </c>
      <c r="BX6" s="48">
        <v>0.85</v>
      </c>
      <c r="BY6" s="48">
        <v>0.85</v>
      </c>
      <c r="BZ6" s="48">
        <v>0.85</v>
      </c>
      <c r="CA6" s="48">
        <v>0.85</v>
      </c>
      <c r="CB6" s="48">
        <v>0.85</v>
      </c>
      <c r="CC6" s="48">
        <v>0.85</v>
      </c>
      <c r="CD6" s="48">
        <v>0.85</v>
      </c>
      <c r="CE6" s="48">
        <v>0.85</v>
      </c>
      <c r="CF6" s="48">
        <v>0.85</v>
      </c>
      <c r="CG6" s="48">
        <v>0.85</v>
      </c>
      <c r="CH6" s="48">
        <v>0.85</v>
      </c>
      <c r="CI6" s="48">
        <v>0.85</v>
      </c>
      <c r="CJ6" s="48">
        <v>0.85</v>
      </c>
      <c r="CK6" s="48">
        <v>0.85</v>
      </c>
      <c r="CL6" s="48">
        <v>0.85</v>
      </c>
      <c r="CM6" s="48">
        <v>0.85</v>
      </c>
      <c r="CN6" s="48">
        <v>0.85</v>
      </c>
      <c r="CO6" s="48">
        <v>0.85</v>
      </c>
      <c r="CP6" s="48">
        <v>0.85</v>
      </c>
      <c r="CQ6" s="48">
        <v>0.85</v>
      </c>
      <c r="CR6" s="48">
        <v>0.85</v>
      </c>
      <c r="CS6" s="48">
        <v>0.85</v>
      </c>
      <c r="CT6" s="48">
        <v>0.85</v>
      </c>
      <c r="CU6" s="48">
        <v>0.85</v>
      </c>
      <c r="CV6" s="48">
        <v>0.85</v>
      </c>
      <c r="CW6" s="48">
        <v>0.85</v>
      </c>
      <c r="CX6" s="48">
        <v>0.85</v>
      </c>
      <c r="CY6" s="48">
        <v>0.85</v>
      </c>
      <c r="CZ6" s="48">
        <v>0.85</v>
      </c>
      <c r="DA6" s="48">
        <v>0.85</v>
      </c>
      <c r="DB6" s="48">
        <v>0.85</v>
      </c>
      <c r="DC6" s="48">
        <v>0.85</v>
      </c>
      <c r="DD6" s="48">
        <v>0.85</v>
      </c>
      <c r="DE6" s="48">
        <v>0.85</v>
      </c>
      <c r="DF6" s="48">
        <v>0.85</v>
      </c>
      <c r="DG6" s="48">
        <v>0.85</v>
      </c>
      <c r="DH6" s="48">
        <v>0.85</v>
      </c>
      <c r="DI6" s="48">
        <v>0.85</v>
      </c>
      <c r="DJ6" s="48">
        <v>0.85</v>
      </c>
      <c r="DK6" s="48">
        <v>0.85</v>
      </c>
      <c r="DL6" s="48">
        <v>0.85</v>
      </c>
      <c r="DM6" s="48">
        <v>0.85</v>
      </c>
      <c r="DN6" s="48">
        <v>0.85</v>
      </c>
      <c r="DO6" s="48">
        <v>0.85</v>
      </c>
      <c r="DP6" s="48">
        <v>0.85</v>
      </c>
      <c r="DQ6" s="48">
        <v>0.85</v>
      </c>
      <c r="DR6" s="48">
        <v>0.85</v>
      </c>
      <c r="DS6" s="48">
        <v>0.85</v>
      </c>
      <c r="DT6" s="48">
        <v>0.85</v>
      </c>
      <c r="DU6" s="48">
        <v>0.85</v>
      </c>
      <c r="DV6" s="48">
        <v>0.85</v>
      </c>
      <c r="DW6" s="48">
        <v>0.85</v>
      </c>
      <c r="DX6" s="48">
        <v>0.85</v>
      </c>
      <c r="DY6" s="48">
        <v>0.85</v>
      </c>
      <c r="DZ6" s="48">
        <v>0.85</v>
      </c>
      <c r="EA6" s="48">
        <v>0.85</v>
      </c>
      <c r="EB6" s="48">
        <v>0.85</v>
      </c>
      <c r="EC6" s="48">
        <v>0.85</v>
      </c>
      <c r="ED6" s="48">
        <v>0.85</v>
      </c>
      <c r="EE6" s="48">
        <v>0.85</v>
      </c>
      <c r="EF6" s="48">
        <v>0.85</v>
      </c>
      <c r="EG6" s="48">
        <v>0.85</v>
      </c>
      <c r="EH6" s="48">
        <v>0.85</v>
      </c>
      <c r="EI6" s="48">
        <v>0.85</v>
      </c>
      <c r="EJ6" s="48">
        <v>0.85</v>
      </c>
      <c r="EK6" s="48">
        <v>0.85</v>
      </c>
      <c r="EL6" s="48">
        <v>0.85</v>
      </c>
      <c r="EM6" s="48">
        <v>0.85</v>
      </c>
      <c r="EN6" s="48">
        <v>0.85</v>
      </c>
      <c r="EO6" s="48">
        <v>0.85</v>
      </c>
      <c r="EP6" s="48">
        <v>0.85</v>
      </c>
      <c r="EQ6" s="48">
        <v>0.85</v>
      </c>
      <c r="ER6" s="48">
        <v>0.85</v>
      </c>
      <c r="ES6" s="48">
        <v>0.85</v>
      </c>
      <c r="ET6" s="48">
        <v>0.85</v>
      </c>
      <c r="EU6" s="48">
        <v>0.85</v>
      </c>
      <c r="EV6" s="48">
        <v>0.85</v>
      </c>
      <c r="EW6" s="48">
        <v>0.85</v>
      </c>
      <c r="EX6" s="48">
        <v>0.85</v>
      </c>
      <c r="EY6" s="48">
        <v>0.85</v>
      </c>
      <c r="EZ6" s="48">
        <v>0.85</v>
      </c>
      <c r="FA6" s="48">
        <v>0.85</v>
      </c>
      <c r="FB6" s="48">
        <v>0.85</v>
      </c>
      <c r="FC6" s="48">
        <v>0.85</v>
      </c>
      <c r="FD6" s="48">
        <v>0.85</v>
      </c>
      <c r="FE6" s="48">
        <v>0.85</v>
      </c>
      <c r="FF6" s="48">
        <v>0.85</v>
      </c>
      <c r="FG6" s="48">
        <v>0.85</v>
      </c>
      <c r="FH6" s="48">
        <v>0.85</v>
      </c>
      <c r="FI6" s="48">
        <v>0.85</v>
      </c>
      <c r="FJ6" s="48">
        <v>0.85</v>
      </c>
      <c r="FK6" s="48">
        <v>0.85</v>
      </c>
      <c r="FL6" s="48">
        <v>0.85</v>
      </c>
      <c r="FM6" s="48">
        <v>0.85</v>
      </c>
      <c r="FN6" s="48">
        <v>0.85</v>
      </c>
      <c r="FO6" s="48">
        <v>0.85</v>
      </c>
      <c r="FP6" s="48">
        <v>0.85</v>
      </c>
      <c r="FQ6" s="48">
        <v>0.85</v>
      </c>
      <c r="FR6" s="48">
        <v>0.85</v>
      </c>
      <c r="FS6" s="48">
        <v>0.85</v>
      </c>
      <c r="FT6" s="48">
        <v>0.85</v>
      </c>
      <c r="FU6" s="48">
        <v>0.85</v>
      </c>
      <c r="FV6" s="48">
        <v>0.85</v>
      </c>
      <c r="FW6" s="48">
        <v>0.85</v>
      </c>
      <c r="FX6" s="48">
        <v>0.85</v>
      </c>
      <c r="FY6" s="48">
        <v>0.85</v>
      </c>
      <c r="FZ6" s="48">
        <v>0.85</v>
      </c>
      <c r="GA6" s="48">
        <v>0.85</v>
      </c>
      <c r="GB6" s="48">
        <v>0.85</v>
      </c>
      <c r="GC6" s="48">
        <v>0.85</v>
      </c>
      <c r="GD6" s="48">
        <v>0.85</v>
      </c>
      <c r="GE6" s="48">
        <v>0.85</v>
      </c>
      <c r="GF6" s="48">
        <v>0.85</v>
      </c>
      <c r="GG6" s="48">
        <v>0.85</v>
      </c>
      <c r="GH6" s="48">
        <v>0.85</v>
      </c>
      <c r="GI6" s="48">
        <v>0.85</v>
      </c>
      <c r="GJ6" s="48">
        <v>0.85</v>
      </c>
      <c r="GK6" s="48">
        <v>0.85</v>
      </c>
      <c r="GL6" s="48">
        <v>0.85</v>
      </c>
      <c r="GM6" s="48">
        <v>0.85</v>
      </c>
      <c r="GN6" s="48">
        <v>0.85</v>
      </c>
      <c r="GO6" s="48">
        <v>0.85</v>
      </c>
      <c r="GP6" s="48">
        <v>0.85</v>
      </c>
      <c r="GQ6" s="48">
        <v>0.85</v>
      </c>
      <c r="GR6" s="48">
        <v>0.85</v>
      </c>
      <c r="GS6" s="48">
        <v>0.85</v>
      </c>
      <c r="GT6" s="48">
        <v>0.85</v>
      </c>
      <c r="GU6" s="48">
        <v>0.85</v>
      </c>
      <c r="GV6" s="48">
        <v>0.85</v>
      </c>
      <c r="GW6" s="48">
        <v>0.85</v>
      </c>
      <c r="GX6" s="48">
        <v>0.85</v>
      </c>
      <c r="GY6" s="48">
        <v>0.85</v>
      </c>
      <c r="GZ6" s="48">
        <v>0.85</v>
      </c>
      <c r="HA6" s="48">
        <v>0.85</v>
      </c>
      <c r="HB6" s="48">
        <v>0.85</v>
      </c>
      <c r="HC6" s="48">
        <v>0.85</v>
      </c>
      <c r="HD6" s="48">
        <v>0.85</v>
      </c>
      <c r="HE6" s="48">
        <v>0.85</v>
      </c>
      <c r="HF6" s="48">
        <v>0.85</v>
      </c>
      <c r="HG6" s="48">
        <v>0.85</v>
      </c>
      <c r="HH6" s="48">
        <v>0.85</v>
      </c>
      <c r="HI6" s="48">
        <v>0.85</v>
      </c>
      <c r="HJ6" s="48">
        <v>0.85</v>
      </c>
      <c r="HK6" s="48">
        <v>0.85</v>
      </c>
      <c r="HL6" s="48">
        <v>0.85</v>
      </c>
      <c r="HM6" s="48">
        <v>0.85</v>
      </c>
      <c r="HN6" s="48">
        <v>0.85</v>
      </c>
      <c r="HO6" s="48">
        <v>0.85</v>
      </c>
      <c r="HP6" s="48">
        <v>0.85</v>
      </c>
      <c r="HQ6" s="48">
        <v>0.85</v>
      </c>
      <c r="HR6" s="48">
        <v>0.85</v>
      </c>
      <c r="HS6" s="48">
        <v>0.85</v>
      </c>
      <c r="HT6" s="48">
        <v>0.85</v>
      </c>
      <c r="HU6" s="48">
        <v>0.85</v>
      </c>
      <c r="HV6" s="48">
        <v>0.85</v>
      </c>
      <c r="HW6" s="48">
        <v>0.85</v>
      </c>
      <c r="HX6" s="48">
        <v>0.85</v>
      </c>
      <c r="HY6" s="48">
        <v>0.85</v>
      </c>
      <c r="HZ6" s="48">
        <v>0.85</v>
      </c>
      <c r="IA6" s="48">
        <v>0.85</v>
      </c>
      <c r="IB6" s="48">
        <v>0.85</v>
      </c>
      <c r="IC6" s="48">
        <v>0.85</v>
      </c>
      <c r="ID6" s="48">
        <v>0.85</v>
      </c>
      <c r="IE6" s="48">
        <v>0.85</v>
      </c>
      <c r="IF6" s="48">
        <v>0.85</v>
      </c>
      <c r="IG6" s="48">
        <v>0.85</v>
      </c>
      <c r="IH6" s="48">
        <v>0.85</v>
      </c>
    </row>
    <row r="7" spans="1:243" x14ac:dyDescent="0.45">
      <c r="A7" s="888" t="s">
        <v>211</v>
      </c>
      <c r="B7" s="889"/>
      <c r="C7" s="48">
        <v>0</v>
      </c>
      <c r="D7" s="48">
        <v>0</v>
      </c>
      <c r="E7" s="48">
        <v>0</v>
      </c>
      <c r="F7" s="48">
        <v>0</v>
      </c>
      <c r="G7" s="48">
        <v>0</v>
      </c>
      <c r="H7" s="48">
        <v>0</v>
      </c>
      <c r="I7" s="48">
        <v>0</v>
      </c>
      <c r="J7" s="48">
        <v>0</v>
      </c>
      <c r="K7" s="48">
        <v>0</v>
      </c>
      <c r="L7" s="48">
        <v>0</v>
      </c>
      <c r="M7" s="48">
        <v>0</v>
      </c>
      <c r="N7" s="48">
        <v>0</v>
      </c>
      <c r="O7" s="48">
        <v>0</v>
      </c>
      <c r="P7" s="48">
        <v>0</v>
      </c>
      <c r="Q7" s="48">
        <v>0</v>
      </c>
      <c r="R7" s="48">
        <v>0</v>
      </c>
      <c r="S7" s="48">
        <v>0</v>
      </c>
      <c r="T7" s="48">
        <v>0</v>
      </c>
      <c r="U7" s="48">
        <v>0</v>
      </c>
      <c r="V7" s="48">
        <v>0</v>
      </c>
      <c r="W7" s="48">
        <v>0</v>
      </c>
      <c r="X7" s="48">
        <v>0</v>
      </c>
      <c r="Y7" s="48">
        <v>0</v>
      </c>
      <c r="Z7" s="48">
        <v>0</v>
      </c>
      <c r="AA7" s="48">
        <v>0.3</v>
      </c>
      <c r="AB7" s="48">
        <v>0.3</v>
      </c>
      <c r="AC7" s="48">
        <v>0.3</v>
      </c>
      <c r="AD7" s="48">
        <v>0.3</v>
      </c>
      <c r="AE7" s="48">
        <v>0.3</v>
      </c>
      <c r="AF7" s="48">
        <v>0.3</v>
      </c>
      <c r="AG7" s="48">
        <v>0.3</v>
      </c>
      <c r="AH7" s="48">
        <v>0.3</v>
      </c>
      <c r="AI7" s="48">
        <v>0.3</v>
      </c>
      <c r="AJ7" s="48">
        <v>0.3</v>
      </c>
      <c r="AK7" s="48">
        <v>0.3</v>
      </c>
      <c r="AL7" s="48">
        <v>0.3</v>
      </c>
      <c r="AM7" s="48">
        <v>0.5</v>
      </c>
      <c r="AN7" s="48">
        <v>0.5</v>
      </c>
      <c r="AO7" s="48">
        <v>0.5</v>
      </c>
      <c r="AP7" s="48">
        <v>0.5</v>
      </c>
      <c r="AQ7" s="48">
        <v>0.5</v>
      </c>
      <c r="AR7" s="48">
        <v>0.5</v>
      </c>
      <c r="AS7" s="48">
        <v>0.5</v>
      </c>
      <c r="AT7" s="48">
        <v>0.5</v>
      </c>
      <c r="AU7" s="48">
        <v>0.5</v>
      </c>
      <c r="AV7" s="48">
        <v>0.5</v>
      </c>
      <c r="AW7" s="48">
        <v>0.5</v>
      </c>
      <c r="AX7" s="48">
        <v>0.5</v>
      </c>
      <c r="AY7" s="48">
        <v>0.7</v>
      </c>
      <c r="AZ7" s="48">
        <v>0.7</v>
      </c>
      <c r="BA7" s="48">
        <v>0.7</v>
      </c>
      <c r="BB7" s="48">
        <v>0.7</v>
      </c>
      <c r="BC7" s="48">
        <v>0.7</v>
      </c>
      <c r="BD7" s="48">
        <v>0.7</v>
      </c>
      <c r="BE7" s="48">
        <v>0.7</v>
      </c>
      <c r="BF7" s="48">
        <v>0.7</v>
      </c>
      <c r="BG7" s="48">
        <v>0.7</v>
      </c>
      <c r="BH7" s="48">
        <v>0.7</v>
      </c>
      <c r="BI7" s="48">
        <v>0.7</v>
      </c>
      <c r="BJ7" s="48">
        <v>0.7</v>
      </c>
      <c r="BK7" s="48">
        <v>0.85</v>
      </c>
      <c r="BL7" s="48">
        <v>0.85</v>
      </c>
      <c r="BM7" s="48">
        <v>0.85</v>
      </c>
      <c r="BN7" s="48">
        <v>0.85</v>
      </c>
      <c r="BO7" s="48">
        <v>0.85</v>
      </c>
      <c r="BP7" s="48">
        <v>0.85</v>
      </c>
      <c r="BQ7" s="48">
        <v>0.85</v>
      </c>
      <c r="BR7" s="48">
        <v>0.85</v>
      </c>
      <c r="BS7" s="48">
        <v>0.85</v>
      </c>
      <c r="BT7" s="48">
        <v>0.85</v>
      </c>
      <c r="BU7" s="48">
        <v>0.85</v>
      </c>
      <c r="BV7" s="48">
        <v>0.85</v>
      </c>
      <c r="BW7" s="48">
        <v>0.85</v>
      </c>
      <c r="BX7" s="48">
        <v>0.85</v>
      </c>
      <c r="BY7" s="48">
        <v>0.85</v>
      </c>
      <c r="BZ7" s="48">
        <v>0.85</v>
      </c>
      <c r="CA7" s="48">
        <v>0.85</v>
      </c>
      <c r="CB7" s="48">
        <v>0.85</v>
      </c>
      <c r="CC7" s="48">
        <v>0.85</v>
      </c>
      <c r="CD7" s="48">
        <v>0.85</v>
      </c>
      <c r="CE7" s="48">
        <v>0.85</v>
      </c>
      <c r="CF7" s="48">
        <v>0.85</v>
      </c>
      <c r="CG7" s="48">
        <v>0.85</v>
      </c>
      <c r="CH7" s="48">
        <v>0.85</v>
      </c>
      <c r="CI7" s="48">
        <v>0.85</v>
      </c>
      <c r="CJ7" s="48">
        <v>0.85</v>
      </c>
      <c r="CK7" s="48">
        <v>0.85</v>
      </c>
      <c r="CL7" s="48">
        <v>0.85</v>
      </c>
      <c r="CM7" s="48">
        <v>0.85</v>
      </c>
      <c r="CN7" s="48">
        <v>0.85</v>
      </c>
      <c r="CO7" s="48">
        <v>0.85</v>
      </c>
      <c r="CP7" s="48">
        <v>0.85</v>
      </c>
      <c r="CQ7" s="48">
        <v>0.85</v>
      </c>
      <c r="CR7" s="48">
        <v>0.85</v>
      </c>
      <c r="CS7" s="48">
        <v>0.85</v>
      </c>
      <c r="CT7" s="48">
        <v>0.85</v>
      </c>
      <c r="CU7" s="48">
        <v>0.85</v>
      </c>
      <c r="CV7" s="48">
        <v>0.85</v>
      </c>
      <c r="CW7" s="48">
        <v>0.85</v>
      </c>
      <c r="CX7" s="48">
        <v>0.85</v>
      </c>
      <c r="CY7" s="48">
        <v>0.85</v>
      </c>
      <c r="CZ7" s="48">
        <v>0.85</v>
      </c>
      <c r="DA7" s="48">
        <v>0.85</v>
      </c>
      <c r="DB7" s="48">
        <v>0.85</v>
      </c>
      <c r="DC7" s="48">
        <v>0.85</v>
      </c>
      <c r="DD7" s="48">
        <v>0.85</v>
      </c>
      <c r="DE7" s="48">
        <v>0.85</v>
      </c>
      <c r="DF7" s="48">
        <v>0.85</v>
      </c>
      <c r="DG7" s="48">
        <v>0.85</v>
      </c>
      <c r="DH7" s="48">
        <v>0.85</v>
      </c>
      <c r="DI7" s="48">
        <v>0.85</v>
      </c>
      <c r="DJ7" s="48">
        <v>0.85</v>
      </c>
      <c r="DK7" s="48">
        <v>0.85</v>
      </c>
      <c r="DL7" s="48">
        <v>0.85</v>
      </c>
      <c r="DM7" s="48">
        <v>0.85</v>
      </c>
      <c r="DN7" s="48">
        <v>0.85</v>
      </c>
      <c r="DO7" s="48">
        <v>0.85</v>
      </c>
      <c r="DP7" s="48">
        <v>0.85</v>
      </c>
      <c r="DQ7" s="48">
        <v>0.85</v>
      </c>
      <c r="DR7" s="48">
        <v>0.85</v>
      </c>
      <c r="DS7" s="48">
        <v>0.85</v>
      </c>
      <c r="DT7" s="48">
        <v>0.85</v>
      </c>
      <c r="DU7" s="48">
        <v>0.85</v>
      </c>
      <c r="DV7" s="48">
        <v>0.85</v>
      </c>
      <c r="DW7" s="48">
        <v>0.85</v>
      </c>
      <c r="DX7" s="48">
        <v>0.85</v>
      </c>
      <c r="DY7" s="48">
        <v>0.85</v>
      </c>
      <c r="DZ7" s="48">
        <v>0.85</v>
      </c>
      <c r="EA7" s="48">
        <v>0.85</v>
      </c>
      <c r="EB7" s="48">
        <v>0.85</v>
      </c>
      <c r="EC7" s="48">
        <v>0.85</v>
      </c>
      <c r="ED7" s="48">
        <v>0.85</v>
      </c>
      <c r="EE7" s="48">
        <v>0.85</v>
      </c>
      <c r="EF7" s="48">
        <v>0.85</v>
      </c>
      <c r="EG7" s="48">
        <v>0.85</v>
      </c>
      <c r="EH7" s="48">
        <v>0.85</v>
      </c>
      <c r="EI7" s="48">
        <v>0.85</v>
      </c>
      <c r="EJ7" s="48">
        <v>0.85</v>
      </c>
      <c r="EK7" s="48">
        <v>0.85</v>
      </c>
      <c r="EL7" s="48">
        <v>0.85</v>
      </c>
      <c r="EM7" s="48">
        <v>0.85</v>
      </c>
      <c r="EN7" s="48">
        <v>0.85</v>
      </c>
      <c r="EO7" s="48">
        <v>0.85</v>
      </c>
      <c r="EP7" s="48">
        <v>0.85</v>
      </c>
      <c r="EQ7" s="48">
        <v>0.85</v>
      </c>
      <c r="ER7" s="48">
        <v>0.85</v>
      </c>
      <c r="ES7" s="48">
        <v>0.85</v>
      </c>
      <c r="ET7" s="48">
        <v>0.85</v>
      </c>
      <c r="EU7" s="48">
        <v>0.85</v>
      </c>
      <c r="EV7" s="48">
        <v>0.85</v>
      </c>
      <c r="EW7" s="48">
        <v>0.85</v>
      </c>
      <c r="EX7" s="48">
        <v>0.85</v>
      </c>
      <c r="EY7" s="48">
        <v>0.85</v>
      </c>
      <c r="EZ7" s="48">
        <v>0.85</v>
      </c>
      <c r="FA7" s="48">
        <v>0.85</v>
      </c>
      <c r="FB7" s="48">
        <v>0.85</v>
      </c>
      <c r="FC7" s="48">
        <v>0.85</v>
      </c>
      <c r="FD7" s="48">
        <v>0.85</v>
      </c>
      <c r="FE7" s="48">
        <v>0.85</v>
      </c>
      <c r="FF7" s="48">
        <v>0.85</v>
      </c>
      <c r="FG7" s="48">
        <v>0.85</v>
      </c>
      <c r="FH7" s="48">
        <v>0.85</v>
      </c>
      <c r="FI7" s="48">
        <v>0.85</v>
      </c>
      <c r="FJ7" s="48">
        <v>0.85</v>
      </c>
      <c r="FK7" s="48">
        <v>0.85</v>
      </c>
      <c r="FL7" s="48">
        <v>0.85</v>
      </c>
      <c r="FM7" s="48">
        <v>0.85</v>
      </c>
      <c r="FN7" s="48">
        <v>0.85</v>
      </c>
      <c r="FO7" s="48">
        <v>0.85</v>
      </c>
      <c r="FP7" s="48">
        <v>0.85</v>
      </c>
      <c r="FQ7" s="48">
        <v>0.85</v>
      </c>
      <c r="FR7" s="48">
        <v>0.85</v>
      </c>
      <c r="FS7" s="48">
        <v>0.85</v>
      </c>
      <c r="FT7" s="48">
        <v>0.85</v>
      </c>
      <c r="FU7" s="48">
        <v>0.85</v>
      </c>
      <c r="FV7" s="48">
        <v>0.85</v>
      </c>
      <c r="FW7" s="48">
        <v>0.85</v>
      </c>
      <c r="FX7" s="48">
        <v>0.85</v>
      </c>
      <c r="FY7" s="48">
        <v>0.85</v>
      </c>
      <c r="FZ7" s="48">
        <v>0.85</v>
      </c>
      <c r="GA7" s="48">
        <v>0.85</v>
      </c>
      <c r="GB7" s="48">
        <v>0.85</v>
      </c>
      <c r="GC7" s="48">
        <v>0.85</v>
      </c>
      <c r="GD7" s="48">
        <v>0.85</v>
      </c>
      <c r="GE7" s="48">
        <v>0.85</v>
      </c>
      <c r="GF7" s="48">
        <v>0.85</v>
      </c>
      <c r="GG7" s="48">
        <v>0.85</v>
      </c>
      <c r="GH7" s="48">
        <v>0.85</v>
      </c>
      <c r="GI7" s="48">
        <v>0.85</v>
      </c>
      <c r="GJ7" s="48">
        <v>0.85</v>
      </c>
      <c r="GK7" s="48">
        <v>0.85</v>
      </c>
      <c r="GL7" s="48">
        <v>0.85</v>
      </c>
      <c r="GM7" s="48">
        <v>0.85</v>
      </c>
      <c r="GN7" s="48">
        <v>0.85</v>
      </c>
      <c r="GO7" s="48">
        <v>0.85</v>
      </c>
      <c r="GP7" s="48">
        <v>0.85</v>
      </c>
      <c r="GQ7" s="48">
        <v>0.85</v>
      </c>
      <c r="GR7" s="48">
        <v>0.85</v>
      </c>
      <c r="GS7" s="48">
        <v>0.85</v>
      </c>
      <c r="GT7" s="48">
        <v>0.85</v>
      </c>
      <c r="GU7" s="48">
        <v>0.85</v>
      </c>
      <c r="GV7" s="48">
        <v>0.85</v>
      </c>
      <c r="GW7" s="48">
        <v>0.85</v>
      </c>
      <c r="GX7" s="48">
        <v>0.85</v>
      </c>
      <c r="GY7" s="48">
        <v>0.85</v>
      </c>
      <c r="GZ7" s="48">
        <v>0.85</v>
      </c>
      <c r="HA7" s="48">
        <v>0.85</v>
      </c>
      <c r="HB7" s="48">
        <v>0.85</v>
      </c>
      <c r="HC7" s="48">
        <v>0.85</v>
      </c>
      <c r="HD7" s="48">
        <v>0.85</v>
      </c>
      <c r="HE7" s="48">
        <v>0.85</v>
      </c>
      <c r="HF7" s="48">
        <v>0.85</v>
      </c>
      <c r="HG7" s="48">
        <v>0.85</v>
      </c>
      <c r="HH7" s="48">
        <v>0.85</v>
      </c>
      <c r="HI7" s="48">
        <v>0.85</v>
      </c>
      <c r="HJ7" s="48">
        <v>0.85</v>
      </c>
      <c r="HK7" s="48">
        <v>0.85</v>
      </c>
      <c r="HL7" s="48">
        <v>0.85</v>
      </c>
      <c r="HM7" s="48">
        <v>0.85</v>
      </c>
      <c r="HN7" s="48">
        <v>0.85</v>
      </c>
      <c r="HO7" s="48">
        <v>0.85</v>
      </c>
      <c r="HP7" s="48">
        <v>0.85</v>
      </c>
      <c r="HQ7" s="48">
        <v>0.85</v>
      </c>
      <c r="HR7" s="48">
        <v>0.85</v>
      </c>
      <c r="HS7" s="48">
        <v>0.85</v>
      </c>
      <c r="HT7" s="48">
        <v>0.85</v>
      </c>
      <c r="HU7" s="48">
        <v>0.85</v>
      </c>
      <c r="HV7" s="48">
        <v>0.85</v>
      </c>
      <c r="HW7" s="48">
        <v>0.85</v>
      </c>
      <c r="HX7" s="48">
        <v>0.85</v>
      </c>
      <c r="HY7" s="48">
        <v>0.85</v>
      </c>
      <c r="HZ7" s="48">
        <v>0.85</v>
      </c>
      <c r="IA7" s="48">
        <v>0.85</v>
      </c>
      <c r="IB7" s="48">
        <v>0.85</v>
      </c>
      <c r="IC7" s="48">
        <v>0.85</v>
      </c>
      <c r="ID7" s="48">
        <v>0.85</v>
      </c>
      <c r="IE7" s="48">
        <v>0.85</v>
      </c>
      <c r="IF7" s="48">
        <v>0.85</v>
      </c>
      <c r="IG7" s="48">
        <v>0.85</v>
      </c>
      <c r="IH7" s="48">
        <v>0.85</v>
      </c>
    </row>
    <row r="8" spans="1:243" x14ac:dyDescent="0.45">
      <c r="A8" s="888" t="s">
        <v>212</v>
      </c>
      <c r="B8" s="889"/>
      <c r="C8" s="48">
        <v>0</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0.3</v>
      </c>
      <c r="AB8" s="48">
        <v>0.3</v>
      </c>
      <c r="AC8" s="48">
        <v>0.3</v>
      </c>
      <c r="AD8" s="48">
        <v>0.3</v>
      </c>
      <c r="AE8" s="48">
        <v>0.3</v>
      </c>
      <c r="AF8" s="48">
        <v>0.3</v>
      </c>
      <c r="AG8" s="48">
        <v>0.3</v>
      </c>
      <c r="AH8" s="48">
        <v>0.3</v>
      </c>
      <c r="AI8" s="48">
        <v>0.3</v>
      </c>
      <c r="AJ8" s="48">
        <v>0.3</v>
      </c>
      <c r="AK8" s="48">
        <v>0.3</v>
      </c>
      <c r="AL8" s="48">
        <v>0.3</v>
      </c>
      <c r="AM8" s="48">
        <v>0.5</v>
      </c>
      <c r="AN8" s="48">
        <v>0.5</v>
      </c>
      <c r="AO8" s="48">
        <v>0.5</v>
      </c>
      <c r="AP8" s="48">
        <v>0.5</v>
      </c>
      <c r="AQ8" s="48">
        <v>0.5</v>
      </c>
      <c r="AR8" s="48">
        <v>0.5</v>
      </c>
      <c r="AS8" s="48">
        <v>0.5</v>
      </c>
      <c r="AT8" s="48">
        <v>0.5</v>
      </c>
      <c r="AU8" s="48">
        <v>0.5</v>
      </c>
      <c r="AV8" s="48">
        <v>0.5</v>
      </c>
      <c r="AW8" s="48">
        <v>0.5</v>
      </c>
      <c r="AX8" s="48">
        <v>0.5</v>
      </c>
      <c r="AY8" s="48">
        <v>0.7</v>
      </c>
      <c r="AZ8" s="48">
        <v>0.7</v>
      </c>
      <c r="BA8" s="48">
        <v>0.7</v>
      </c>
      <c r="BB8" s="48">
        <v>0.7</v>
      </c>
      <c r="BC8" s="48">
        <v>0.7</v>
      </c>
      <c r="BD8" s="48">
        <v>0.7</v>
      </c>
      <c r="BE8" s="48">
        <v>0.7</v>
      </c>
      <c r="BF8" s="48">
        <v>0.7</v>
      </c>
      <c r="BG8" s="48">
        <v>0.7</v>
      </c>
      <c r="BH8" s="48">
        <v>0.7</v>
      </c>
      <c r="BI8" s="48">
        <v>0.7</v>
      </c>
      <c r="BJ8" s="48">
        <v>0.7</v>
      </c>
      <c r="BK8" s="48">
        <v>0.85</v>
      </c>
      <c r="BL8" s="48">
        <v>0.85</v>
      </c>
      <c r="BM8" s="48">
        <v>0.85</v>
      </c>
      <c r="BN8" s="48">
        <v>0.85</v>
      </c>
      <c r="BO8" s="48">
        <v>0.85</v>
      </c>
      <c r="BP8" s="48">
        <v>0.85</v>
      </c>
      <c r="BQ8" s="48">
        <v>0.85</v>
      </c>
      <c r="BR8" s="48">
        <v>0.85</v>
      </c>
      <c r="BS8" s="48">
        <v>0.85</v>
      </c>
      <c r="BT8" s="48">
        <v>0.85</v>
      </c>
      <c r="BU8" s="48">
        <v>0.85</v>
      </c>
      <c r="BV8" s="48">
        <v>0.85</v>
      </c>
      <c r="BW8" s="48">
        <v>0.85</v>
      </c>
      <c r="BX8" s="48">
        <v>0.85</v>
      </c>
      <c r="BY8" s="48">
        <v>0.85</v>
      </c>
      <c r="BZ8" s="48">
        <v>0.85</v>
      </c>
      <c r="CA8" s="48">
        <v>0.85</v>
      </c>
      <c r="CB8" s="48">
        <v>0.85</v>
      </c>
      <c r="CC8" s="48">
        <v>0.85</v>
      </c>
      <c r="CD8" s="48">
        <v>0.85</v>
      </c>
      <c r="CE8" s="48">
        <v>0.85</v>
      </c>
      <c r="CF8" s="48">
        <v>0.85</v>
      </c>
      <c r="CG8" s="48">
        <v>0.85</v>
      </c>
      <c r="CH8" s="48">
        <v>0.85</v>
      </c>
      <c r="CI8" s="48">
        <v>0.85</v>
      </c>
      <c r="CJ8" s="48">
        <v>0.85</v>
      </c>
      <c r="CK8" s="48">
        <v>0.85</v>
      </c>
      <c r="CL8" s="48">
        <v>0.85</v>
      </c>
      <c r="CM8" s="48">
        <v>0.85</v>
      </c>
      <c r="CN8" s="48">
        <v>0.85</v>
      </c>
      <c r="CO8" s="48">
        <v>0.85</v>
      </c>
      <c r="CP8" s="48">
        <v>0.85</v>
      </c>
      <c r="CQ8" s="48">
        <v>0.85</v>
      </c>
      <c r="CR8" s="48">
        <v>0.85</v>
      </c>
      <c r="CS8" s="48">
        <v>0.85</v>
      </c>
      <c r="CT8" s="48">
        <v>0.85</v>
      </c>
      <c r="CU8" s="48">
        <v>0.85</v>
      </c>
      <c r="CV8" s="48">
        <v>0.85</v>
      </c>
      <c r="CW8" s="48">
        <v>0.85</v>
      </c>
      <c r="CX8" s="48">
        <v>0.85</v>
      </c>
      <c r="CY8" s="48">
        <v>0.85</v>
      </c>
      <c r="CZ8" s="48">
        <v>0.85</v>
      </c>
      <c r="DA8" s="48">
        <v>0.85</v>
      </c>
      <c r="DB8" s="48">
        <v>0.85</v>
      </c>
      <c r="DC8" s="48">
        <v>0.85</v>
      </c>
      <c r="DD8" s="48">
        <v>0.85</v>
      </c>
      <c r="DE8" s="48">
        <v>0.85</v>
      </c>
      <c r="DF8" s="48">
        <v>0.85</v>
      </c>
      <c r="DG8" s="48">
        <v>0.85</v>
      </c>
      <c r="DH8" s="48">
        <v>0.85</v>
      </c>
      <c r="DI8" s="48">
        <v>0.85</v>
      </c>
      <c r="DJ8" s="48">
        <v>0.85</v>
      </c>
      <c r="DK8" s="48">
        <v>0.85</v>
      </c>
      <c r="DL8" s="48">
        <v>0.85</v>
      </c>
      <c r="DM8" s="48">
        <v>0.85</v>
      </c>
      <c r="DN8" s="48">
        <v>0.85</v>
      </c>
      <c r="DO8" s="48">
        <v>0.85</v>
      </c>
      <c r="DP8" s="48">
        <v>0.85</v>
      </c>
      <c r="DQ8" s="48">
        <v>0.85</v>
      </c>
      <c r="DR8" s="48">
        <v>0.85</v>
      </c>
      <c r="DS8" s="48">
        <v>0.85</v>
      </c>
      <c r="DT8" s="48">
        <v>0.85</v>
      </c>
      <c r="DU8" s="48">
        <v>0.85</v>
      </c>
      <c r="DV8" s="48">
        <v>0.85</v>
      </c>
      <c r="DW8" s="48">
        <v>0.85</v>
      </c>
      <c r="DX8" s="48">
        <v>0.85</v>
      </c>
      <c r="DY8" s="48">
        <v>0.85</v>
      </c>
      <c r="DZ8" s="48">
        <v>0.85</v>
      </c>
      <c r="EA8" s="48">
        <v>0.85</v>
      </c>
      <c r="EB8" s="48">
        <v>0.85</v>
      </c>
      <c r="EC8" s="48">
        <v>0.85</v>
      </c>
      <c r="ED8" s="48">
        <v>0.85</v>
      </c>
      <c r="EE8" s="48">
        <v>0.85</v>
      </c>
      <c r="EF8" s="48">
        <v>0.85</v>
      </c>
      <c r="EG8" s="48">
        <v>0.85</v>
      </c>
      <c r="EH8" s="48">
        <v>0.85</v>
      </c>
      <c r="EI8" s="48">
        <v>0.85</v>
      </c>
      <c r="EJ8" s="48">
        <v>0.85</v>
      </c>
      <c r="EK8" s="48">
        <v>0.85</v>
      </c>
      <c r="EL8" s="48">
        <v>0.85</v>
      </c>
      <c r="EM8" s="48">
        <v>0.85</v>
      </c>
      <c r="EN8" s="48">
        <v>0.85</v>
      </c>
      <c r="EO8" s="48">
        <v>0.85</v>
      </c>
      <c r="EP8" s="48">
        <v>0.85</v>
      </c>
      <c r="EQ8" s="48">
        <v>0.85</v>
      </c>
      <c r="ER8" s="48">
        <v>0.85</v>
      </c>
      <c r="ES8" s="48">
        <v>0.85</v>
      </c>
      <c r="ET8" s="48">
        <v>0.85</v>
      </c>
      <c r="EU8" s="48">
        <v>0.85</v>
      </c>
      <c r="EV8" s="48">
        <v>0.85</v>
      </c>
      <c r="EW8" s="48">
        <v>0.85</v>
      </c>
      <c r="EX8" s="48">
        <v>0.85</v>
      </c>
      <c r="EY8" s="48">
        <v>0.85</v>
      </c>
      <c r="EZ8" s="48">
        <v>0.85</v>
      </c>
      <c r="FA8" s="48">
        <v>0.85</v>
      </c>
      <c r="FB8" s="48">
        <v>0.85</v>
      </c>
      <c r="FC8" s="48">
        <v>0.85</v>
      </c>
      <c r="FD8" s="48">
        <v>0.85</v>
      </c>
      <c r="FE8" s="48">
        <v>0.85</v>
      </c>
      <c r="FF8" s="48">
        <v>0.85</v>
      </c>
      <c r="FG8" s="48">
        <v>0.85</v>
      </c>
      <c r="FH8" s="48">
        <v>0.85</v>
      </c>
      <c r="FI8" s="48">
        <v>0.85</v>
      </c>
      <c r="FJ8" s="48">
        <v>0.85</v>
      </c>
      <c r="FK8" s="48">
        <v>0.85</v>
      </c>
      <c r="FL8" s="48">
        <v>0.85</v>
      </c>
      <c r="FM8" s="48">
        <v>0.85</v>
      </c>
      <c r="FN8" s="48">
        <v>0.85</v>
      </c>
      <c r="FO8" s="48">
        <v>0.85</v>
      </c>
      <c r="FP8" s="48">
        <v>0.85</v>
      </c>
      <c r="FQ8" s="48">
        <v>0.85</v>
      </c>
      <c r="FR8" s="48">
        <v>0.85</v>
      </c>
      <c r="FS8" s="48">
        <v>0.85</v>
      </c>
      <c r="FT8" s="48">
        <v>0.85</v>
      </c>
      <c r="FU8" s="48">
        <v>0.85</v>
      </c>
      <c r="FV8" s="48">
        <v>0.85</v>
      </c>
      <c r="FW8" s="48">
        <v>0.85</v>
      </c>
      <c r="FX8" s="48">
        <v>0.85</v>
      </c>
      <c r="FY8" s="48">
        <v>0.85</v>
      </c>
      <c r="FZ8" s="48">
        <v>0.85</v>
      </c>
      <c r="GA8" s="48">
        <v>0.85</v>
      </c>
      <c r="GB8" s="48">
        <v>0.85</v>
      </c>
      <c r="GC8" s="48">
        <v>0.85</v>
      </c>
      <c r="GD8" s="48">
        <v>0.85</v>
      </c>
      <c r="GE8" s="48">
        <v>0.85</v>
      </c>
      <c r="GF8" s="48">
        <v>0.85</v>
      </c>
      <c r="GG8" s="48">
        <v>0.85</v>
      </c>
      <c r="GH8" s="48">
        <v>0.85</v>
      </c>
      <c r="GI8" s="48">
        <v>0.85</v>
      </c>
      <c r="GJ8" s="48">
        <v>0.85</v>
      </c>
      <c r="GK8" s="48">
        <v>0.85</v>
      </c>
      <c r="GL8" s="48">
        <v>0.85</v>
      </c>
      <c r="GM8" s="48">
        <v>0.85</v>
      </c>
      <c r="GN8" s="48">
        <v>0.85</v>
      </c>
      <c r="GO8" s="48">
        <v>0.85</v>
      </c>
      <c r="GP8" s="48">
        <v>0.85</v>
      </c>
      <c r="GQ8" s="48">
        <v>0.85</v>
      </c>
      <c r="GR8" s="48">
        <v>0.85</v>
      </c>
      <c r="GS8" s="48">
        <v>0.85</v>
      </c>
      <c r="GT8" s="48">
        <v>0.85</v>
      </c>
      <c r="GU8" s="48">
        <v>0.85</v>
      </c>
      <c r="GV8" s="48">
        <v>0.85</v>
      </c>
      <c r="GW8" s="48">
        <v>0.85</v>
      </c>
      <c r="GX8" s="48">
        <v>0.85</v>
      </c>
      <c r="GY8" s="48">
        <v>0.85</v>
      </c>
      <c r="GZ8" s="48">
        <v>0.85</v>
      </c>
      <c r="HA8" s="48">
        <v>0.85</v>
      </c>
      <c r="HB8" s="48">
        <v>0.85</v>
      </c>
      <c r="HC8" s="48">
        <v>0.85</v>
      </c>
      <c r="HD8" s="48">
        <v>0.85</v>
      </c>
      <c r="HE8" s="48">
        <v>0.85</v>
      </c>
      <c r="HF8" s="48">
        <v>0.85</v>
      </c>
      <c r="HG8" s="48">
        <v>0.85</v>
      </c>
      <c r="HH8" s="48">
        <v>0.85</v>
      </c>
      <c r="HI8" s="48">
        <v>0.85</v>
      </c>
      <c r="HJ8" s="48">
        <v>0.85</v>
      </c>
      <c r="HK8" s="48">
        <v>0.85</v>
      </c>
      <c r="HL8" s="48">
        <v>0.85</v>
      </c>
      <c r="HM8" s="48">
        <v>0.85</v>
      </c>
      <c r="HN8" s="48">
        <v>0.85</v>
      </c>
      <c r="HO8" s="48">
        <v>0.85</v>
      </c>
      <c r="HP8" s="48">
        <v>0.85</v>
      </c>
      <c r="HQ8" s="48">
        <v>0.85</v>
      </c>
      <c r="HR8" s="48">
        <v>0.85</v>
      </c>
      <c r="HS8" s="48">
        <v>0.85</v>
      </c>
      <c r="HT8" s="48">
        <v>0.85</v>
      </c>
      <c r="HU8" s="48">
        <v>0.85</v>
      </c>
      <c r="HV8" s="48">
        <v>0.85</v>
      </c>
      <c r="HW8" s="48">
        <v>0.85</v>
      </c>
      <c r="HX8" s="48">
        <v>0.85</v>
      </c>
      <c r="HY8" s="48">
        <v>0.85</v>
      </c>
      <c r="HZ8" s="48">
        <v>0.85</v>
      </c>
      <c r="IA8" s="48">
        <v>0.85</v>
      </c>
      <c r="IB8" s="48">
        <v>0.85</v>
      </c>
      <c r="IC8" s="48">
        <v>0.85</v>
      </c>
      <c r="ID8" s="48">
        <v>0.85</v>
      </c>
      <c r="IE8" s="48">
        <v>0.85</v>
      </c>
      <c r="IF8" s="48">
        <v>0.85</v>
      </c>
      <c r="IG8" s="48">
        <v>0.85</v>
      </c>
      <c r="IH8" s="48">
        <v>0.85</v>
      </c>
    </row>
    <row r="9" spans="1:243" x14ac:dyDescent="0.45">
      <c r="A9" s="888" t="s">
        <v>213</v>
      </c>
      <c r="B9" s="889"/>
      <c r="C9" s="48">
        <v>0</v>
      </c>
      <c r="D9" s="48">
        <v>0</v>
      </c>
      <c r="E9" s="48">
        <v>0</v>
      </c>
      <c r="F9" s="48">
        <v>0</v>
      </c>
      <c r="G9" s="48">
        <v>0</v>
      </c>
      <c r="H9" s="48">
        <v>0</v>
      </c>
      <c r="I9" s="48">
        <v>0</v>
      </c>
      <c r="J9" s="48">
        <v>0</v>
      </c>
      <c r="K9" s="48">
        <v>0</v>
      </c>
      <c r="L9" s="48">
        <v>0</v>
      </c>
      <c r="M9" s="48">
        <v>0</v>
      </c>
      <c r="N9" s="48">
        <v>0</v>
      </c>
      <c r="O9" s="48">
        <v>0</v>
      </c>
      <c r="P9" s="48">
        <v>0</v>
      </c>
      <c r="Q9" s="48">
        <v>0</v>
      </c>
      <c r="R9" s="48">
        <v>0</v>
      </c>
      <c r="S9" s="48">
        <v>0</v>
      </c>
      <c r="T9" s="48">
        <v>0</v>
      </c>
      <c r="U9" s="48">
        <v>0</v>
      </c>
      <c r="V9" s="48">
        <v>0</v>
      </c>
      <c r="W9" s="48">
        <v>0</v>
      </c>
      <c r="X9" s="48">
        <v>0</v>
      </c>
      <c r="Y9" s="48">
        <v>0</v>
      </c>
      <c r="Z9" s="48">
        <v>0</v>
      </c>
      <c r="AA9" s="48">
        <v>0.3</v>
      </c>
      <c r="AB9" s="48">
        <v>0.3</v>
      </c>
      <c r="AC9" s="48">
        <v>0.3</v>
      </c>
      <c r="AD9" s="48">
        <v>0.3</v>
      </c>
      <c r="AE9" s="48">
        <v>0.3</v>
      </c>
      <c r="AF9" s="48">
        <v>0.3</v>
      </c>
      <c r="AG9" s="48">
        <v>0.3</v>
      </c>
      <c r="AH9" s="48">
        <v>0.3</v>
      </c>
      <c r="AI9" s="48">
        <v>0.3</v>
      </c>
      <c r="AJ9" s="48">
        <v>0.3</v>
      </c>
      <c r="AK9" s="48">
        <v>0.3</v>
      </c>
      <c r="AL9" s="48">
        <v>0.3</v>
      </c>
      <c r="AM9" s="48">
        <v>0.5</v>
      </c>
      <c r="AN9" s="48">
        <v>0.5</v>
      </c>
      <c r="AO9" s="48">
        <v>0.5</v>
      </c>
      <c r="AP9" s="48">
        <v>0.5</v>
      </c>
      <c r="AQ9" s="48">
        <v>0.5</v>
      </c>
      <c r="AR9" s="48">
        <v>0.5</v>
      </c>
      <c r="AS9" s="48">
        <v>0.5</v>
      </c>
      <c r="AT9" s="48">
        <v>0.5</v>
      </c>
      <c r="AU9" s="48">
        <v>0.5</v>
      </c>
      <c r="AV9" s="48">
        <v>0.5</v>
      </c>
      <c r="AW9" s="48">
        <v>0.5</v>
      </c>
      <c r="AX9" s="48">
        <v>0.5</v>
      </c>
      <c r="AY9" s="48">
        <v>0.7</v>
      </c>
      <c r="AZ9" s="48">
        <v>0.7</v>
      </c>
      <c r="BA9" s="48">
        <v>0.7</v>
      </c>
      <c r="BB9" s="48">
        <v>0.7</v>
      </c>
      <c r="BC9" s="48">
        <v>0.7</v>
      </c>
      <c r="BD9" s="48">
        <v>0.7</v>
      </c>
      <c r="BE9" s="48">
        <v>0.7</v>
      </c>
      <c r="BF9" s="48">
        <v>0.7</v>
      </c>
      <c r="BG9" s="48">
        <v>0.7</v>
      </c>
      <c r="BH9" s="48">
        <v>0.7</v>
      </c>
      <c r="BI9" s="48">
        <v>0.7</v>
      </c>
      <c r="BJ9" s="48">
        <v>0.7</v>
      </c>
      <c r="BK9" s="48">
        <v>0.85</v>
      </c>
      <c r="BL9" s="48">
        <v>0.85</v>
      </c>
      <c r="BM9" s="48">
        <v>0.85</v>
      </c>
      <c r="BN9" s="48">
        <v>0.85</v>
      </c>
      <c r="BO9" s="48">
        <v>0.85</v>
      </c>
      <c r="BP9" s="48">
        <v>0.85</v>
      </c>
      <c r="BQ9" s="48">
        <v>0.85</v>
      </c>
      <c r="BR9" s="48">
        <v>0.85</v>
      </c>
      <c r="BS9" s="48">
        <v>0.85</v>
      </c>
      <c r="BT9" s="48">
        <v>0.85</v>
      </c>
      <c r="BU9" s="48">
        <v>0.85</v>
      </c>
      <c r="BV9" s="48">
        <v>0.85</v>
      </c>
      <c r="BW9" s="48">
        <v>0.85</v>
      </c>
      <c r="BX9" s="48">
        <v>0.85</v>
      </c>
      <c r="BY9" s="48">
        <v>0.85</v>
      </c>
      <c r="BZ9" s="48">
        <v>0.85</v>
      </c>
      <c r="CA9" s="48">
        <v>0.85</v>
      </c>
      <c r="CB9" s="48">
        <v>0.85</v>
      </c>
      <c r="CC9" s="48">
        <v>0.85</v>
      </c>
      <c r="CD9" s="48">
        <v>0.85</v>
      </c>
      <c r="CE9" s="48">
        <v>0.85</v>
      </c>
      <c r="CF9" s="48">
        <v>0.85</v>
      </c>
      <c r="CG9" s="48">
        <v>0.85</v>
      </c>
      <c r="CH9" s="48">
        <v>0.85</v>
      </c>
      <c r="CI9" s="48">
        <v>0.85</v>
      </c>
      <c r="CJ9" s="48">
        <v>0.85</v>
      </c>
      <c r="CK9" s="48">
        <v>0.85</v>
      </c>
      <c r="CL9" s="48">
        <v>0.85</v>
      </c>
      <c r="CM9" s="48">
        <v>0.85</v>
      </c>
      <c r="CN9" s="48">
        <v>0.85</v>
      </c>
      <c r="CO9" s="48">
        <v>0.85</v>
      </c>
      <c r="CP9" s="48">
        <v>0.85</v>
      </c>
      <c r="CQ9" s="48">
        <v>0.85</v>
      </c>
      <c r="CR9" s="48">
        <v>0.85</v>
      </c>
      <c r="CS9" s="48">
        <v>0.85</v>
      </c>
      <c r="CT9" s="48">
        <v>0.85</v>
      </c>
      <c r="CU9" s="48">
        <v>0.85</v>
      </c>
      <c r="CV9" s="48">
        <v>0.85</v>
      </c>
      <c r="CW9" s="48">
        <v>0.85</v>
      </c>
      <c r="CX9" s="48">
        <v>0.85</v>
      </c>
      <c r="CY9" s="48">
        <v>0.85</v>
      </c>
      <c r="CZ9" s="48">
        <v>0.85</v>
      </c>
      <c r="DA9" s="48">
        <v>0.85</v>
      </c>
      <c r="DB9" s="48">
        <v>0.85</v>
      </c>
      <c r="DC9" s="48">
        <v>0.85</v>
      </c>
      <c r="DD9" s="48">
        <v>0.85</v>
      </c>
      <c r="DE9" s="48">
        <v>0.85</v>
      </c>
      <c r="DF9" s="48">
        <v>0.85</v>
      </c>
      <c r="DG9" s="48">
        <v>0.85</v>
      </c>
      <c r="DH9" s="48">
        <v>0.85</v>
      </c>
      <c r="DI9" s="48">
        <v>0.85</v>
      </c>
      <c r="DJ9" s="48">
        <v>0.85</v>
      </c>
      <c r="DK9" s="48">
        <v>0.85</v>
      </c>
      <c r="DL9" s="48">
        <v>0.85</v>
      </c>
      <c r="DM9" s="48">
        <v>0.85</v>
      </c>
      <c r="DN9" s="48">
        <v>0.85</v>
      </c>
      <c r="DO9" s="48">
        <v>0.85</v>
      </c>
      <c r="DP9" s="48">
        <v>0.85</v>
      </c>
      <c r="DQ9" s="48">
        <v>0.85</v>
      </c>
      <c r="DR9" s="48">
        <v>0.85</v>
      </c>
      <c r="DS9" s="48">
        <v>0.85</v>
      </c>
      <c r="DT9" s="48">
        <v>0.85</v>
      </c>
      <c r="DU9" s="48">
        <v>0.85</v>
      </c>
      <c r="DV9" s="48">
        <v>0.85</v>
      </c>
      <c r="DW9" s="48">
        <v>0.85</v>
      </c>
      <c r="DX9" s="48">
        <v>0.85</v>
      </c>
      <c r="DY9" s="48">
        <v>0.85</v>
      </c>
      <c r="DZ9" s="48">
        <v>0.85</v>
      </c>
      <c r="EA9" s="48">
        <v>0.85</v>
      </c>
      <c r="EB9" s="48">
        <v>0.85</v>
      </c>
      <c r="EC9" s="48">
        <v>0.85</v>
      </c>
      <c r="ED9" s="48">
        <v>0.85</v>
      </c>
      <c r="EE9" s="48">
        <v>0.85</v>
      </c>
      <c r="EF9" s="48">
        <v>0.85</v>
      </c>
      <c r="EG9" s="48">
        <v>0.85</v>
      </c>
      <c r="EH9" s="48">
        <v>0.85</v>
      </c>
      <c r="EI9" s="48">
        <v>0.85</v>
      </c>
      <c r="EJ9" s="48">
        <v>0.85</v>
      </c>
      <c r="EK9" s="48">
        <v>0.85</v>
      </c>
      <c r="EL9" s="48">
        <v>0.85</v>
      </c>
      <c r="EM9" s="48">
        <v>0.85</v>
      </c>
      <c r="EN9" s="48">
        <v>0.85</v>
      </c>
      <c r="EO9" s="48">
        <v>0.85</v>
      </c>
      <c r="EP9" s="48">
        <v>0.85</v>
      </c>
      <c r="EQ9" s="48">
        <v>0.85</v>
      </c>
      <c r="ER9" s="48">
        <v>0.85</v>
      </c>
      <c r="ES9" s="48">
        <v>0.85</v>
      </c>
      <c r="ET9" s="48">
        <v>0.85</v>
      </c>
      <c r="EU9" s="48">
        <v>0.85</v>
      </c>
      <c r="EV9" s="48">
        <v>0.85</v>
      </c>
      <c r="EW9" s="48">
        <v>0.85</v>
      </c>
      <c r="EX9" s="48">
        <v>0.85</v>
      </c>
      <c r="EY9" s="48">
        <v>0.85</v>
      </c>
      <c r="EZ9" s="48">
        <v>0.85</v>
      </c>
      <c r="FA9" s="48">
        <v>0.85</v>
      </c>
      <c r="FB9" s="48">
        <v>0.85</v>
      </c>
      <c r="FC9" s="48">
        <v>0.85</v>
      </c>
      <c r="FD9" s="48">
        <v>0.85</v>
      </c>
      <c r="FE9" s="48">
        <v>0.85</v>
      </c>
      <c r="FF9" s="48">
        <v>0.85</v>
      </c>
      <c r="FG9" s="48">
        <v>0.85</v>
      </c>
      <c r="FH9" s="48">
        <v>0.85</v>
      </c>
      <c r="FI9" s="48">
        <v>0.85</v>
      </c>
      <c r="FJ9" s="48">
        <v>0.85</v>
      </c>
      <c r="FK9" s="48">
        <v>0.85</v>
      </c>
      <c r="FL9" s="48">
        <v>0.85</v>
      </c>
      <c r="FM9" s="48">
        <v>0.85</v>
      </c>
      <c r="FN9" s="48">
        <v>0.85</v>
      </c>
      <c r="FO9" s="48">
        <v>0.85</v>
      </c>
      <c r="FP9" s="48">
        <v>0.85</v>
      </c>
      <c r="FQ9" s="48">
        <v>0.85</v>
      </c>
      <c r="FR9" s="48">
        <v>0.85</v>
      </c>
      <c r="FS9" s="48">
        <v>0.85</v>
      </c>
      <c r="FT9" s="48">
        <v>0.85</v>
      </c>
      <c r="FU9" s="48">
        <v>0.85</v>
      </c>
      <c r="FV9" s="48">
        <v>0.85</v>
      </c>
      <c r="FW9" s="48">
        <v>0.85</v>
      </c>
      <c r="FX9" s="48">
        <v>0.85</v>
      </c>
      <c r="FY9" s="48">
        <v>0.85</v>
      </c>
      <c r="FZ9" s="48">
        <v>0.85</v>
      </c>
      <c r="GA9" s="48">
        <v>0.85</v>
      </c>
      <c r="GB9" s="48">
        <v>0.85</v>
      </c>
      <c r="GC9" s="48">
        <v>0.85</v>
      </c>
      <c r="GD9" s="48">
        <v>0.85</v>
      </c>
      <c r="GE9" s="48">
        <v>0.85</v>
      </c>
      <c r="GF9" s="48">
        <v>0.85</v>
      </c>
      <c r="GG9" s="48">
        <v>0.85</v>
      </c>
      <c r="GH9" s="48">
        <v>0.85</v>
      </c>
      <c r="GI9" s="48">
        <v>0.85</v>
      </c>
      <c r="GJ9" s="48">
        <v>0.85</v>
      </c>
      <c r="GK9" s="48">
        <v>0.85</v>
      </c>
      <c r="GL9" s="48">
        <v>0.85</v>
      </c>
      <c r="GM9" s="48">
        <v>0.85</v>
      </c>
      <c r="GN9" s="48">
        <v>0.85</v>
      </c>
      <c r="GO9" s="48">
        <v>0.85</v>
      </c>
      <c r="GP9" s="48">
        <v>0.85</v>
      </c>
      <c r="GQ9" s="48">
        <v>0.85</v>
      </c>
      <c r="GR9" s="48">
        <v>0.85</v>
      </c>
      <c r="GS9" s="48">
        <v>0.85</v>
      </c>
      <c r="GT9" s="48">
        <v>0.85</v>
      </c>
      <c r="GU9" s="48">
        <v>0.85</v>
      </c>
      <c r="GV9" s="48">
        <v>0.85</v>
      </c>
      <c r="GW9" s="48">
        <v>0.85</v>
      </c>
      <c r="GX9" s="48">
        <v>0.85</v>
      </c>
      <c r="GY9" s="48">
        <v>0.85</v>
      </c>
      <c r="GZ9" s="48">
        <v>0.85</v>
      </c>
      <c r="HA9" s="48">
        <v>0.85</v>
      </c>
      <c r="HB9" s="48">
        <v>0.85</v>
      </c>
      <c r="HC9" s="48">
        <v>0.85</v>
      </c>
      <c r="HD9" s="48">
        <v>0.85</v>
      </c>
      <c r="HE9" s="48">
        <v>0.85</v>
      </c>
      <c r="HF9" s="48">
        <v>0.85</v>
      </c>
      <c r="HG9" s="48">
        <v>0.85</v>
      </c>
      <c r="HH9" s="48">
        <v>0.85</v>
      </c>
      <c r="HI9" s="48">
        <v>0.85</v>
      </c>
      <c r="HJ9" s="48">
        <v>0.85</v>
      </c>
      <c r="HK9" s="48">
        <v>0.85</v>
      </c>
      <c r="HL9" s="48">
        <v>0.85</v>
      </c>
      <c r="HM9" s="48">
        <v>0.85</v>
      </c>
      <c r="HN9" s="48">
        <v>0.85</v>
      </c>
      <c r="HO9" s="48">
        <v>0.85</v>
      </c>
      <c r="HP9" s="48">
        <v>0.85</v>
      </c>
      <c r="HQ9" s="48">
        <v>0.85</v>
      </c>
      <c r="HR9" s="48">
        <v>0.85</v>
      </c>
      <c r="HS9" s="48">
        <v>0.85</v>
      </c>
      <c r="HT9" s="48">
        <v>0.85</v>
      </c>
      <c r="HU9" s="48">
        <v>0.85</v>
      </c>
      <c r="HV9" s="48">
        <v>0.85</v>
      </c>
      <c r="HW9" s="48">
        <v>0.85</v>
      </c>
      <c r="HX9" s="48">
        <v>0.85</v>
      </c>
      <c r="HY9" s="48">
        <v>0.85</v>
      </c>
      <c r="HZ9" s="48">
        <v>0.85</v>
      </c>
      <c r="IA9" s="48">
        <v>0.85</v>
      </c>
      <c r="IB9" s="48">
        <v>0.85</v>
      </c>
      <c r="IC9" s="48">
        <v>0.85</v>
      </c>
      <c r="ID9" s="48">
        <v>0.85</v>
      </c>
      <c r="IE9" s="48">
        <v>0.85</v>
      </c>
      <c r="IF9" s="48">
        <v>0.85</v>
      </c>
      <c r="IG9" s="48">
        <v>0.85</v>
      </c>
      <c r="IH9" s="48">
        <v>0.85</v>
      </c>
    </row>
    <row r="10" spans="1:243" x14ac:dyDescent="0.45">
      <c r="A10" s="888" t="s">
        <v>214</v>
      </c>
      <c r="B10" s="889"/>
      <c r="C10" s="48">
        <v>0</v>
      </c>
      <c r="D10" s="48">
        <v>0</v>
      </c>
      <c r="E10" s="48">
        <v>0</v>
      </c>
      <c r="F10" s="48">
        <v>0</v>
      </c>
      <c r="G10" s="48">
        <v>0</v>
      </c>
      <c r="H10" s="48">
        <v>0</v>
      </c>
      <c r="I10" s="48">
        <v>0</v>
      </c>
      <c r="J10" s="48">
        <v>0</v>
      </c>
      <c r="K10" s="48">
        <v>0</v>
      </c>
      <c r="L10" s="48">
        <v>0</v>
      </c>
      <c r="M10" s="48">
        <v>0</v>
      </c>
      <c r="N10" s="48">
        <v>0</v>
      </c>
      <c r="O10" s="48">
        <v>0</v>
      </c>
      <c r="P10" s="48">
        <v>0</v>
      </c>
      <c r="Q10" s="48">
        <v>0</v>
      </c>
      <c r="R10" s="48">
        <v>0</v>
      </c>
      <c r="S10" s="48">
        <v>0</v>
      </c>
      <c r="T10" s="48">
        <v>0</v>
      </c>
      <c r="U10" s="48">
        <v>0</v>
      </c>
      <c r="V10" s="48">
        <v>0</v>
      </c>
      <c r="W10" s="48">
        <v>0</v>
      </c>
      <c r="X10" s="48">
        <v>0</v>
      </c>
      <c r="Y10" s="48">
        <v>0</v>
      </c>
      <c r="Z10" s="48">
        <v>0</v>
      </c>
      <c r="AA10" s="48">
        <v>0.3</v>
      </c>
      <c r="AB10" s="48">
        <v>0.3</v>
      </c>
      <c r="AC10" s="48">
        <v>0.3</v>
      </c>
      <c r="AD10" s="48">
        <v>0.3</v>
      </c>
      <c r="AE10" s="48">
        <v>0.3</v>
      </c>
      <c r="AF10" s="48">
        <v>0.3</v>
      </c>
      <c r="AG10" s="48">
        <v>0.3</v>
      </c>
      <c r="AH10" s="48">
        <v>0.3</v>
      </c>
      <c r="AI10" s="48">
        <v>0.3</v>
      </c>
      <c r="AJ10" s="48">
        <v>0.3</v>
      </c>
      <c r="AK10" s="48">
        <v>0.3</v>
      </c>
      <c r="AL10" s="48">
        <v>0.3</v>
      </c>
      <c r="AM10" s="48">
        <v>0.5</v>
      </c>
      <c r="AN10" s="48">
        <v>0.5</v>
      </c>
      <c r="AO10" s="48">
        <v>0.5</v>
      </c>
      <c r="AP10" s="48">
        <v>0.5</v>
      </c>
      <c r="AQ10" s="48">
        <v>0.5</v>
      </c>
      <c r="AR10" s="48">
        <v>0.5</v>
      </c>
      <c r="AS10" s="48">
        <v>0.5</v>
      </c>
      <c r="AT10" s="48">
        <v>0.5</v>
      </c>
      <c r="AU10" s="48">
        <v>0.5</v>
      </c>
      <c r="AV10" s="48">
        <v>0.5</v>
      </c>
      <c r="AW10" s="48">
        <v>0.5</v>
      </c>
      <c r="AX10" s="48">
        <v>0.5</v>
      </c>
      <c r="AY10" s="48">
        <v>0.7</v>
      </c>
      <c r="AZ10" s="48">
        <v>0.7</v>
      </c>
      <c r="BA10" s="48">
        <v>0.7</v>
      </c>
      <c r="BB10" s="48">
        <v>0.7</v>
      </c>
      <c r="BC10" s="48">
        <v>0.7</v>
      </c>
      <c r="BD10" s="48">
        <v>0.7</v>
      </c>
      <c r="BE10" s="48">
        <v>0.7</v>
      </c>
      <c r="BF10" s="48">
        <v>0.7</v>
      </c>
      <c r="BG10" s="48">
        <v>0.7</v>
      </c>
      <c r="BH10" s="48">
        <v>0.7</v>
      </c>
      <c r="BI10" s="48">
        <v>0.7</v>
      </c>
      <c r="BJ10" s="48">
        <v>0.7</v>
      </c>
      <c r="BK10" s="48">
        <v>0.85</v>
      </c>
      <c r="BL10" s="48">
        <v>0.85</v>
      </c>
      <c r="BM10" s="48">
        <v>0.85</v>
      </c>
      <c r="BN10" s="48">
        <v>0.85</v>
      </c>
      <c r="BO10" s="48">
        <v>0.85</v>
      </c>
      <c r="BP10" s="48">
        <v>0.85</v>
      </c>
      <c r="BQ10" s="48">
        <v>0.85</v>
      </c>
      <c r="BR10" s="48">
        <v>0.85</v>
      </c>
      <c r="BS10" s="48">
        <v>0.85</v>
      </c>
      <c r="BT10" s="48">
        <v>0.85</v>
      </c>
      <c r="BU10" s="48">
        <v>0.85</v>
      </c>
      <c r="BV10" s="48">
        <v>0.85</v>
      </c>
      <c r="BW10" s="48">
        <v>0.85</v>
      </c>
      <c r="BX10" s="48">
        <v>0.85</v>
      </c>
      <c r="BY10" s="48">
        <v>0.85</v>
      </c>
      <c r="BZ10" s="48">
        <v>0.85</v>
      </c>
      <c r="CA10" s="48">
        <v>0.85</v>
      </c>
      <c r="CB10" s="48">
        <v>0.85</v>
      </c>
      <c r="CC10" s="48">
        <v>0.85</v>
      </c>
      <c r="CD10" s="48">
        <v>0.85</v>
      </c>
      <c r="CE10" s="48">
        <v>0.85</v>
      </c>
      <c r="CF10" s="48">
        <v>0.85</v>
      </c>
      <c r="CG10" s="48">
        <v>0.85</v>
      </c>
      <c r="CH10" s="48">
        <v>0.85</v>
      </c>
      <c r="CI10" s="48">
        <v>0.85</v>
      </c>
      <c r="CJ10" s="48">
        <v>0.85</v>
      </c>
      <c r="CK10" s="48">
        <v>0.85</v>
      </c>
      <c r="CL10" s="48">
        <v>0.85</v>
      </c>
      <c r="CM10" s="48">
        <v>0.85</v>
      </c>
      <c r="CN10" s="48">
        <v>0.85</v>
      </c>
      <c r="CO10" s="48">
        <v>0.85</v>
      </c>
      <c r="CP10" s="48">
        <v>0.85</v>
      </c>
      <c r="CQ10" s="48">
        <v>0.85</v>
      </c>
      <c r="CR10" s="48">
        <v>0.85</v>
      </c>
      <c r="CS10" s="48">
        <v>0.85</v>
      </c>
      <c r="CT10" s="48">
        <v>0.85</v>
      </c>
      <c r="CU10" s="48">
        <v>0.85</v>
      </c>
      <c r="CV10" s="48">
        <v>0.85</v>
      </c>
      <c r="CW10" s="48">
        <v>0.85</v>
      </c>
      <c r="CX10" s="48">
        <v>0.85</v>
      </c>
      <c r="CY10" s="48">
        <v>0.85</v>
      </c>
      <c r="CZ10" s="48">
        <v>0.85</v>
      </c>
      <c r="DA10" s="48">
        <v>0.85</v>
      </c>
      <c r="DB10" s="48">
        <v>0.85</v>
      </c>
      <c r="DC10" s="48">
        <v>0.85</v>
      </c>
      <c r="DD10" s="48">
        <v>0.85</v>
      </c>
      <c r="DE10" s="48">
        <v>0.85</v>
      </c>
      <c r="DF10" s="48">
        <v>0.85</v>
      </c>
      <c r="DG10" s="48">
        <v>0.85</v>
      </c>
      <c r="DH10" s="48">
        <v>0.85</v>
      </c>
      <c r="DI10" s="48">
        <v>0.85</v>
      </c>
      <c r="DJ10" s="48">
        <v>0.85</v>
      </c>
      <c r="DK10" s="48">
        <v>0.85</v>
      </c>
      <c r="DL10" s="48">
        <v>0.85</v>
      </c>
      <c r="DM10" s="48">
        <v>0.85</v>
      </c>
      <c r="DN10" s="48">
        <v>0.85</v>
      </c>
      <c r="DO10" s="48">
        <v>0.85</v>
      </c>
      <c r="DP10" s="48">
        <v>0.85</v>
      </c>
      <c r="DQ10" s="48">
        <v>0.85</v>
      </c>
      <c r="DR10" s="48">
        <v>0.85</v>
      </c>
      <c r="DS10" s="48">
        <v>0.85</v>
      </c>
      <c r="DT10" s="48">
        <v>0.85</v>
      </c>
      <c r="DU10" s="48">
        <v>0.85</v>
      </c>
      <c r="DV10" s="48">
        <v>0.85</v>
      </c>
      <c r="DW10" s="48">
        <v>0.85</v>
      </c>
      <c r="DX10" s="48">
        <v>0.85</v>
      </c>
      <c r="DY10" s="48">
        <v>0.85</v>
      </c>
      <c r="DZ10" s="48">
        <v>0.85</v>
      </c>
      <c r="EA10" s="48">
        <v>0.85</v>
      </c>
      <c r="EB10" s="48">
        <v>0.85</v>
      </c>
      <c r="EC10" s="48">
        <v>0.85</v>
      </c>
      <c r="ED10" s="48">
        <v>0.85</v>
      </c>
      <c r="EE10" s="48">
        <v>0.85</v>
      </c>
      <c r="EF10" s="48">
        <v>0.85</v>
      </c>
      <c r="EG10" s="48">
        <v>0.85</v>
      </c>
      <c r="EH10" s="48">
        <v>0.85</v>
      </c>
      <c r="EI10" s="48">
        <v>0.85</v>
      </c>
      <c r="EJ10" s="48">
        <v>0.85</v>
      </c>
      <c r="EK10" s="48">
        <v>0.85</v>
      </c>
      <c r="EL10" s="48">
        <v>0.85</v>
      </c>
      <c r="EM10" s="48">
        <v>0.85</v>
      </c>
      <c r="EN10" s="48">
        <v>0.85</v>
      </c>
      <c r="EO10" s="48">
        <v>0.85</v>
      </c>
      <c r="EP10" s="48">
        <v>0.85</v>
      </c>
      <c r="EQ10" s="48">
        <v>0.85</v>
      </c>
      <c r="ER10" s="48">
        <v>0.85</v>
      </c>
      <c r="ES10" s="48">
        <v>0.85</v>
      </c>
      <c r="ET10" s="48">
        <v>0.85</v>
      </c>
      <c r="EU10" s="48">
        <v>0.85</v>
      </c>
      <c r="EV10" s="48">
        <v>0.85</v>
      </c>
      <c r="EW10" s="48">
        <v>0.85</v>
      </c>
      <c r="EX10" s="48">
        <v>0.85</v>
      </c>
      <c r="EY10" s="48">
        <v>0.85</v>
      </c>
      <c r="EZ10" s="48">
        <v>0.85</v>
      </c>
      <c r="FA10" s="48">
        <v>0.85</v>
      </c>
      <c r="FB10" s="48">
        <v>0.85</v>
      </c>
      <c r="FC10" s="48">
        <v>0.85</v>
      </c>
      <c r="FD10" s="48">
        <v>0.85</v>
      </c>
      <c r="FE10" s="48">
        <v>0.85</v>
      </c>
      <c r="FF10" s="48">
        <v>0.85</v>
      </c>
      <c r="FG10" s="48">
        <v>0.85</v>
      </c>
      <c r="FH10" s="48">
        <v>0.85</v>
      </c>
      <c r="FI10" s="48">
        <v>0.85</v>
      </c>
      <c r="FJ10" s="48">
        <v>0.85</v>
      </c>
      <c r="FK10" s="48">
        <v>0.85</v>
      </c>
      <c r="FL10" s="48">
        <v>0.85</v>
      </c>
      <c r="FM10" s="48">
        <v>0.85</v>
      </c>
      <c r="FN10" s="48">
        <v>0.85</v>
      </c>
      <c r="FO10" s="48">
        <v>0.85</v>
      </c>
      <c r="FP10" s="48">
        <v>0.85</v>
      </c>
      <c r="FQ10" s="48">
        <v>0.85</v>
      </c>
      <c r="FR10" s="48">
        <v>0.85</v>
      </c>
      <c r="FS10" s="48">
        <v>0.85</v>
      </c>
      <c r="FT10" s="48">
        <v>0.85</v>
      </c>
      <c r="FU10" s="48">
        <v>0.85</v>
      </c>
      <c r="FV10" s="48">
        <v>0.85</v>
      </c>
      <c r="FW10" s="48">
        <v>0.85</v>
      </c>
      <c r="FX10" s="48">
        <v>0.85</v>
      </c>
      <c r="FY10" s="48">
        <v>0.85</v>
      </c>
      <c r="FZ10" s="48">
        <v>0.85</v>
      </c>
      <c r="GA10" s="48">
        <v>0.85</v>
      </c>
      <c r="GB10" s="48">
        <v>0.85</v>
      </c>
      <c r="GC10" s="48">
        <v>0.85</v>
      </c>
      <c r="GD10" s="48">
        <v>0.85</v>
      </c>
      <c r="GE10" s="48">
        <v>0.85</v>
      </c>
      <c r="GF10" s="48">
        <v>0.85</v>
      </c>
      <c r="GG10" s="48">
        <v>0.85</v>
      </c>
      <c r="GH10" s="48">
        <v>0.85</v>
      </c>
      <c r="GI10" s="48">
        <v>0.85</v>
      </c>
      <c r="GJ10" s="48">
        <v>0.85</v>
      </c>
      <c r="GK10" s="48">
        <v>0.85</v>
      </c>
      <c r="GL10" s="48">
        <v>0.85</v>
      </c>
      <c r="GM10" s="48">
        <v>0.85</v>
      </c>
      <c r="GN10" s="48">
        <v>0.85</v>
      </c>
      <c r="GO10" s="48">
        <v>0.85</v>
      </c>
      <c r="GP10" s="48">
        <v>0.85</v>
      </c>
      <c r="GQ10" s="48">
        <v>0.85</v>
      </c>
      <c r="GR10" s="48">
        <v>0.85</v>
      </c>
      <c r="GS10" s="48">
        <v>0.85</v>
      </c>
      <c r="GT10" s="48">
        <v>0.85</v>
      </c>
      <c r="GU10" s="48">
        <v>0.85</v>
      </c>
      <c r="GV10" s="48">
        <v>0.85</v>
      </c>
      <c r="GW10" s="48">
        <v>0.85</v>
      </c>
      <c r="GX10" s="48">
        <v>0.85</v>
      </c>
      <c r="GY10" s="48">
        <v>0.85</v>
      </c>
      <c r="GZ10" s="48">
        <v>0.85</v>
      </c>
      <c r="HA10" s="48">
        <v>0.85</v>
      </c>
      <c r="HB10" s="48">
        <v>0.85</v>
      </c>
      <c r="HC10" s="48">
        <v>0.85</v>
      </c>
      <c r="HD10" s="48">
        <v>0.85</v>
      </c>
      <c r="HE10" s="48">
        <v>0.85</v>
      </c>
      <c r="HF10" s="48">
        <v>0.85</v>
      </c>
      <c r="HG10" s="48">
        <v>0.85</v>
      </c>
      <c r="HH10" s="48">
        <v>0.85</v>
      </c>
      <c r="HI10" s="48">
        <v>0.85</v>
      </c>
      <c r="HJ10" s="48">
        <v>0.85</v>
      </c>
      <c r="HK10" s="48">
        <v>0.85</v>
      </c>
      <c r="HL10" s="48">
        <v>0.85</v>
      </c>
      <c r="HM10" s="48">
        <v>0.85</v>
      </c>
      <c r="HN10" s="48">
        <v>0.85</v>
      </c>
      <c r="HO10" s="48">
        <v>0.85</v>
      </c>
      <c r="HP10" s="48">
        <v>0.85</v>
      </c>
      <c r="HQ10" s="48">
        <v>0.85</v>
      </c>
      <c r="HR10" s="48">
        <v>0.85</v>
      </c>
      <c r="HS10" s="48">
        <v>0.85</v>
      </c>
      <c r="HT10" s="48">
        <v>0.85</v>
      </c>
      <c r="HU10" s="48">
        <v>0.85</v>
      </c>
      <c r="HV10" s="48">
        <v>0.85</v>
      </c>
      <c r="HW10" s="48">
        <v>0.85</v>
      </c>
      <c r="HX10" s="48">
        <v>0.85</v>
      </c>
      <c r="HY10" s="48">
        <v>0.85</v>
      </c>
      <c r="HZ10" s="48">
        <v>0.85</v>
      </c>
      <c r="IA10" s="48">
        <v>0.85</v>
      </c>
      <c r="IB10" s="48">
        <v>0.85</v>
      </c>
      <c r="IC10" s="48">
        <v>0.85</v>
      </c>
      <c r="ID10" s="48">
        <v>0.85</v>
      </c>
      <c r="IE10" s="48">
        <v>0.85</v>
      </c>
      <c r="IF10" s="48">
        <v>0.85</v>
      </c>
      <c r="IG10" s="48">
        <v>0.85</v>
      </c>
      <c r="IH10" s="48">
        <v>0.85</v>
      </c>
    </row>
    <row r="11" spans="1:243" x14ac:dyDescent="0.45">
      <c r="A11" s="888" t="s">
        <v>215</v>
      </c>
      <c r="B11" s="889"/>
      <c r="C11" s="48">
        <v>0</v>
      </c>
      <c r="D11" s="48">
        <v>0</v>
      </c>
      <c r="E11" s="48">
        <v>0</v>
      </c>
      <c r="F11" s="48">
        <v>0</v>
      </c>
      <c r="G11" s="48">
        <v>0</v>
      </c>
      <c r="H11" s="48">
        <v>0</v>
      </c>
      <c r="I11" s="48">
        <v>0</v>
      </c>
      <c r="J11" s="48">
        <v>0</v>
      </c>
      <c r="K11" s="48">
        <v>0</v>
      </c>
      <c r="L11" s="48">
        <v>0</v>
      </c>
      <c r="M11" s="48">
        <v>0</v>
      </c>
      <c r="N11" s="48">
        <v>0</v>
      </c>
      <c r="O11" s="48">
        <v>0</v>
      </c>
      <c r="P11" s="48">
        <v>0</v>
      </c>
      <c r="Q11" s="48">
        <v>0</v>
      </c>
      <c r="R11" s="48">
        <v>0</v>
      </c>
      <c r="S11" s="48">
        <v>0</v>
      </c>
      <c r="T11" s="48">
        <v>0</v>
      </c>
      <c r="U11" s="48">
        <v>0</v>
      </c>
      <c r="V11" s="48">
        <v>0</v>
      </c>
      <c r="W11" s="48">
        <v>0</v>
      </c>
      <c r="X11" s="48">
        <v>0</v>
      </c>
      <c r="Y11" s="48">
        <v>0</v>
      </c>
      <c r="Z11" s="48">
        <v>0</v>
      </c>
      <c r="AA11" s="48">
        <v>0.3</v>
      </c>
      <c r="AB11" s="48">
        <v>0.3</v>
      </c>
      <c r="AC11" s="48">
        <v>0.3</v>
      </c>
      <c r="AD11" s="48">
        <v>0.3</v>
      </c>
      <c r="AE11" s="48">
        <v>0.3</v>
      </c>
      <c r="AF11" s="48">
        <v>0.3</v>
      </c>
      <c r="AG11" s="48">
        <v>0.3</v>
      </c>
      <c r="AH11" s="48">
        <v>0.3</v>
      </c>
      <c r="AI11" s="48">
        <v>0.3</v>
      </c>
      <c r="AJ11" s="48">
        <v>0.3</v>
      </c>
      <c r="AK11" s="48">
        <v>0.3</v>
      </c>
      <c r="AL11" s="48">
        <v>0.3</v>
      </c>
      <c r="AM11" s="48">
        <v>0.5</v>
      </c>
      <c r="AN11" s="48">
        <v>0.5</v>
      </c>
      <c r="AO11" s="48">
        <v>0.5</v>
      </c>
      <c r="AP11" s="48">
        <v>0.5</v>
      </c>
      <c r="AQ11" s="48">
        <v>0.5</v>
      </c>
      <c r="AR11" s="48">
        <v>0.5</v>
      </c>
      <c r="AS11" s="48">
        <v>0.5</v>
      </c>
      <c r="AT11" s="48">
        <v>0.5</v>
      </c>
      <c r="AU11" s="48">
        <v>0.5</v>
      </c>
      <c r="AV11" s="48">
        <v>0.5</v>
      </c>
      <c r="AW11" s="48">
        <v>0.5</v>
      </c>
      <c r="AX11" s="48">
        <v>0.5</v>
      </c>
      <c r="AY11" s="48">
        <v>0.7</v>
      </c>
      <c r="AZ11" s="48">
        <v>0.7</v>
      </c>
      <c r="BA11" s="48">
        <v>0.7</v>
      </c>
      <c r="BB11" s="48">
        <v>0.7</v>
      </c>
      <c r="BC11" s="48">
        <v>0.7</v>
      </c>
      <c r="BD11" s="48">
        <v>0.7</v>
      </c>
      <c r="BE11" s="48">
        <v>0.7</v>
      </c>
      <c r="BF11" s="48">
        <v>0.7</v>
      </c>
      <c r="BG11" s="48">
        <v>0.7</v>
      </c>
      <c r="BH11" s="48">
        <v>0.7</v>
      </c>
      <c r="BI11" s="48">
        <v>0.7</v>
      </c>
      <c r="BJ11" s="48">
        <v>0.7</v>
      </c>
      <c r="BK11" s="48">
        <v>0.85</v>
      </c>
      <c r="BL11" s="48">
        <v>0.85</v>
      </c>
      <c r="BM11" s="48">
        <v>0.85</v>
      </c>
      <c r="BN11" s="48">
        <v>0.85</v>
      </c>
      <c r="BO11" s="48">
        <v>0.85</v>
      </c>
      <c r="BP11" s="48">
        <v>0.85</v>
      </c>
      <c r="BQ11" s="48">
        <v>0.85</v>
      </c>
      <c r="BR11" s="48">
        <v>0.85</v>
      </c>
      <c r="BS11" s="48">
        <v>0.85</v>
      </c>
      <c r="BT11" s="48">
        <v>0.85</v>
      </c>
      <c r="BU11" s="48">
        <v>0.85</v>
      </c>
      <c r="BV11" s="48">
        <v>0.85</v>
      </c>
      <c r="BW11" s="48">
        <v>0.85</v>
      </c>
      <c r="BX11" s="48">
        <v>0.85</v>
      </c>
      <c r="BY11" s="48">
        <v>0.85</v>
      </c>
      <c r="BZ11" s="48">
        <v>0.85</v>
      </c>
      <c r="CA11" s="48">
        <v>0.85</v>
      </c>
      <c r="CB11" s="48">
        <v>0.85</v>
      </c>
      <c r="CC11" s="48">
        <v>0.85</v>
      </c>
      <c r="CD11" s="48">
        <v>0.85</v>
      </c>
      <c r="CE11" s="48">
        <v>0.85</v>
      </c>
      <c r="CF11" s="48">
        <v>0.85</v>
      </c>
      <c r="CG11" s="48">
        <v>0.85</v>
      </c>
      <c r="CH11" s="48">
        <v>0.85</v>
      </c>
      <c r="CI11" s="48">
        <v>0.85</v>
      </c>
      <c r="CJ11" s="48">
        <v>0.85</v>
      </c>
      <c r="CK11" s="48">
        <v>0.85</v>
      </c>
      <c r="CL11" s="48">
        <v>0.85</v>
      </c>
      <c r="CM11" s="48">
        <v>0.85</v>
      </c>
      <c r="CN11" s="48">
        <v>0.85</v>
      </c>
      <c r="CO11" s="48">
        <v>0.85</v>
      </c>
      <c r="CP11" s="48">
        <v>0.85</v>
      </c>
      <c r="CQ11" s="48">
        <v>0.85</v>
      </c>
      <c r="CR11" s="48">
        <v>0.85</v>
      </c>
      <c r="CS11" s="48">
        <v>0.85</v>
      </c>
      <c r="CT11" s="48">
        <v>0.85</v>
      </c>
      <c r="CU11" s="48">
        <v>0.85</v>
      </c>
      <c r="CV11" s="48">
        <v>0.85</v>
      </c>
      <c r="CW11" s="48">
        <v>0.85</v>
      </c>
      <c r="CX11" s="48">
        <v>0.85</v>
      </c>
      <c r="CY11" s="48">
        <v>0.85</v>
      </c>
      <c r="CZ11" s="48">
        <v>0.85</v>
      </c>
      <c r="DA11" s="48">
        <v>0.85</v>
      </c>
      <c r="DB11" s="48">
        <v>0.85</v>
      </c>
      <c r="DC11" s="48">
        <v>0.85</v>
      </c>
      <c r="DD11" s="48">
        <v>0.85</v>
      </c>
      <c r="DE11" s="48">
        <v>0.85</v>
      </c>
      <c r="DF11" s="48">
        <v>0.85</v>
      </c>
      <c r="DG11" s="48">
        <v>0.85</v>
      </c>
      <c r="DH11" s="48">
        <v>0.85</v>
      </c>
      <c r="DI11" s="48">
        <v>0.85</v>
      </c>
      <c r="DJ11" s="48">
        <v>0.85</v>
      </c>
      <c r="DK11" s="48">
        <v>0.85</v>
      </c>
      <c r="DL11" s="48">
        <v>0.85</v>
      </c>
      <c r="DM11" s="48">
        <v>0.85</v>
      </c>
      <c r="DN11" s="48">
        <v>0.85</v>
      </c>
      <c r="DO11" s="48">
        <v>0.85</v>
      </c>
      <c r="DP11" s="48">
        <v>0.85</v>
      </c>
      <c r="DQ11" s="48">
        <v>0.85</v>
      </c>
      <c r="DR11" s="48">
        <v>0.85</v>
      </c>
      <c r="DS11" s="48">
        <v>0.85</v>
      </c>
      <c r="DT11" s="48">
        <v>0.85</v>
      </c>
      <c r="DU11" s="48">
        <v>0.85</v>
      </c>
      <c r="DV11" s="48">
        <v>0.85</v>
      </c>
      <c r="DW11" s="48">
        <v>0.85</v>
      </c>
      <c r="DX11" s="48">
        <v>0.85</v>
      </c>
      <c r="DY11" s="48">
        <v>0.85</v>
      </c>
      <c r="DZ11" s="48">
        <v>0.85</v>
      </c>
      <c r="EA11" s="48">
        <v>0.85</v>
      </c>
      <c r="EB11" s="48">
        <v>0.85</v>
      </c>
      <c r="EC11" s="48">
        <v>0.85</v>
      </c>
      <c r="ED11" s="48">
        <v>0.85</v>
      </c>
      <c r="EE11" s="48">
        <v>0.85</v>
      </c>
      <c r="EF11" s="48">
        <v>0.85</v>
      </c>
      <c r="EG11" s="48">
        <v>0.85</v>
      </c>
      <c r="EH11" s="48">
        <v>0.85</v>
      </c>
      <c r="EI11" s="48">
        <v>0.85</v>
      </c>
      <c r="EJ11" s="48">
        <v>0.85</v>
      </c>
      <c r="EK11" s="48">
        <v>0.85</v>
      </c>
      <c r="EL11" s="48">
        <v>0.85</v>
      </c>
      <c r="EM11" s="48">
        <v>0.85</v>
      </c>
      <c r="EN11" s="48">
        <v>0.85</v>
      </c>
      <c r="EO11" s="48">
        <v>0.85</v>
      </c>
      <c r="EP11" s="48">
        <v>0.85</v>
      </c>
      <c r="EQ11" s="48">
        <v>0.85</v>
      </c>
      <c r="ER11" s="48">
        <v>0.85</v>
      </c>
      <c r="ES11" s="48">
        <v>0.85</v>
      </c>
      <c r="ET11" s="48">
        <v>0.85</v>
      </c>
      <c r="EU11" s="48">
        <v>0.85</v>
      </c>
      <c r="EV11" s="48">
        <v>0.85</v>
      </c>
      <c r="EW11" s="48">
        <v>0.85</v>
      </c>
      <c r="EX11" s="48">
        <v>0.85</v>
      </c>
      <c r="EY11" s="48">
        <v>0.85</v>
      </c>
      <c r="EZ11" s="48">
        <v>0.85</v>
      </c>
      <c r="FA11" s="48">
        <v>0.85</v>
      </c>
      <c r="FB11" s="48">
        <v>0.85</v>
      </c>
      <c r="FC11" s="48">
        <v>0.85</v>
      </c>
      <c r="FD11" s="48">
        <v>0.85</v>
      </c>
      <c r="FE11" s="48">
        <v>0.85</v>
      </c>
      <c r="FF11" s="48">
        <v>0.85</v>
      </c>
      <c r="FG11" s="48">
        <v>0.85</v>
      </c>
      <c r="FH11" s="48">
        <v>0.85</v>
      </c>
      <c r="FI11" s="48">
        <v>0.85</v>
      </c>
      <c r="FJ11" s="48">
        <v>0.85</v>
      </c>
      <c r="FK11" s="48">
        <v>0.85</v>
      </c>
      <c r="FL11" s="48">
        <v>0.85</v>
      </c>
      <c r="FM11" s="48">
        <v>0.85</v>
      </c>
      <c r="FN11" s="48">
        <v>0.85</v>
      </c>
      <c r="FO11" s="48">
        <v>0.85</v>
      </c>
      <c r="FP11" s="48">
        <v>0.85</v>
      </c>
      <c r="FQ11" s="48">
        <v>0.85</v>
      </c>
      <c r="FR11" s="48">
        <v>0.85</v>
      </c>
      <c r="FS11" s="48">
        <v>0.85</v>
      </c>
      <c r="FT11" s="48">
        <v>0.85</v>
      </c>
      <c r="FU11" s="48">
        <v>0.85</v>
      </c>
      <c r="FV11" s="48">
        <v>0.85</v>
      </c>
      <c r="FW11" s="48">
        <v>0.85</v>
      </c>
      <c r="FX11" s="48">
        <v>0.85</v>
      </c>
      <c r="FY11" s="48">
        <v>0.85</v>
      </c>
      <c r="FZ11" s="48">
        <v>0.85</v>
      </c>
      <c r="GA11" s="48">
        <v>0.85</v>
      </c>
      <c r="GB11" s="48">
        <v>0.85</v>
      </c>
      <c r="GC11" s="48">
        <v>0.85</v>
      </c>
      <c r="GD11" s="48">
        <v>0.85</v>
      </c>
      <c r="GE11" s="48">
        <v>0.85</v>
      </c>
      <c r="GF11" s="48">
        <v>0.85</v>
      </c>
      <c r="GG11" s="48">
        <v>0.85</v>
      </c>
      <c r="GH11" s="48">
        <v>0.85</v>
      </c>
      <c r="GI11" s="48">
        <v>0.85</v>
      </c>
      <c r="GJ11" s="48">
        <v>0.85</v>
      </c>
      <c r="GK11" s="48">
        <v>0.85</v>
      </c>
      <c r="GL11" s="48">
        <v>0.85</v>
      </c>
      <c r="GM11" s="48">
        <v>0.85</v>
      </c>
      <c r="GN11" s="48">
        <v>0.85</v>
      </c>
      <c r="GO11" s="48">
        <v>0.85</v>
      </c>
      <c r="GP11" s="48">
        <v>0.85</v>
      </c>
      <c r="GQ11" s="48">
        <v>0.85</v>
      </c>
      <c r="GR11" s="48">
        <v>0.85</v>
      </c>
      <c r="GS11" s="48">
        <v>0.85</v>
      </c>
      <c r="GT11" s="48">
        <v>0.85</v>
      </c>
      <c r="GU11" s="48">
        <v>0.85</v>
      </c>
      <c r="GV11" s="48">
        <v>0.85</v>
      </c>
      <c r="GW11" s="48">
        <v>0.85</v>
      </c>
      <c r="GX11" s="48">
        <v>0.85</v>
      </c>
      <c r="GY11" s="48">
        <v>0.85</v>
      </c>
      <c r="GZ11" s="48">
        <v>0.85</v>
      </c>
      <c r="HA11" s="48">
        <v>0.85</v>
      </c>
      <c r="HB11" s="48">
        <v>0.85</v>
      </c>
      <c r="HC11" s="48">
        <v>0.85</v>
      </c>
      <c r="HD11" s="48">
        <v>0.85</v>
      </c>
      <c r="HE11" s="48">
        <v>0.85</v>
      </c>
      <c r="HF11" s="48">
        <v>0.85</v>
      </c>
      <c r="HG11" s="48">
        <v>0.85</v>
      </c>
      <c r="HH11" s="48">
        <v>0.85</v>
      </c>
      <c r="HI11" s="48">
        <v>0.85</v>
      </c>
      <c r="HJ11" s="48">
        <v>0.85</v>
      </c>
      <c r="HK11" s="48">
        <v>0.85</v>
      </c>
      <c r="HL11" s="48">
        <v>0.85</v>
      </c>
      <c r="HM11" s="48">
        <v>0.85</v>
      </c>
      <c r="HN11" s="48">
        <v>0.85</v>
      </c>
      <c r="HO11" s="48">
        <v>0.85</v>
      </c>
      <c r="HP11" s="48">
        <v>0.85</v>
      </c>
      <c r="HQ11" s="48">
        <v>0.85</v>
      </c>
      <c r="HR11" s="48">
        <v>0.85</v>
      </c>
      <c r="HS11" s="48">
        <v>0.85</v>
      </c>
      <c r="HT11" s="48">
        <v>0.85</v>
      </c>
      <c r="HU11" s="48">
        <v>0.85</v>
      </c>
      <c r="HV11" s="48">
        <v>0.85</v>
      </c>
      <c r="HW11" s="48">
        <v>0.85</v>
      </c>
      <c r="HX11" s="48">
        <v>0.85</v>
      </c>
      <c r="HY11" s="48">
        <v>0.85</v>
      </c>
      <c r="HZ11" s="48">
        <v>0.85</v>
      </c>
      <c r="IA11" s="48">
        <v>0.85</v>
      </c>
      <c r="IB11" s="48">
        <v>0.85</v>
      </c>
      <c r="IC11" s="48">
        <v>0.85</v>
      </c>
      <c r="ID11" s="48">
        <v>0.85</v>
      </c>
      <c r="IE11" s="48">
        <v>0.85</v>
      </c>
      <c r="IF11" s="48">
        <v>0.85</v>
      </c>
      <c r="IG11" s="48">
        <v>0.85</v>
      </c>
      <c r="IH11" s="48">
        <v>0.85</v>
      </c>
    </row>
    <row r="12" spans="1:243" x14ac:dyDescent="0.45">
      <c r="A12" s="888" t="s">
        <v>216</v>
      </c>
      <c r="B12" s="889"/>
      <c r="C12" s="48">
        <v>0</v>
      </c>
      <c r="D12" s="48">
        <v>0</v>
      </c>
      <c r="E12" s="48">
        <v>0</v>
      </c>
      <c r="F12" s="48">
        <v>0</v>
      </c>
      <c r="G12" s="48">
        <v>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0.3</v>
      </c>
      <c r="AB12" s="48">
        <v>0.3</v>
      </c>
      <c r="AC12" s="48">
        <v>0.3</v>
      </c>
      <c r="AD12" s="48">
        <v>0.3</v>
      </c>
      <c r="AE12" s="48">
        <v>0.3</v>
      </c>
      <c r="AF12" s="48">
        <v>0.3</v>
      </c>
      <c r="AG12" s="48">
        <v>0.3</v>
      </c>
      <c r="AH12" s="48">
        <v>0.3</v>
      </c>
      <c r="AI12" s="48">
        <v>0.3</v>
      </c>
      <c r="AJ12" s="48">
        <v>0.3</v>
      </c>
      <c r="AK12" s="48">
        <v>0.3</v>
      </c>
      <c r="AL12" s="48">
        <v>0.3</v>
      </c>
      <c r="AM12" s="48">
        <v>0.5</v>
      </c>
      <c r="AN12" s="48">
        <v>0.5</v>
      </c>
      <c r="AO12" s="48">
        <v>0.5</v>
      </c>
      <c r="AP12" s="48">
        <v>0.5</v>
      </c>
      <c r="AQ12" s="48">
        <v>0.5</v>
      </c>
      <c r="AR12" s="48">
        <v>0.5</v>
      </c>
      <c r="AS12" s="48">
        <v>0.5</v>
      </c>
      <c r="AT12" s="48">
        <v>0.5</v>
      </c>
      <c r="AU12" s="48">
        <v>0.5</v>
      </c>
      <c r="AV12" s="48">
        <v>0.5</v>
      </c>
      <c r="AW12" s="48">
        <v>0.5</v>
      </c>
      <c r="AX12" s="48">
        <v>0.5</v>
      </c>
      <c r="AY12" s="48">
        <v>0.7</v>
      </c>
      <c r="AZ12" s="48">
        <v>0.7</v>
      </c>
      <c r="BA12" s="48">
        <v>0.7</v>
      </c>
      <c r="BB12" s="48">
        <v>0.7</v>
      </c>
      <c r="BC12" s="48">
        <v>0.7</v>
      </c>
      <c r="BD12" s="48">
        <v>0.7</v>
      </c>
      <c r="BE12" s="48">
        <v>0.7</v>
      </c>
      <c r="BF12" s="48">
        <v>0.7</v>
      </c>
      <c r="BG12" s="48">
        <v>0.7</v>
      </c>
      <c r="BH12" s="48">
        <v>0.7</v>
      </c>
      <c r="BI12" s="48">
        <v>0.7</v>
      </c>
      <c r="BJ12" s="48">
        <v>0.7</v>
      </c>
      <c r="BK12" s="48">
        <v>0.85</v>
      </c>
      <c r="BL12" s="48">
        <v>0.85</v>
      </c>
      <c r="BM12" s="48">
        <v>0.85</v>
      </c>
      <c r="BN12" s="48">
        <v>0.85</v>
      </c>
      <c r="BO12" s="48">
        <v>0.85</v>
      </c>
      <c r="BP12" s="48">
        <v>0.85</v>
      </c>
      <c r="BQ12" s="48">
        <v>0.85</v>
      </c>
      <c r="BR12" s="48">
        <v>0.85</v>
      </c>
      <c r="BS12" s="48">
        <v>0.85</v>
      </c>
      <c r="BT12" s="48">
        <v>0.85</v>
      </c>
      <c r="BU12" s="48">
        <v>0.85</v>
      </c>
      <c r="BV12" s="48">
        <v>0.85</v>
      </c>
      <c r="BW12" s="48">
        <v>0.85</v>
      </c>
      <c r="BX12" s="48">
        <v>0.85</v>
      </c>
      <c r="BY12" s="48">
        <v>0.85</v>
      </c>
      <c r="BZ12" s="48">
        <v>0.85</v>
      </c>
      <c r="CA12" s="48">
        <v>0.85</v>
      </c>
      <c r="CB12" s="48">
        <v>0.85</v>
      </c>
      <c r="CC12" s="48">
        <v>0.85</v>
      </c>
      <c r="CD12" s="48">
        <v>0.85</v>
      </c>
      <c r="CE12" s="48">
        <v>0.85</v>
      </c>
      <c r="CF12" s="48">
        <v>0.85</v>
      </c>
      <c r="CG12" s="48">
        <v>0.85</v>
      </c>
      <c r="CH12" s="48">
        <v>0.85</v>
      </c>
      <c r="CI12" s="48">
        <v>0.85</v>
      </c>
      <c r="CJ12" s="48">
        <v>0.85</v>
      </c>
      <c r="CK12" s="48">
        <v>0.85</v>
      </c>
      <c r="CL12" s="48">
        <v>0.85</v>
      </c>
      <c r="CM12" s="48">
        <v>0.85</v>
      </c>
      <c r="CN12" s="48">
        <v>0.85</v>
      </c>
      <c r="CO12" s="48">
        <v>0.85</v>
      </c>
      <c r="CP12" s="48">
        <v>0.85</v>
      </c>
      <c r="CQ12" s="48">
        <v>0.85</v>
      </c>
      <c r="CR12" s="48">
        <v>0.85</v>
      </c>
      <c r="CS12" s="48">
        <v>0.85</v>
      </c>
      <c r="CT12" s="48">
        <v>0.85</v>
      </c>
      <c r="CU12" s="48">
        <v>0.85</v>
      </c>
      <c r="CV12" s="48">
        <v>0.85</v>
      </c>
      <c r="CW12" s="48">
        <v>0.85</v>
      </c>
      <c r="CX12" s="48">
        <v>0.85</v>
      </c>
      <c r="CY12" s="48">
        <v>0.85</v>
      </c>
      <c r="CZ12" s="48">
        <v>0.85</v>
      </c>
      <c r="DA12" s="48">
        <v>0.85</v>
      </c>
      <c r="DB12" s="48">
        <v>0.85</v>
      </c>
      <c r="DC12" s="48">
        <v>0.85</v>
      </c>
      <c r="DD12" s="48">
        <v>0.85</v>
      </c>
      <c r="DE12" s="48">
        <v>0.85</v>
      </c>
      <c r="DF12" s="48">
        <v>0.85</v>
      </c>
      <c r="DG12" s="48">
        <v>0.85</v>
      </c>
      <c r="DH12" s="48">
        <v>0.85</v>
      </c>
      <c r="DI12" s="48">
        <v>0.85</v>
      </c>
      <c r="DJ12" s="48">
        <v>0.85</v>
      </c>
      <c r="DK12" s="48">
        <v>0.85</v>
      </c>
      <c r="DL12" s="48">
        <v>0.85</v>
      </c>
      <c r="DM12" s="48">
        <v>0.85</v>
      </c>
      <c r="DN12" s="48">
        <v>0.85</v>
      </c>
      <c r="DO12" s="48">
        <v>0.85</v>
      </c>
      <c r="DP12" s="48">
        <v>0.85</v>
      </c>
      <c r="DQ12" s="48">
        <v>0.85</v>
      </c>
      <c r="DR12" s="48">
        <v>0.85</v>
      </c>
      <c r="DS12" s="48">
        <v>0.85</v>
      </c>
      <c r="DT12" s="48">
        <v>0.85</v>
      </c>
      <c r="DU12" s="48">
        <v>0.85</v>
      </c>
      <c r="DV12" s="48">
        <v>0.85</v>
      </c>
      <c r="DW12" s="48">
        <v>0.85</v>
      </c>
      <c r="DX12" s="48">
        <v>0.85</v>
      </c>
      <c r="DY12" s="48">
        <v>0.85</v>
      </c>
      <c r="DZ12" s="48">
        <v>0.85</v>
      </c>
      <c r="EA12" s="48">
        <v>0.85</v>
      </c>
      <c r="EB12" s="48">
        <v>0.85</v>
      </c>
      <c r="EC12" s="48">
        <v>0.85</v>
      </c>
      <c r="ED12" s="48">
        <v>0.85</v>
      </c>
      <c r="EE12" s="48">
        <v>0.85</v>
      </c>
      <c r="EF12" s="48">
        <v>0.85</v>
      </c>
      <c r="EG12" s="48">
        <v>0.85</v>
      </c>
      <c r="EH12" s="48">
        <v>0.85</v>
      </c>
      <c r="EI12" s="48">
        <v>0.85</v>
      </c>
      <c r="EJ12" s="48">
        <v>0.85</v>
      </c>
      <c r="EK12" s="48">
        <v>0.85</v>
      </c>
      <c r="EL12" s="48">
        <v>0.85</v>
      </c>
      <c r="EM12" s="48">
        <v>0.85</v>
      </c>
      <c r="EN12" s="48">
        <v>0.85</v>
      </c>
      <c r="EO12" s="48">
        <v>0.85</v>
      </c>
      <c r="EP12" s="48">
        <v>0.85</v>
      </c>
      <c r="EQ12" s="48">
        <v>0.85</v>
      </c>
      <c r="ER12" s="48">
        <v>0.85</v>
      </c>
      <c r="ES12" s="48">
        <v>0.85</v>
      </c>
      <c r="ET12" s="48">
        <v>0.85</v>
      </c>
      <c r="EU12" s="48">
        <v>0.85</v>
      </c>
      <c r="EV12" s="48">
        <v>0.85</v>
      </c>
      <c r="EW12" s="48">
        <v>0.85</v>
      </c>
      <c r="EX12" s="48">
        <v>0.85</v>
      </c>
      <c r="EY12" s="48">
        <v>0.85</v>
      </c>
      <c r="EZ12" s="48">
        <v>0.85</v>
      </c>
      <c r="FA12" s="48">
        <v>0.85</v>
      </c>
      <c r="FB12" s="48">
        <v>0.85</v>
      </c>
      <c r="FC12" s="48">
        <v>0.85</v>
      </c>
      <c r="FD12" s="48">
        <v>0.85</v>
      </c>
      <c r="FE12" s="48">
        <v>0.85</v>
      </c>
      <c r="FF12" s="48">
        <v>0.85</v>
      </c>
      <c r="FG12" s="48">
        <v>0.85</v>
      </c>
      <c r="FH12" s="48">
        <v>0.85</v>
      </c>
      <c r="FI12" s="48">
        <v>0.85</v>
      </c>
      <c r="FJ12" s="48">
        <v>0.85</v>
      </c>
      <c r="FK12" s="48">
        <v>0.85</v>
      </c>
      <c r="FL12" s="48">
        <v>0.85</v>
      </c>
      <c r="FM12" s="48">
        <v>0.85</v>
      </c>
      <c r="FN12" s="48">
        <v>0.85</v>
      </c>
      <c r="FO12" s="48">
        <v>0.85</v>
      </c>
      <c r="FP12" s="48">
        <v>0.85</v>
      </c>
      <c r="FQ12" s="48">
        <v>0.85</v>
      </c>
      <c r="FR12" s="48">
        <v>0.85</v>
      </c>
      <c r="FS12" s="48">
        <v>0.85</v>
      </c>
      <c r="FT12" s="48">
        <v>0.85</v>
      </c>
      <c r="FU12" s="48">
        <v>0.85</v>
      </c>
      <c r="FV12" s="48">
        <v>0.85</v>
      </c>
      <c r="FW12" s="48">
        <v>0.85</v>
      </c>
      <c r="FX12" s="48">
        <v>0.85</v>
      </c>
      <c r="FY12" s="48">
        <v>0.85</v>
      </c>
      <c r="FZ12" s="48">
        <v>0.85</v>
      </c>
      <c r="GA12" s="48">
        <v>0.85</v>
      </c>
      <c r="GB12" s="48">
        <v>0.85</v>
      </c>
      <c r="GC12" s="48">
        <v>0.85</v>
      </c>
      <c r="GD12" s="48">
        <v>0.85</v>
      </c>
      <c r="GE12" s="48">
        <v>0.85</v>
      </c>
      <c r="GF12" s="48">
        <v>0.85</v>
      </c>
      <c r="GG12" s="48">
        <v>0.85</v>
      </c>
      <c r="GH12" s="48">
        <v>0.85</v>
      </c>
      <c r="GI12" s="48">
        <v>0.85</v>
      </c>
      <c r="GJ12" s="48">
        <v>0.85</v>
      </c>
      <c r="GK12" s="48">
        <v>0.85</v>
      </c>
      <c r="GL12" s="48">
        <v>0.85</v>
      </c>
      <c r="GM12" s="48">
        <v>0.85</v>
      </c>
      <c r="GN12" s="48">
        <v>0.85</v>
      </c>
      <c r="GO12" s="48">
        <v>0.85</v>
      </c>
      <c r="GP12" s="48">
        <v>0.85</v>
      </c>
      <c r="GQ12" s="48">
        <v>0.85</v>
      </c>
      <c r="GR12" s="48">
        <v>0.85</v>
      </c>
      <c r="GS12" s="48">
        <v>0.85</v>
      </c>
      <c r="GT12" s="48">
        <v>0.85</v>
      </c>
      <c r="GU12" s="48">
        <v>0.85</v>
      </c>
      <c r="GV12" s="48">
        <v>0.85</v>
      </c>
      <c r="GW12" s="48">
        <v>0.85</v>
      </c>
      <c r="GX12" s="48">
        <v>0.85</v>
      </c>
      <c r="GY12" s="48">
        <v>0.85</v>
      </c>
      <c r="GZ12" s="48">
        <v>0.85</v>
      </c>
      <c r="HA12" s="48">
        <v>0.85</v>
      </c>
      <c r="HB12" s="48">
        <v>0.85</v>
      </c>
      <c r="HC12" s="48">
        <v>0.85</v>
      </c>
      <c r="HD12" s="48">
        <v>0.85</v>
      </c>
      <c r="HE12" s="48">
        <v>0.85</v>
      </c>
      <c r="HF12" s="48">
        <v>0.85</v>
      </c>
      <c r="HG12" s="48">
        <v>0.85</v>
      </c>
      <c r="HH12" s="48">
        <v>0.85</v>
      </c>
      <c r="HI12" s="48">
        <v>0.85</v>
      </c>
      <c r="HJ12" s="48">
        <v>0.85</v>
      </c>
      <c r="HK12" s="48">
        <v>0.85</v>
      </c>
      <c r="HL12" s="48">
        <v>0.85</v>
      </c>
      <c r="HM12" s="48">
        <v>0.85</v>
      </c>
      <c r="HN12" s="48">
        <v>0.85</v>
      </c>
      <c r="HO12" s="48">
        <v>0.85</v>
      </c>
      <c r="HP12" s="48">
        <v>0.85</v>
      </c>
      <c r="HQ12" s="48">
        <v>0.85</v>
      </c>
      <c r="HR12" s="48">
        <v>0.85</v>
      </c>
      <c r="HS12" s="48">
        <v>0.85</v>
      </c>
      <c r="HT12" s="48">
        <v>0.85</v>
      </c>
      <c r="HU12" s="48">
        <v>0.85</v>
      </c>
      <c r="HV12" s="48">
        <v>0.85</v>
      </c>
      <c r="HW12" s="48">
        <v>0.85</v>
      </c>
      <c r="HX12" s="48">
        <v>0.85</v>
      </c>
      <c r="HY12" s="48">
        <v>0.85</v>
      </c>
      <c r="HZ12" s="48">
        <v>0.85</v>
      </c>
      <c r="IA12" s="48">
        <v>0.85</v>
      </c>
      <c r="IB12" s="48">
        <v>0.85</v>
      </c>
      <c r="IC12" s="48">
        <v>0.85</v>
      </c>
      <c r="ID12" s="48">
        <v>0.85</v>
      </c>
      <c r="IE12" s="48">
        <v>0.85</v>
      </c>
      <c r="IF12" s="48">
        <v>0.85</v>
      </c>
      <c r="IG12" s="48">
        <v>0.85</v>
      </c>
      <c r="IH12" s="48">
        <v>0.85</v>
      </c>
    </row>
    <row r="13" spans="1:243" x14ac:dyDescent="0.45">
      <c r="A13" s="107" t="s">
        <v>378</v>
      </c>
      <c r="B13" s="108"/>
      <c r="C13" s="48">
        <v>0</v>
      </c>
      <c r="D13" s="48">
        <v>0</v>
      </c>
      <c r="E13" s="48">
        <v>0</v>
      </c>
      <c r="F13" s="48">
        <v>0</v>
      </c>
      <c r="G13" s="48">
        <v>0</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0.3</v>
      </c>
      <c r="AB13" s="48">
        <v>0.3</v>
      </c>
      <c r="AC13" s="48">
        <v>0.3</v>
      </c>
      <c r="AD13" s="48">
        <v>0.3</v>
      </c>
      <c r="AE13" s="48">
        <v>0.3</v>
      </c>
      <c r="AF13" s="48">
        <v>0.3</v>
      </c>
      <c r="AG13" s="48">
        <v>0.3</v>
      </c>
      <c r="AH13" s="48">
        <v>0.3</v>
      </c>
      <c r="AI13" s="48">
        <v>0.3</v>
      </c>
      <c r="AJ13" s="48">
        <v>0.3</v>
      </c>
      <c r="AK13" s="48">
        <v>0.3</v>
      </c>
      <c r="AL13" s="48">
        <v>0.3</v>
      </c>
      <c r="AM13" s="48">
        <v>0.5</v>
      </c>
      <c r="AN13" s="48">
        <v>0.5</v>
      </c>
      <c r="AO13" s="48">
        <v>0.5</v>
      </c>
      <c r="AP13" s="48">
        <v>0.5</v>
      </c>
      <c r="AQ13" s="48">
        <v>0.5</v>
      </c>
      <c r="AR13" s="48">
        <v>0.5</v>
      </c>
      <c r="AS13" s="48">
        <v>0.5</v>
      </c>
      <c r="AT13" s="48">
        <v>0.5</v>
      </c>
      <c r="AU13" s="48">
        <v>0.5</v>
      </c>
      <c r="AV13" s="48">
        <v>0.5</v>
      </c>
      <c r="AW13" s="48">
        <v>0.5</v>
      </c>
      <c r="AX13" s="48">
        <v>0.5</v>
      </c>
      <c r="AY13" s="48">
        <v>0.7</v>
      </c>
      <c r="AZ13" s="48">
        <v>0.7</v>
      </c>
      <c r="BA13" s="48">
        <v>0.7</v>
      </c>
      <c r="BB13" s="48">
        <v>0.7</v>
      </c>
      <c r="BC13" s="48">
        <v>0.7</v>
      </c>
      <c r="BD13" s="48">
        <v>0.7</v>
      </c>
      <c r="BE13" s="48">
        <v>0.7</v>
      </c>
      <c r="BF13" s="48">
        <v>0.7</v>
      </c>
      <c r="BG13" s="48">
        <v>0.7</v>
      </c>
      <c r="BH13" s="48">
        <v>0.7</v>
      </c>
      <c r="BI13" s="48">
        <v>0.7</v>
      </c>
      <c r="BJ13" s="48">
        <v>0.7</v>
      </c>
      <c r="BK13" s="48">
        <v>0.85</v>
      </c>
      <c r="BL13" s="48">
        <v>0.85</v>
      </c>
      <c r="BM13" s="48">
        <v>0.85</v>
      </c>
      <c r="BN13" s="48">
        <v>0.85</v>
      </c>
      <c r="BO13" s="48">
        <v>0.85</v>
      </c>
      <c r="BP13" s="48">
        <v>0.85</v>
      </c>
      <c r="BQ13" s="48">
        <v>0.85</v>
      </c>
      <c r="BR13" s="48">
        <v>0.85</v>
      </c>
      <c r="BS13" s="48">
        <v>0.85</v>
      </c>
      <c r="BT13" s="48">
        <v>0.85</v>
      </c>
      <c r="BU13" s="48">
        <v>0.85</v>
      </c>
      <c r="BV13" s="48">
        <v>0.85</v>
      </c>
      <c r="BW13" s="48">
        <v>0.85</v>
      </c>
      <c r="BX13" s="48">
        <v>0.85</v>
      </c>
      <c r="BY13" s="48">
        <v>0.85</v>
      </c>
      <c r="BZ13" s="48">
        <v>0.85</v>
      </c>
      <c r="CA13" s="48">
        <v>0.85</v>
      </c>
      <c r="CB13" s="48">
        <v>0.85</v>
      </c>
      <c r="CC13" s="48">
        <v>0.85</v>
      </c>
      <c r="CD13" s="48">
        <v>0.85</v>
      </c>
      <c r="CE13" s="48">
        <v>0.85</v>
      </c>
      <c r="CF13" s="48">
        <v>0.85</v>
      </c>
      <c r="CG13" s="48">
        <v>0.85</v>
      </c>
      <c r="CH13" s="48">
        <v>0.85</v>
      </c>
      <c r="CI13" s="48">
        <v>0.85</v>
      </c>
      <c r="CJ13" s="48">
        <v>0.85</v>
      </c>
      <c r="CK13" s="48">
        <v>0.85</v>
      </c>
      <c r="CL13" s="48">
        <v>0.85</v>
      </c>
      <c r="CM13" s="48">
        <v>0.85</v>
      </c>
      <c r="CN13" s="48">
        <v>0.85</v>
      </c>
      <c r="CO13" s="48">
        <v>0.85</v>
      </c>
      <c r="CP13" s="48">
        <v>0.85</v>
      </c>
      <c r="CQ13" s="48">
        <v>0.85</v>
      </c>
      <c r="CR13" s="48">
        <v>0.85</v>
      </c>
      <c r="CS13" s="48">
        <v>0.85</v>
      </c>
      <c r="CT13" s="48">
        <v>0.85</v>
      </c>
      <c r="CU13" s="48">
        <v>0.85</v>
      </c>
      <c r="CV13" s="48">
        <v>0.85</v>
      </c>
      <c r="CW13" s="48">
        <v>0.85</v>
      </c>
      <c r="CX13" s="48">
        <v>0.85</v>
      </c>
      <c r="CY13" s="48">
        <v>0.85</v>
      </c>
      <c r="CZ13" s="48">
        <v>0.85</v>
      </c>
      <c r="DA13" s="48">
        <v>0.85</v>
      </c>
      <c r="DB13" s="48">
        <v>0.85</v>
      </c>
      <c r="DC13" s="48">
        <v>0.85</v>
      </c>
      <c r="DD13" s="48">
        <v>0.85</v>
      </c>
      <c r="DE13" s="48">
        <v>0.85</v>
      </c>
      <c r="DF13" s="48">
        <v>0.85</v>
      </c>
      <c r="DG13" s="48">
        <v>0.85</v>
      </c>
      <c r="DH13" s="48">
        <v>0.85</v>
      </c>
      <c r="DI13" s="48">
        <v>0.85</v>
      </c>
      <c r="DJ13" s="48">
        <v>0.85</v>
      </c>
      <c r="DK13" s="48">
        <v>0.85</v>
      </c>
      <c r="DL13" s="48">
        <v>0.85</v>
      </c>
      <c r="DM13" s="48">
        <v>0.85</v>
      </c>
      <c r="DN13" s="48">
        <v>0.85</v>
      </c>
      <c r="DO13" s="48">
        <v>0.85</v>
      </c>
      <c r="DP13" s="48">
        <v>0.85</v>
      </c>
      <c r="DQ13" s="48">
        <v>0.85</v>
      </c>
      <c r="DR13" s="48">
        <v>0.85</v>
      </c>
      <c r="DS13" s="48">
        <v>0.85</v>
      </c>
      <c r="DT13" s="48">
        <v>0.85</v>
      </c>
      <c r="DU13" s="48">
        <v>0.85</v>
      </c>
      <c r="DV13" s="48">
        <v>0.85</v>
      </c>
      <c r="DW13" s="48">
        <v>0.85</v>
      </c>
      <c r="DX13" s="48">
        <v>0.85</v>
      </c>
      <c r="DY13" s="48">
        <v>0.85</v>
      </c>
      <c r="DZ13" s="48">
        <v>0.85</v>
      </c>
      <c r="EA13" s="48">
        <v>0.85</v>
      </c>
      <c r="EB13" s="48">
        <v>0.85</v>
      </c>
      <c r="EC13" s="48">
        <v>0.85</v>
      </c>
      <c r="ED13" s="48">
        <v>0.85</v>
      </c>
      <c r="EE13" s="48">
        <v>0.85</v>
      </c>
      <c r="EF13" s="48">
        <v>0.85</v>
      </c>
      <c r="EG13" s="48">
        <v>0.85</v>
      </c>
      <c r="EH13" s="48">
        <v>0.85</v>
      </c>
      <c r="EI13" s="48">
        <v>0.85</v>
      </c>
      <c r="EJ13" s="48">
        <v>0.85</v>
      </c>
      <c r="EK13" s="48">
        <v>0.85</v>
      </c>
      <c r="EL13" s="48">
        <v>0.85</v>
      </c>
      <c r="EM13" s="48">
        <v>0.85</v>
      </c>
      <c r="EN13" s="48">
        <v>0.85</v>
      </c>
      <c r="EO13" s="48">
        <v>0.85</v>
      </c>
      <c r="EP13" s="48">
        <v>0.85</v>
      </c>
      <c r="EQ13" s="48">
        <v>0.85</v>
      </c>
      <c r="ER13" s="48">
        <v>0.85</v>
      </c>
      <c r="ES13" s="48">
        <v>0.85</v>
      </c>
      <c r="ET13" s="48">
        <v>0.85</v>
      </c>
      <c r="EU13" s="48">
        <v>0.85</v>
      </c>
      <c r="EV13" s="48">
        <v>0.85</v>
      </c>
      <c r="EW13" s="48">
        <v>0.85</v>
      </c>
      <c r="EX13" s="48">
        <v>0.85</v>
      </c>
      <c r="EY13" s="48">
        <v>0.85</v>
      </c>
      <c r="EZ13" s="48">
        <v>0.85</v>
      </c>
      <c r="FA13" s="48">
        <v>0.85</v>
      </c>
      <c r="FB13" s="48">
        <v>0.85</v>
      </c>
      <c r="FC13" s="48">
        <v>0.85</v>
      </c>
      <c r="FD13" s="48">
        <v>0.85</v>
      </c>
      <c r="FE13" s="48">
        <v>0.85</v>
      </c>
      <c r="FF13" s="48">
        <v>0.85</v>
      </c>
      <c r="FG13" s="48">
        <v>0.85</v>
      </c>
      <c r="FH13" s="48">
        <v>0.85</v>
      </c>
      <c r="FI13" s="48">
        <v>0.85</v>
      </c>
      <c r="FJ13" s="48">
        <v>0.85</v>
      </c>
      <c r="FK13" s="48">
        <v>0.85</v>
      </c>
      <c r="FL13" s="48">
        <v>0.85</v>
      </c>
      <c r="FM13" s="48">
        <v>0.85</v>
      </c>
      <c r="FN13" s="48">
        <v>0.85</v>
      </c>
      <c r="FO13" s="48">
        <v>0.85</v>
      </c>
      <c r="FP13" s="48">
        <v>0.85</v>
      </c>
      <c r="FQ13" s="48">
        <v>0.85</v>
      </c>
      <c r="FR13" s="48">
        <v>0.85</v>
      </c>
      <c r="FS13" s="48">
        <v>0.85</v>
      </c>
      <c r="FT13" s="48">
        <v>0.85</v>
      </c>
      <c r="FU13" s="48">
        <v>0.85</v>
      </c>
      <c r="FV13" s="48">
        <v>0.85</v>
      </c>
      <c r="FW13" s="48">
        <v>0.85</v>
      </c>
      <c r="FX13" s="48">
        <v>0.85</v>
      </c>
      <c r="FY13" s="48">
        <v>0.85</v>
      </c>
      <c r="FZ13" s="48">
        <v>0.85</v>
      </c>
      <c r="GA13" s="48">
        <v>0.85</v>
      </c>
      <c r="GB13" s="48">
        <v>0.85</v>
      </c>
      <c r="GC13" s="48">
        <v>0.85</v>
      </c>
      <c r="GD13" s="48">
        <v>0.85</v>
      </c>
      <c r="GE13" s="48">
        <v>0.85</v>
      </c>
      <c r="GF13" s="48">
        <v>0.85</v>
      </c>
      <c r="GG13" s="48">
        <v>0.85</v>
      </c>
      <c r="GH13" s="48">
        <v>0.85</v>
      </c>
      <c r="GI13" s="48">
        <v>0.85</v>
      </c>
      <c r="GJ13" s="48">
        <v>0.85</v>
      </c>
      <c r="GK13" s="48">
        <v>0.85</v>
      </c>
      <c r="GL13" s="48">
        <v>0.85</v>
      </c>
      <c r="GM13" s="48">
        <v>0.85</v>
      </c>
      <c r="GN13" s="48">
        <v>0.85</v>
      </c>
      <c r="GO13" s="48">
        <v>0.85</v>
      </c>
      <c r="GP13" s="48">
        <v>0.85</v>
      </c>
      <c r="GQ13" s="48">
        <v>0.85</v>
      </c>
      <c r="GR13" s="48">
        <v>0.85</v>
      </c>
      <c r="GS13" s="48">
        <v>0.85</v>
      </c>
      <c r="GT13" s="48">
        <v>0.85</v>
      </c>
      <c r="GU13" s="48">
        <v>0.85</v>
      </c>
      <c r="GV13" s="48">
        <v>0.85</v>
      </c>
      <c r="GW13" s="48">
        <v>0.85</v>
      </c>
      <c r="GX13" s="48">
        <v>0.85</v>
      </c>
      <c r="GY13" s="48">
        <v>0.85</v>
      </c>
      <c r="GZ13" s="48">
        <v>0.85</v>
      </c>
      <c r="HA13" s="48">
        <v>0.85</v>
      </c>
      <c r="HB13" s="48">
        <v>0.85</v>
      </c>
      <c r="HC13" s="48">
        <v>0.85</v>
      </c>
      <c r="HD13" s="48">
        <v>0.85</v>
      </c>
      <c r="HE13" s="48">
        <v>0.85</v>
      </c>
      <c r="HF13" s="48">
        <v>0.85</v>
      </c>
      <c r="HG13" s="48">
        <v>0.85</v>
      </c>
      <c r="HH13" s="48">
        <v>0.85</v>
      </c>
      <c r="HI13" s="48">
        <v>0.85</v>
      </c>
      <c r="HJ13" s="48">
        <v>0.85</v>
      </c>
      <c r="HK13" s="48">
        <v>0.85</v>
      </c>
      <c r="HL13" s="48">
        <v>0.85</v>
      </c>
      <c r="HM13" s="48">
        <v>0.85</v>
      </c>
      <c r="HN13" s="48">
        <v>0.85</v>
      </c>
      <c r="HO13" s="48">
        <v>0.85</v>
      </c>
      <c r="HP13" s="48">
        <v>0.85</v>
      </c>
      <c r="HQ13" s="48">
        <v>0.85</v>
      </c>
      <c r="HR13" s="48">
        <v>0.85</v>
      </c>
      <c r="HS13" s="48">
        <v>0.85</v>
      </c>
      <c r="HT13" s="48">
        <v>0.85</v>
      </c>
      <c r="HU13" s="48">
        <v>0.85</v>
      </c>
      <c r="HV13" s="48">
        <v>0.85</v>
      </c>
      <c r="HW13" s="48">
        <v>0.85</v>
      </c>
      <c r="HX13" s="48">
        <v>0.85</v>
      </c>
      <c r="HY13" s="48">
        <v>0.85</v>
      </c>
      <c r="HZ13" s="48">
        <v>0.85</v>
      </c>
      <c r="IA13" s="48">
        <v>0.85</v>
      </c>
      <c r="IB13" s="48">
        <v>0.85</v>
      </c>
      <c r="IC13" s="48">
        <v>0.85</v>
      </c>
      <c r="ID13" s="48">
        <v>0.85</v>
      </c>
      <c r="IE13" s="48">
        <v>0.85</v>
      </c>
      <c r="IF13" s="48">
        <v>0.85</v>
      </c>
      <c r="IG13" s="48">
        <v>0.85</v>
      </c>
      <c r="IH13" s="48">
        <v>0.85</v>
      </c>
    </row>
    <row r="14" spans="1:243" x14ac:dyDescent="0.45">
      <c r="A14" s="888" t="s">
        <v>183</v>
      </c>
      <c r="B14" s="889"/>
      <c r="C14" s="48">
        <v>0</v>
      </c>
      <c r="D14" s="48">
        <v>0</v>
      </c>
      <c r="E14" s="48">
        <v>0</v>
      </c>
      <c r="F14" s="48">
        <v>0</v>
      </c>
      <c r="G14" s="48">
        <v>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0.3</v>
      </c>
      <c r="AB14" s="48">
        <v>0.3</v>
      </c>
      <c r="AC14" s="48">
        <v>0.3</v>
      </c>
      <c r="AD14" s="48">
        <v>0.3</v>
      </c>
      <c r="AE14" s="48">
        <v>0.3</v>
      </c>
      <c r="AF14" s="48">
        <v>0.3</v>
      </c>
      <c r="AG14" s="48">
        <v>0.3</v>
      </c>
      <c r="AH14" s="48">
        <v>0.3</v>
      </c>
      <c r="AI14" s="48">
        <v>0.3</v>
      </c>
      <c r="AJ14" s="48">
        <v>0.3</v>
      </c>
      <c r="AK14" s="48">
        <v>0.3</v>
      </c>
      <c r="AL14" s="48">
        <v>0.3</v>
      </c>
      <c r="AM14" s="48">
        <v>0.5</v>
      </c>
      <c r="AN14" s="48">
        <v>0.5</v>
      </c>
      <c r="AO14" s="48">
        <v>0.5</v>
      </c>
      <c r="AP14" s="48">
        <v>0.5</v>
      </c>
      <c r="AQ14" s="48">
        <v>0.5</v>
      </c>
      <c r="AR14" s="48">
        <v>0.5</v>
      </c>
      <c r="AS14" s="48">
        <v>0.5</v>
      </c>
      <c r="AT14" s="48">
        <v>0.5</v>
      </c>
      <c r="AU14" s="48">
        <v>0.5</v>
      </c>
      <c r="AV14" s="48">
        <v>0.5</v>
      </c>
      <c r="AW14" s="48">
        <v>0.5</v>
      </c>
      <c r="AX14" s="48">
        <v>0.5</v>
      </c>
      <c r="AY14" s="48">
        <v>0.7</v>
      </c>
      <c r="AZ14" s="48">
        <v>0.7</v>
      </c>
      <c r="BA14" s="48">
        <v>0.7</v>
      </c>
      <c r="BB14" s="48">
        <v>0.7</v>
      </c>
      <c r="BC14" s="48">
        <v>0.7</v>
      </c>
      <c r="BD14" s="48">
        <v>0.7</v>
      </c>
      <c r="BE14" s="48">
        <v>0.7</v>
      </c>
      <c r="BF14" s="48">
        <v>0.7</v>
      </c>
      <c r="BG14" s="48">
        <v>0.7</v>
      </c>
      <c r="BH14" s="48">
        <v>0.7</v>
      </c>
      <c r="BI14" s="48">
        <v>0.7</v>
      </c>
      <c r="BJ14" s="48">
        <v>0.7</v>
      </c>
      <c r="BK14" s="48">
        <v>0.85</v>
      </c>
      <c r="BL14" s="48">
        <v>0.85</v>
      </c>
      <c r="BM14" s="48">
        <v>0.85</v>
      </c>
      <c r="BN14" s="48">
        <v>0.85</v>
      </c>
      <c r="BO14" s="48">
        <v>0.85</v>
      </c>
      <c r="BP14" s="48">
        <v>0.85</v>
      </c>
      <c r="BQ14" s="48">
        <v>0.85</v>
      </c>
      <c r="BR14" s="48">
        <v>0.85</v>
      </c>
      <c r="BS14" s="48">
        <v>0.85</v>
      </c>
      <c r="BT14" s="48">
        <v>0.85</v>
      </c>
      <c r="BU14" s="48">
        <v>0.85</v>
      </c>
      <c r="BV14" s="48">
        <v>0.85</v>
      </c>
      <c r="BW14" s="48">
        <v>0.85</v>
      </c>
      <c r="BX14" s="48">
        <v>0.85</v>
      </c>
      <c r="BY14" s="48">
        <v>0.85</v>
      </c>
      <c r="BZ14" s="48">
        <v>0.85</v>
      </c>
      <c r="CA14" s="48">
        <v>0.85</v>
      </c>
      <c r="CB14" s="48">
        <v>0.85</v>
      </c>
      <c r="CC14" s="48">
        <v>0.85</v>
      </c>
      <c r="CD14" s="48">
        <v>0.85</v>
      </c>
      <c r="CE14" s="48">
        <v>0.85</v>
      </c>
      <c r="CF14" s="48">
        <v>0.85</v>
      </c>
      <c r="CG14" s="48">
        <v>0.85</v>
      </c>
      <c r="CH14" s="48">
        <v>0.85</v>
      </c>
      <c r="CI14" s="48">
        <v>0.85</v>
      </c>
      <c r="CJ14" s="48">
        <v>0.85</v>
      </c>
      <c r="CK14" s="48">
        <v>0.85</v>
      </c>
      <c r="CL14" s="48">
        <v>0.85</v>
      </c>
      <c r="CM14" s="48">
        <v>0.85</v>
      </c>
      <c r="CN14" s="48">
        <v>0.85</v>
      </c>
      <c r="CO14" s="48">
        <v>0.85</v>
      </c>
      <c r="CP14" s="48">
        <v>0.85</v>
      </c>
      <c r="CQ14" s="48">
        <v>0.85</v>
      </c>
      <c r="CR14" s="48">
        <v>0.85</v>
      </c>
      <c r="CS14" s="48">
        <v>0.85</v>
      </c>
      <c r="CT14" s="48">
        <v>0.85</v>
      </c>
      <c r="CU14" s="48">
        <v>0.85</v>
      </c>
      <c r="CV14" s="48">
        <v>0.85</v>
      </c>
      <c r="CW14" s="48">
        <v>0.85</v>
      </c>
      <c r="CX14" s="48">
        <v>0.85</v>
      </c>
      <c r="CY14" s="48">
        <v>0.85</v>
      </c>
      <c r="CZ14" s="48">
        <v>0.85</v>
      </c>
      <c r="DA14" s="48">
        <v>0.85</v>
      </c>
      <c r="DB14" s="48">
        <v>0.85</v>
      </c>
      <c r="DC14" s="48">
        <v>0.85</v>
      </c>
      <c r="DD14" s="48">
        <v>0.85</v>
      </c>
      <c r="DE14" s="48">
        <v>0.85</v>
      </c>
      <c r="DF14" s="48">
        <v>0.85</v>
      </c>
      <c r="DG14" s="48">
        <v>0.85</v>
      </c>
      <c r="DH14" s="48">
        <v>0.85</v>
      </c>
      <c r="DI14" s="48">
        <v>0.85</v>
      </c>
      <c r="DJ14" s="48">
        <v>0.85</v>
      </c>
      <c r="DK14" s="48">
        <v>0.85</v>
      </c>
      <c r="DL14" s="48">
        <v>0.85</v>
      </c>
      <c r="DM14" s="48">
        <v>0.85</v>
      </c>
      <c r="DN14" s="48">
        <v>0.85</v>
      </c>
      <c r="DO14" s="48">
        <v>0.85</v>
      </c>
      <c r="DP14" s="48">
        <v>0.85</v>
      </c>
      <c r="DQ14" s="48">
        <v>0.85</v>
      </c>
      <c r="DR14" s="48">
        <v>0.85</v>
      </c>
      <c r="DS14" s="48">
        <v>0.85</v>
      </c>
      <c r="DT14" s="48">
        <v>0.85</v>
      </c>
      <c r="DU14" s="48">
        <v>0.85</v>
      </c>
      <c r="DV14" s="48">
        <v>0.85</v>
      </c>
      <c r="DW14" s="48">
        <v>0.85</v>
      </c>
      <c r="DX14" s="48">
        <v>0.85</v>
      </c>
      <c r="DY14" s="48">
        <v>0.85</v>
      </c>
      <c r="DZ14" s="48">
        <v>0.85</v>
      </c>
      <c r="EA14" s="48">
        <v>0.85</v>
      </c>
      <c r="EB14" s="48">
        <v>0.85</v>
      </c>
      <c r="EC14" s="48">
        <v>0.85</v>
      </c>
      <c r="ED14" s="48">
        <v>0.85</v>
      </c>
      <c r="EE14" s="48">
        <v>0.85</v>
      </c>
      <c r="EF14" s="48">
        <v>0.85</v>
      </c>
      <c r="EG14" s="48">
        <v>0.85</v>
      </c>
      <c r="EH14" s="48">
        <v>0.85</v>
      </c>
      <c r="EI14" s="48">
        <v>0.85</v>
      </c>
      <c r="EJ14" s="48">
        <v>0.85</v>
      </c>
      <c r="EK14" s="48">
        <v>0.85</v>
      </c>
      <c r="EL14" s="48">
        <v>0.85</v>
      </c>
      <c r="EM14" s="48">
        <v>0.85</v>
      </c>
      <c r="EN14" s="48">
        <v>0.85</v>
      </c>
      <c r="EO14" s="48">
        <v>0.85</v>
      </c>
      <c r="EP14" s="48">
        <v>0.85</v>
      </c>
      <c r="EQ14" s="48">
        <v>0.85</v>
      </c>
      <c r="ER14" s="48">
        <v>0.85</v>
      </c>
      <c r="ES14" s="48">
        <v>0.85</v>
      </c>
      <c r="ET14" s="48">
        <v>0.85</v>
      </c>
      <c r="EU14" s="48">
        <v>0.85</v>
      </c>
      <c r="EV14" s="48">
        <v>0.85</v>
      </c>
      <c r="EW14" s="48">
        <v>0.85</v>
      </c>
      <c r="EX14" s="48">
        <v>0.85</v>
      </c>
      <c r="EY14" s="48">
        <v>0.85</v>
      </c>
      <c r="EZ14" s="48">
        <v>0.85</v>
      </c>
      <c r="FA14" s="48">
        <v>0.85</v>
      </c>
      <c r="FB14" s="48">
        <v>0.85</v>
      </c>
      <c r="FC14" s="48">
        <v>0.85</v>
      </c>
      <c r="FD14" s="48">
        <v>0.85</v>
      </c>
      <c r="FE14" s="48">
        <v>0.85</v>
      </c>
      <c r="FF14" s="48">
        <v>0.85</v>
      </c>
      <c r="FG14" s="48">
        <v>0.85</v>
      </c>
      <c r="FH14" s="48">
        <v>0.85</v>
      </c>
      <c r="FI14" s="48">
        <v>0.85</v>
      </c>
      <c r="FJ14" s="48">
        <v>0.85</v>
      </c>
      <c r="FK14" s="48">
        <v>0.85</v>
      </c>
      <c r="FL14" s="48">
        <v>0.85</v>
      </c>
      <c r="FM14" s="48">
        <v>0.85</v>
      </c>
      <c r="FN14" s="48">
        <v>0.85</v>
      </c>
      <c r="FO14" s="48">
        <v>0.85</v>
      </c>
      <c r="FP14" s="48">
        <v>0.85</v>
      </c>
      <c r="FQ14" s="48">
        <v>0.85</v>
      </c>
      <c r="FR14" s="48">
        <v>0.85</v>
      </c>
      <c r="FS14" s="48">
        <v>0.85</v>
      </c>
      <c r="FT14" s="48">
        <v>0.85</v>
      </c>
      <c r="FU14" s="48">
        <v>0.85</v>
      </c>
      <c r="FV14" s="48">
        <v>0.85</v>
      </c>
      <c r="FW14" s="48">
        <v>0.85</v>
      </c>
      <c r="FX14" s="48">
        <v>0.85</v>
      </c>
      <c r="FY14" s="48">
        <v>0.85</v>
      </c>
      <c r="FZ14" s="48">
        <v>0.85</v>
      </c>
      <c r="GA14" s="48">
        <v>0.85</v>
      </c>
      <c r="GB14" s="48">
        <v>0.85</v>
      </c>
      <c r="GC14" s="48">
        <v>0.85</v>
      </c>
      <c r="GD14" s="48">
        <v>0.85</v>
      </c>
      <c r="GE14" s="48">
        <v>0.85</v>
      </c>
      <c r="GF14" s="48">
        <v>0.85</v>
      </c>
      <c r="GG14" s="48">
        <v>0.85</v>
      </c>
      <c r="GH14" s="48">
        <v>0.85</v>
      </c>
      <c r="GI14" s="48">
        <v>0.85</v>
      </c>
      <c r="GJ14" s="48">
        <v>0.85</v>
      </c>
      <c r="GK14" s="48">
        <v>0.85</v>
      </c>
      <c r="GL14" s="48">
        <v>0.85</v>
      </c>
      <c r="GM14" s="48">
        <v>0.85</v>
      </c>
      <c r="GN14" s="48">
        <v>0.85</v>
      </c>
      <c r="GO14" s="48">
        <v>0.85</v>
      </c>
      <c r="GP14" s="48">
        <v>0.85</v>
      </c>
      <c r="GQ14" s="48">
        <v>0.85</v>
      </c>
      <c r="GR14" s="48">
        <v>0.85</v>
      </c>
      <c r="GS14" s="48">
        <v>0.85</v>
      </c>
      <c r="GT14" s="48">
        <v>0.85</v>
      </c>
      <c r="GU14" s="48">
        <v>0.85</v>
      </c>
      <c r="GV14" s="48">
        <v>0.85</v>
      </c>
      <c r="GW14" s="48">
        <v>0.85</v>
      </c>
      <c r="GX14" s="48">
        <v>0.85</v>
      </c>
      <c r="GY14" s="48">
        <v>0.85</v>
      </c>
      <c r="GZ14" s="48">
        <v>0.85</v>
      </c>
      <c r="HA14" s="48">
        <v>0.85</v>
      </c>
      <c r="HB14" s="48">
        <v>0.85</v>
      </c>
      <c r="HC14" s="48">
        <v>0.85</v>
      </c>
      <c r="HD14" s="48">
        <v>0.85</v>
      </c>
      <c r="HE14" s="48">
        <v>0.85</v>
      </c>
      <c r="HF14" s="48">
        <v>0.85</v>
      </c>
      <c r="HG14" s="48">
        <v>0.85</v>
      </c>
      <c r="HH14" s="48">
        <v>0.85</v>
      </c>
      <c r="HI14" s="48">
        <v>0.85</v>
      </c>
      <c r="HJ14" s="48">
        <v>0.85</v>
      </c>
      <c r="HK14" s="48">
        <v>0.85</v>
      </c>
      <c r="HL14" s="48">
        <v>0.85</v>
      </c>
      <c r="HM14" s="48">
        <v>0.85</v>
      </c>
      <c r="HN14" s="48">
        <v>0.85</v>
      </c>
      <c r="HO14" s="48">
        <v>0.85</v>
      </c>
      <c r="HP14" s="48">
        <v>0.85</v>
      </c>
      <c r="HQ14" s="48">
        <v>0.85</v>
      </c>
      <c r="HR14" s="48">
        <v>0.85</v>
      </c>
      <c r="HS14" s="48">
        <v>0.85</v>
      </c>
      <c r="HT14" s="48">
        <v>0.85</v>
      </c>
      <c r="HU14" s="48">
        <v>0.85</v>
      </c>
      <c r="HV14" s="48">
        <v>0.85</v>
      </c>
      <c r="HW14" s="48">
        <v>0.85</v>
      </c>
      <c r="HX14" s="48">
        <v>0.85</v>
      </c>
      <c r="HY14" s="48">
        <v>0.85</v>
      </c>
      <c r="HZ14" s="48">
        <v>0.85</v>
      </c>
      <c r="IA14" s="48">
        <v>0.85</v>
      </c>
      <c r="IB14" s="48">
        <v>0.85</v>
      </c>
      <c r="IC14" s="48">
        <v>0.85</v>
      </c>
      <c r="ID14" s="48">
        <v>0.85</v>
      </c>
      <c r="IE14" s="48">
        <v>0.85</v>
      </c>
      <c r="IF14" s="48">
        <v>0.85</v>
      </c>
      <c r="IG14" s="48">
        <v>0.85</v>
      </c>
      <c r="IH14" s="48">
        <v>0.85</v>
      </c>
    </row>
    <row r="15" spans="1:243" x14ac:dyDescent="0.45">
      <c r="A15" s="888" t="s">
        <v>184</v>
      </c>
      <c r="B15" s="889"/>
      <c r="C15" s="48">
        <v>0</v>
      </c>
      <c r="D15" s="48">
        <v>0</v>
      </c>
      <c r="E15" s="48">
        <v>0</v>
      </c>
      <c r="F15" s="48">
        <v>0</v>
      </c>
      <c r="G15" s="48">
        <v>0</v>
      </c>
      <c r="H15" s="48">
        <v>0</v>
      </c>
      <c r="I15" s="48">
        <v>0</v>
      </c>
      <c r="J15" s="48">
        <v>0</v>
      </c>
      <c r="K15" s="48">
        <v>0</v>
      </c>
      <c r="L15" s="48">
        <v>0</v>
      </c>
      <c r="M15" s="48">
        <v>0</v>
      </c>
      <c r="N15" s="48">
        <v>0</v>
      </c>
      <c r="O15" s="48">
        <v>0</v>
      </c>
      <c r="P15" s="48">
        <v>0</v>
      </c>
      <c r="Q15" s="48">
        <v>0</v>
      </c>
      <c r="R15" s="48">
        <v>0</v>
      </c>
      <c r="S15" s="48">
        <v>0</v>
      </c>
      <c r="T15" s="48">
        <v>0</v>
      </c>
      <c r="U15" s="48">
        <v>0</v>
      </c>
      <c r="V15" s="48">
        <v>0</v>
      </c>
      <c r="W15" s="48">
        <v>0</v>
      </c>
      <c r="X15" s="48">
        <v>0</v>
      </c>
      <c r="Y15" s="48">
        <v>0</v>
      </c>
      <c r="Z15" s="48">
        <v>0</v>
      </c>
      <c r="AA15" s="48">
        <v>0.3</v>
      </c>
      <c r="AB15" s="48">
        <v>0.3</v>
      </c>
      <c r="AC15" s="48">
        <v>0.3</v>
      </c>
      <c r="AD15" s="48">
        <v>0.3</v>
      </c>
      <c r="AE15" s="48">
        <v>0.3</v>
      </c>
      <c r="AF15" s="48">
        <v>0.3</v>
      </c>
      <c r="AG15" s="48">
        <v>0.3</v>
      </c>
      <c r="AH15" s="48">
        <v>0.3</v>
      </c>
      <c r="AI15" s="48">
        <v>0.3</v>
      </c>
      <c r="AJ15" s="48">
        <v>0.3</v>
      </c>
      <c r="AK15" s="48">
        <v>0.3</v>
      </c>
      <c r="AL15" s="48">
        <v>0.3</v>
      </c>
      <c r="AM15" s="48">
        <v>0.5</v>
      </c>
      <c r="AN15" s="48">
        <v>0.5</v>
      </c>
      <c r="AO15" s="48">
        <v>0.5</v>
      </c>
      <c r="AP15" s="48">
        <v>0.5</v>
      </c>
      <c r="AQ15" s="48">
        <v>0.5</v>
      </c>
      <c r="AR15" s="48">
        <v>0.5</v>
      </c>
      <c r="AS15" s="48">
        <v>0.5</v>
      </c>
      <c r="AT15" s="48">
        <v>0.5</v>
      </c>
      <c r="AU15" s="48">
        <v>0.5</v>
      </c>
      <c r="AV15" s="48">
        <v>0.5</v>
      </c>
      <c r="AW15" s="48">
        <v>0.5</v>
      </c>
      <c r="AX15" s="48">
        <v>0.5</v>
      </c>
      <c r="AY15" s="48">
        <v>0.7</v>
      </c>
      <c r="AZ15" s="48">
        <v>0.7</v>
      </c>
      <c r="BA15" s="48">
        <v>0.7</v>
      </c>
      <c r="BB15" s="48">
        <v>0.7</v>
      </c>
      <c r="BC15" s="48">
        <v>0.7</v>
      </c>
      <c r="BD15" s="48">
        <v>0.7</v>
      </c>
      <c r="BE15" s="48">
        <v>0.7</v>
      </c>
      <c r="BF15" s="48">
        <v>0.7</v>
      </c>
      <c r="BG15" s="48">
        <v>0.7</v>
      </c>
      <c r="BH15" s="48">
        <v>0.7</v>
      </c>
      <c r="BI15" s="48">
        <v>0.7</v>
      </c>
      <c r="BJ15" s="48">
        <v>0.7</v>
      </c>
      <c r="BK15" s="48">
        <v>0.85</v>
      </c>
      <c r="BL15" s="48">
        <v>0.85</v>
      </c>
      <c r="BM15" s="48">
        <v>0.85</v>
      </c>
      <c r="BN15" s="48">
        <v>0.85</v>
      </c>
      <c r="BO15" s="48">
        <v>0.85</v>
      </c>
      <c r="BP15" s="48">
        <v>0.85</v>
      </c>
      <c r="BQ15" s="48">
        <v>0.85</v>
      </c>
      <c r="BR15" s="48">
        <v>0.85</v>
      </c>
      <c r="BS15" s="48">
        <v>0.85</v>
      </c>
      <c r="BT15" s="48">
        <v>0.85</v>
      </c>
      <c r="BU15" s="48">
        <v>0.85</v>
      </c>
      <c r="BV15" s="48">
        <v>0.85</v>
      </c>
      <c r="BW15" s="48">
        <v>0.85</v>
      </c>
      <c r="BX15" s="48">
        <v>0.85</v>
      </c>
      <c r="BY15" s="48">
        <v>0.85</v>
      </c>
      <c r="BZ15" s="48">
        <v>0.85</v>
      </c>
      <c r="CA15" s="48">
        <v>0.85</v>
      </c>
      <c r="CB15" s="48">
        <v>0.85</v>
      </c>
      <c r="CC15" s="48">
        <v>0.85</v>
      </c>
      <c r="CD15" s="48">
        <v>0.85</v>
      </c>
      <c r="CE15" s="48">
        <v>0.85</v>
      </c>
      <c r="CF15" s="48">
        <v>0.85</v>
      </c>
      <c r="CG15" s="48">
        <v>0.85</v>
      </c>
      <c r="CH15" s="48">
        <v>0.85</v>
      </c>
      <c r="CI15" s="48">
        <v>0.85</v>
      </c>
      <c r="CJ15" s="48">
        <v>0.85</v>
      </c>
      <c r="CK15" s="48">
        <v>0.85</v>
      </c>
      <c r="CL15" s="48">
        <v>0.85</v>
      </c>
      <c r="CM15" s="48">
        <v>0.85</v>
      </c>
      <c r="CN15" s="48">
        <v>0.85</v>
      </c>
      <c r="CO15" s="48">
        <v>0.85</v>
      </c>
      <c r="CP15" s="48">
        <v>0.85</v>
      </c>
      <c r="CQ15" s="48">
        <v>0.85</v>
      </c>
      <c r="CR15" s="48">
        <v>0.85</v>
      </c>
      <c r="CS15" s="48">
        <v>0.85</v>
      </c>
      <c r="CT15" s="48">
        <v>0.85</v>
      </c>
      <c r="CU15" s="48">
        <v>0.85</v>
      </c>
      <c r="CV15" s="48">
        <v>0.85</v>
      </c>
      <c r="CW15" s="48">
        <v>0.85</v>
      </c>
      <c r="CX15" s="48">
        <v>0.85</v>
      </c>
      <c r="CY15" s="48">
        <v>0.85</v>
      </c>
      <c r="CZ15" s="48">
        <v>0.85</v>
      </c>
      <c r="DA15" s="48">
        <v>0.85</v>
      </c>
      <c r="DB15" s="48">
        <v>0.85</v>
      </c>
      <c r="DC15" s="48">
        <v>0.85</v>
      </c>
      <c r="DD15" s="48">
        <v>0.85</v>
      </c>
      <c r="DE15" s="48">
        <v>0.85</v>
      </c>
      <c r="DF15" s="48">
        <v>0.85</v>
      </c>
      <c r="DG15" s="48">
        <v>0.85</v>
      </c>
      <c r="DH15" s="48">
        <v>0.85</v>
      </c>
      <c r="DI15" s="48">
        <v>0.85</v>
      </c>
      <c r="DJ15" s="48">
        <v>0.85</v>
      </c>
      <c r="DK15" s="48">
        <v>0.85</v>
      </c>
      <c r="DL15" s="48">
        <v>0.85</v>
      </c>
      <c r="DM15" s="48">
        <v>0.85</v>
      </c>
      <c r="DN15" s="48">
        <v>0.85</v>
      </c>
      <c r="DO15" s="48">
        <v>0.85</v>
      </c>
      <c r="DP15" s="48">
        <v>0.85</v>
      </c>
      <c r="DQ15" s="48">
        <v>0.85</v>
      </c>
      <c r="DR15" s="48">
        <v>0.85</v>
      </c>
      <c r="DS15" s="48">
        <v>0.85</v>
      </c>
      <c r="DT15" s="48">
        <v>0.85</v>
      </c>
      <c r="DU15" s="48">
        <v>0.85</v>
      </c>
      <c r="DV15" s="48">
        <v>0.85</v>
      </c>
      <c r="DW15" s="48">
        <v>0.85</v>
      </c>
      <c r="DX15" s="48">
        <v>0.85</v>
      </c>
      <c r="DY15" s="48">
        <v>0.85</v>
      </c>
      <c r="DZ15" s="48">
        <v>0.85</v>
      </c>
      <c r="EA15" s="48">
        <v>0.85</v>
      </c>
      <c r="EB15" s="48">
        <v>0.85</v>
      </c>
      <c r="EC15" s="48">
        <v>0.85</v>
      </c>
      <c r="ED15" s="48">
        <v>0.85</v>
      </c>
      <c r="EE15" s="48">
        <v>0.85</v>
      </c>
      <c r="EF15" s="48">
        <v>0.85</v>
      </c>
      <c r="EG15" s="48">
        <v>0.85</v>
      </c>
      <c r="EH15" s="48">
        <v>0.85</v>
      </c>
      <c r="EI15" s="48">
        <v>0.85</v>
      </c>
      <c r="EJ15" s="48">
        <v>0.85</v>
      </c>
      <c r="EK15" s="48">
        <v>0.85</v>
      </c>
      <c r="EL15" s="48">
        <v>0.85</v>
      </c>
      <c r="EM15" s="48">
        <v>0.85</v>
      </c>
      <c r="EN15" s="48">
        <v>0.85</v>
      </c>
      <c r="EO15" s="48">
        <v>0.85</v>
      </c>
      <c r="EP15" s="48">
        <v>0.85</v>
      </c>
      <c r="EQ15" s="48">
        <v>0.85</v>
      </c>
      <c r="ER15" s="48">
        <v>0.85</v>
      </c>
      <c r="ES15" s="48">
        <v>0.85</v>
      </c>
      <c r="ET15" s="48">
        <v>0.85</v>
      </c>
      <c r="EU15" s="48">
        <v>0.85</v>
      </c>
      <c r="EV15" s="48">
        <v>0.85</v>
      </c>
      <c r="EW15" s="48">
        <v>0.85</v>
      </c>
      <c r="EX15" s="48">
        <v>0.85</v>
      </c>
      <c r="EY15" s="48">
        <v>0.85</v>
      </c>
      <c r="EZ15" s="48">
        <v>0.85</v>
      </c>
      <c r="FA15" s="48">
        <v>0.85</v>
      </c>
      <c r="FB15" s="48">
        <v>0.85</v>
      </c>
      <c r="FC15" s="48">
        <v>0.85</v>
      </c>
      <c r="FD15" s="48">
        <v>0.85</v>
      </c>
      <c r="FE15" s="48">
        <v>0.85</v>
      </c>
      <c r="FF15" s="48">
        <v>0.85</v>
      </c>
      <c r="FG15" s="48">
        <v>0.85</v>
      </c>
      <c r="FH15" s="48">
        <v>0.85</v>
      </c>
      <c r="FI15" s="48">
        <v>0.85</v>
      </c>
      <c r="FJ15" s="48">
        <v>0.85</v>
      </c>
      <c r="FK15" s="48">
        <v>0.85</v>
      </c>
      <c r="FL15" s="48">
        <v>0.85</v>
      </c>
      <c r="FM15" s="48">
        <v>0.85</v>
      </c>
      <c r="FN15" s="48">
        <v>0.85</v>
      </c>
      <c r="FO15" s="48">
        <v>0.85</v>
      </c>
      <c r="FP15" s="48">
        <v>0.85</v>
      </c>
      <c r="FQ15" s="48">
        <v>0.85</v>
      </c>
      <c r="FR15" s="48">
        <v>0.85</v>
      </c>
      <c r="FS15" s="48">
        <v>0.85</v>
      </c>
      <c r="FT15" s="48">
        <v>0.85</v>
      </c>
      <c r="FU15" s="48">
        <v>0.85</v>
      </c>
      <c r="FV15" s="48">
        <v>0.85</v>
      </c>
      <c r="FW15" s="48">
        <v>0.85</v>
      </c>
      <c r="FX15" s="48">
        <v>0.85</v>
      </c>
      <c r="FY15" s="48">
        <v>0.85</v>
      </c>
      <c r="FZ15" s="48">
        <v>0.85</v>
      </c>
      <c r="GA15" s="48">
        <v>0.85</v>
      </c>
      <c r="GB15" s="48">
        <v>0.85</v>
      </c>
      <c r="GC15" s="48">
        <v>0.85</v>
      </c>
      <c r="GD15" s="48">
        <v>0.85</v>
      </c>
      <c r="GE15" s="48">
        <v>0.85</v>
      </c>
      <c r="GF15" s="48">
        <v>0.85</v>
      </c>
      <c r="GG15" s="48">
        <v>0.85</v>
      </c>
      <c r="GH15" s="48">
        <v>0.85</v>
      </c>
      <c r="GI15" s="48">
        <v>0.85</v>
      </c>
      <c r="GJ15" s="48">
        <v>0.85</v>
      </c>
      <c r="GK15" s="48">
        <v>0.85</v>
      </c>
      <c r="GL15" s="48">
        <v>0.85</v>
      </c>
      <c r="GM15" s="48">
        <v>0.85</v>
      </c>
      <c r="GN15" s="48">
        <v>0.85</v>
      </c>
      <c r="GO15" s="48">
        <v>0.85</v>
      </c>
      <c r="GP15" s="48">
        <v>0.85</v>
      </c>
      <c r="GQ15" s="48">
        <v>0.85</v>
      </c>
      <c r="GR15" s="48">
        <v>0.85</v>
      </c>
      <c r="GS15" s="48">
        <v>0.85</v>
      </c>
      <c r="GT15" s="48">
        <v>0.85</v>
      </c>
      <c r="GU15" s="48">
        <v>0.85</v>
      </c>
      <c r="GV15" s="48">
        <v>0.85</v>
      </c>
      <c r="GW15" s="48">
        <v>0.85</v>
      </c>
      <c r="GX15" s="48">
        <v>0.85</v>
      </c>
      <c r="GY15" s="48">
        <v>0.85</v>
      </c>
      <c r="GZ15" s="48">
        <v>0.85</v>
      </c>
      <c r="HA15" s="48">
        <v>0.85</v>
      </c>
      <c r="HB15" s="48">
        <v>0.85</v>
      </c>
      <c r="HC15" s="48">
        <v>0.85</v>
      </c>
      <c r="HD15" s="48">
        <v>0.85</v>
      </c>
      <c r="HE15" s="48">
        <v>0.85</v>
      </c>
      <c r="HF15" s="48">
        <v>0.85</v>
      </c>
      <c r="HG15" s="48">
        <v>0.85</v>
      </c>
      <c r="HH15" s="48">
        <v>0.85</v>
      </c>
      <c r="HI15" s="48">
        <v>0.85</v>
      </c>
      <c r="HJ15" s="48">
        <v>0.85</v>
      </c>
      <c r="HK15" s="48">
        <v>0.85</v>
      </c>
      <c r="HL15" s="48">
        <v>0.85</v>
      </c>
      <c r="HM15" s="48">
        <v>0.85</v>
      </c>
      <c r="HN15" s="48">
        <v>0.85</v>
      </c>
      <c r="HO15" s="48">
        <v>0.85</v>
      </c>
      <c r="HP15" s="48">
        <v>0.85</v>
      </c>
      <c r="HQ15" s="48">
        <v>0.85</v>
      </c>
      <c r="HR15" s="48">
        <v>0.85</v>
      </c>
      <c r="HS15" s="48">
        <v>0.85</v>
      </c>
      <c r="HT15" s="48">
        <v>0.85</v>
      </c>
      <c r="HU15" s="48">
        <v>0.85</v>
      </c>
      <c r="HV15" s="48">
        <v>0.85</v>
      </c>
      <c r="HW15" s="48">
        <v>0.85</v>
      </c>
      <c r="HX15" s="48">
        <v>0.85</v>
      </c>
      <c r="HY15" s="48">
        <v>0.85</v>
      </c>
      <c r="HZ15" s="48">
        <v>0.85</v>
      </c>
      <c r="IA15" s="48">
        <v>0.85</v>
      </c>
      <c r="IB15" s="48">
        <v>0.85</v>
      </c>
      <c r="IC15" s="48">
        <v>0.85</v>
      </c>
      <c r="ID15" s="48">
        <v>0.85</v>
      </c>
      <c r="IE15" s="48">
        <v>0.85</v>
      </c>
      <c r="IF15" s="48">
        <v>0.85</v>
      </c>
      <c r="IG15" s="48">
        <v>0.85</v>
      </c>
      <c r="IH15" s="48">
        <v>0.85</v>
      </c>
    </row>
    <row r="16" spans="1:243" x14ac:dyDescent="0.45">
      <c r="A16" s="888" t="s">
        <v>185</v>
      </c>
      <c r="B16" s="889"/>
      <c r="C16" s="48">
        <v>0</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1</v>
      </c>
      <c r="AB16" s="48">
        <v>1</v>
      </c>
      <c r="AC16" s="48">
        <v>1</v>
      </c>
      <c r="AD16" s="48">
        <v>1</v>
      </c>
      <c r="AE16" s="48">
        <v>1</v>
      </c>
      <c r="AF16" s="48">
        <v>1</v>
      </c>
      <c r="AG16" s="48">
        <v>1</v>
      </c>
      <c r="AH16" s="48">
        <v>1</v>
      </c>
      <c r="AI16" s="48">
        <v>1</v>
      </c>
      <c r="AJ16" s="48">
        <v>1</v>
      </c>
      <c r="AK16" s="48">
        <v>1</v>
      </c>
      <c r="AL16" s="48">
        <v>1</v>
      </c>
      <c r="AM16" s="48">
        <v>1</v>
      </c>
      <c r="AN16" s="48">
        <v>1</v>
      </c>
      <c r="AO16" s="48">
        <v>1</v>
      </c>
      <c r="AP16" s="48">
        <v>1</v>
      </c>
      <c r="AQ16" s="48">
        <v>1</v>
      </c>
      <c r="AR16" s="48">
        <v>1</v>
      </c>
      <c r="AS16" s="48">
        <v>1</v>
      </c>
      <c r="AT16" s="48">
        <v>1</v>
      </c>
      <c r="AU16" s="48">
        <v>1</v>
      </c>
      <c r="AV16" s="48">
        <v>1</v>
      </c>
      <c r="AW16" s="48">
        <v>1</v>
      </c>
      <c r="AX16" s="48">
        <v>1</v>
      </c>
      <c r="AY16" s="48">
        <v>1</v>
      </c>
      <c r="AZ16" s="48">
        <v>1</v>
      </c>
      <c r="BA16" s="48">
        <v>1</v>
      </c>
      <c r="BB16" s="48">
        <v>1</v>
      </c>
      <c r="BC16" s="48">
        <v>1</v>
      </c>
      <c r="BD16" s="48">
        <v>1</v>
      </c>
      <c r="BE16" s="48">
        <v>1</v>
      </c>
      <c r="BF16" s="48">
        <v>1</v>
      </c>
      <c r="BG16" s="48">
        <v>1</v>
      </c>
      <c r="BH16" s="48">
        <v>1</v>
      </c>
      <c r="BI16" s="48">
        <v>1</v>
      </c>
      <c r="BJ16" s="48">
        <v>1</v>
      </c>
      <c r="BK16" s="48">
        <v>1</v>
      </c>
      <c r="BL16" s="48">
        <v>1</v>
      </c>
      <c r="BM16" s="48">
        <v>1</v>
      </c>
      <c r="BN16" s="48">
        <v>1</v>
      </c>
      <c r="BO16" s="48">
        <v>1</v>
      </c>
      <c r="BP16" s="48">
        <v>1</v>
      </c>
      <c r="BQ16" s="48">
        <v>1</v>
      </c>
      <c r="BR16" s="48">
        <v>1</v>
      </c>
      <c r="BS16" s="48">
        <v>1</v>
      </c>
      <c r="BT16" s="48">
        <v>1</v>
      </c>
      <c r="BU16" s="48">
        <v>1</v>
      </c>
      <c r="BV16" s="48">
        <v>1</v>
      </c>
      <c r="BW16" s="48">
        <v>1</v>
      </c>
      <c r="BX16" s="48">
        <v>1</v>
      </c>
      <c r="BY16" s="48">
        <v>1</v>
      </c>
      <c r="BZ16" s="48">
        <v>1</v>
      </c>
      <c r="CA16" s="48">
        <v>1</v>
      </c>
      <c r="CB16" s="48">
        <v>1</v>
      </c>
      <c r="CC16" s="48">
        <v>1</v>
      </c>
      <c r="CD16" s="48">
        <v>1</v>
      </c>
      <c r="CE16" s="48">
        <v>1</v>
      </c>
      <c r="CF16" s="48">
        <v>1</v>
      </c>
      <c r="CG16" s="48">
        <v>1</v>
      </c>
      <c r="CH16" s="48">
        <v>1</v>
      </c>
      <c r="CI16" s="48">
        <v>1</v>
      </c>
      <c r="CJ16" s="48">
        <v>1</v>
      </c>
      <c r="CK16" s="48">
        <v>1</v>
      </c>
      <c r="CL16" s="48">
        <v>1</v>
      </c>
      <c r="CM16" s="48">
        <v>1</v>
      </c>
      <c r="CN16" s="48">
        <v>1</v>
      </c>
      <c r="CO16" s="48">
        <v>1</v>
      </c>
      <c r="CP16" s="48">
        <v>1</v>
      </c>
      <c r="CQ16" s="48">
        <v>1</v>
      </c>
      <c r="CR16" s="48">
        <v>1</v>
      </c>
      <c r="CS16" s="48">
        <v>1</v>
      </c>
      <c r="CT16" s="48">
        <v>1</v>
      </c>
      <c r="CU16" s="48">
        <v>1</v>
      </c>
      <c r="CV16" s="48">
        <v>1</v>
      </c>
      <c r="CW16" s="48">
        <v>1</v>
      </c>
      <c r="CX16" s="48">
        <v>1</v>
      </c>
      <c r="CY16" s="48">
        <v>1</v>
      </c>
      <c r="CZ16" s="48">
        <v>1</v>
      </c>
      <c r="DA16" s="48">
        <v>1</v>
      </c>
      <c r="DB16" s="48">
        <v>1</v>
      </c>
      <c r="DC16" s="48">
        <v>1</v>
      </c>
      <c r="DD16" s="48">
        <v>1</v>
      </c>
      <c r="DE16" s="48">
        <v>1</v>
      </c>
      <c r="DF16" s="48">
        <v>1</v>
      </c>
      <c r="DG16" s="48">
        <v>1</v>
      </c>
      <c r="DH16" s="48">
        <v>1</v>
      </c>
      <c r="DI16" s="48">
        <v>1</v>
      </c>
      <c r="DJ16" s="48">
        <v>1</v>
      </c>
      <c r="DK16" s="48">
        <v>1</v>
      </c>
      <c r="DL16" s="48">
        <v>1</v>
      </c>
      <c r="DM16" s="48">
        <v>1</v>
      </c>
      <c r="DN16" s="48">
        <v>1</v>
      </c>
      <c r="DO16" s="48">
        <v>1</v>
      </c>
      <c r="DP16" s="48">
        <v>1</v>
      </c>
      <c r="DQ16" s="48">
        <v>1</v>
      </c>
      <c r="DR16" s="48">
        <v>1</v>
      </c>
      <c r="DS16" s="48">
        <v>1</v>
      </c>
      <c r="DT16" s="48">
        <v>1</v>
      </c>
      <c r="DU16" s="48">
        <v>1</v>
      </c>
      <c r="DV16" s="48">
        <v>1</v>
      </c>
      <c r="DW16" s="48">
        <v>1</v>
      </c>
      <c r="DX16" s="48">
        <v>1</v>
      </c>
      <c r="DY16" s="48">
        <v>1</v>
      </c>
      <c r="DZ16" s="48">
        <v>1</v>
      </c>
      <c r="EA16" s="48">
        <v>1</v>
      </c>
      <c r="EB16" s="48">
        <v>1</v>
      </c>
      <c r="EC16" s="48">
        <v>1</v>
      </c>
      <c r="ED16" s="48">
        <v>1</v>
      </c>
      <c r="EE16" s="48">
        <v>1</v>
      </c>
      <c r="EF16" s="48">
        <v>1</v>
      </c>
      <c r="EG16" s="48">
        <v>1</v>
      </c>
      <c r="EH16" s="48">
        <v>1</v>
      </c>
      <c r="EI16" s="48">
        <v>1</v>
      </c>
      <c r="EJ16" s="48">
        <v>1</v>
      </c>
      <c r="EK16" s="48">
        <v>1</v>
      </c>
      <c r="EL16" s="48">
        <v>1</v>
      </c>
      <c r="EM16" s="48">
        <v>1</v>
      </c>
      <c r="EN16" s="48">
        <v>1</v>
      </c>
      <c r="EO16" s="48">
        <v>1</v>
      </c>
      <c r="EP16" s="48">
        <v>1</v>
      </c>
      <c r="EQ16" s="48">
        <v>1</v>
      </c>
      <c r="ER16" s="48">
        <v>1</v>
      </c>
      <c r="ES16" s="48">
        <v>1</v>
      </c>
      <c r="ET16" s="48">
        <v>1</v>
      </c>
      <c r="EU16" s="48">
        <v>1</v>
      </c>
      <c r="EV16" s="48">
        <v>1</v>
      </c>
      <c r="EW16" s="48">
        <v>1</v>
      </c>
      <c r="EX16" s="48">
        <v>1</v>
      </c>
      <c r="EY16" s="48">
        <v>1</v>
      </c>
      <c r="EZ16" s="48">
        <v>1</v>
      </c>
      <c r="FA16" s="48">
        <v>1</v>
      </c>
      <c r="FB16" s="48">
        <v>1</v>
      </c>
      <c r="FC16" s="48">
        <v>1</v>
      </c>
      <c r="FD16" s="48">
        <v>1</v>
      </c>
      <c r="FE16" s="48">
        <v>1</v>
      </c>
      <c r="FF16" s="48">
        <v>1</v>
      </c>
      <c r="FG16" s="48">
        <v>1</v>
      </c>
      <c r="FH16" s="48">
        <v>1</v>
      </c>
      <c r="FI16" s="48">
        <v>1</v>
      </c>
      <c r="FJ16" s="48">
        <v>1</v>
      </c>
      <c r="FK16" s="48">
        <v>1</v>
      </c>
      <c r="FL16" s="48">
        <v>1</v>
      </c>
      <c r="FM16" s="48">
        <v>1</v>
      </c>
      <c r="FN16" s="48">
        <v>1</v>
      </c>
      <c r="FO16" s="48">
        <v>1</v>
      </c>
      <c r="FP16" s="48">
        <v>1</v>
      </c>
      <c r="FQ16" s="48">
        <v>1</v>
      </c>
      <c r="FR16" s="48">
        <v>1</v>
      </c>
      <c r="FS16" s="48">
        <v>1</v>
      </c>
      <c r="FT16" s="48">
        <v>1</v>
      </c>
      <c r="FU16" s="48">
        <v>1</v>
      </c>
      <c r="FV16" s="48">
        <v>1</v>
      </c>
      <c r="FW16" s="48">
        <v>1</v>
      </c>
      <c r="FX16" s="48">
        <v>1</v>
      </c>
      <c r="FY16" s="48">
        <v>1</v>
      </c>
      <c r="FZ16" s="48">
        <v>1</v>
      </c>
      <c r="GA16" s="48">
        <v>1</v>
      </c>
      <c r="GB16" s="48">
        <v>1</v>
      </c>
      <c r="GC16" s="48">
        <v>1</v>
      </c>
      <c r="GD16" s="48">
        <v>1</v>
      </c>
      <c r="GE16" s="48">
        <v>1</v>
      </c>
      <c r="GF16" s="48">
        <v>1</v>
      </c>
      <c r="GG16" s="48">
        <v>1</v>
      </c>
      <c r="GH16" s="48">
        <v>1</v>
      </c>
      <c r="GI16" s="48">
        <v>1</v>
      </c>
      <c r="GJ16" s="48">
        <v>1</v>
      </c>
      <c r="GK16" s="48">
        <v>1</v>
      </c>
      <c r="GL16" s="48">
        <v>1</v>
      </c>
      <c r="GM16" s="48">
        <v>1</v>
      </c>
      <c r="GN16" s="48">
        <v>1</v>
      </c>
      <c r="GO16" s="48">
        <v>1</v>
      </c>
      <c r="GP16" s="48">
        <v>1</v>
      </c>
      <c r="GQ16" s="48">
        <v>1</v>
      </c>
      <c r="GR16" s="48">
        <v>1</v>
      </c>
      <c r="GS16" s="48">
        <v>1</v>
      </c>
      <c r="GT16" s="48">
        <v>1</v>
      </c>
      <c r="GU16" s="48">
        <v>1</v>
      </c>
      <c r="GV16" s="48">
        <v>1</v>
      </c>
      <c r="GW16" s="48">
        <v>1</v>
      </c>
      <c r="GX16" s="48">
        <v>1</v>
      </c>
      <c r="GY16" s="48">
        <v>1</v>
      </c>
      <c r="GZ16" s="48">
        <v>1</v>
      </c>
      <c r="HA16" s="48">
        <v>1</v>
      </c>
      <c r="HB16" s="48">
        <v>1</v>
      </c>
      <c r="HC16" s="48">
        <v>1</v>
      </c>
      <c r="HD16" s="48">
        <v>1</v>
      </c>
      <c r="HE16" s="48">
        <v>1</v>
      </c>
      <c r="HF16" s="48">
        <v>1</v>
      </c>
      <c r="HG16" s="48">
        <v>1</v>
      </c>
      <c r="HH16" s="48">
        <v>1</v>
      </c>
      <c r="HI16" s="48">
        <v>1</v>
      </c>
      <c r="HJ16" s="48">
        <v>1</v>
      </c>
      <c r="HK16" s="48">
        <v>1</v>
      </c>
      <c r="HL16" s="48">
        <v>1</v>
      </c>
      <c r="HM16" s="48">
        <v>1</v>
      </c>
      <c r="HN16" s="48">
        <v>1</v>
      </c>
      <c r="HO16" s="48">
        <v>1</v>
      </c>
      <c r="HP16" s="48">
        <v>1</v>
      </c>
      <c r="HQ16" s="48">
        <v>1</v>
      </c>
      <c r="HR16" s="48">
        <v>1</v>
      </c>
      <c r="HS16" s="48">
        <v>1</v>
      </c>
      <c r="HT16" s="48">
        <v>1</v>
      </c>
      <c r="HU16" s="48">
        <v>1</v>
      </c>
      <c r="HV16" s="48">
        <v>1</v>
      </c>
      <c r="HW16" s="48">
        <v>1</v>
      </c>
      <c r="HX16" s="48">
        <v>1</v>
      </c>
      <c r="HY16" s="48">
        <v>1</v>
      </c>
      <c r="HZ16" s="48">
        <v>1</v>
      </c>
      <c r="IA16" s="48">
        <v>1</v>
      </c>
      <c r="IB16" s="48">
        <v>1</v>
      </c>
      <c r="IC16" s="48">
        <v>1</v>
      </c>
      <c r="ID16" s="48">
        <v>1</v>
      </c>
      <c r="IE16" s="48">
        <v>1</v>
      </c>
      <c r="IF16" s="48">
        <v>1</v>
      </c>
      <c r="IG16" s="48">
        <v>1</v>
      </c>
      <c r="IH16" s="48">
        <v>1</v>
      </c>
    </row>
    <row r="17" spans="1:242" x14ac:dyDescent="0.45">
      <c r="A17" s="888" t="s">
        <v>186</v>
      </c>
      <c r="B17" s="889"/>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0.3</v>
      </c>
      <c r="AB17" s="48">
        <v>0.3</v>
      </c>
      <c r="AC17" s="48">
        <v>0.3</v>
      </c>
      <c r="AD17" s="48">
        <v>0.3</v>
      </c>
      <c r="AE17" s="48">
        <v>0.3</v>
      </c>
      <c r="AF17" s="48">
        <v>0.3</v>
      </c>
      <c r="AG17" s="48">
        <v>0.3</v>
      </c>
      <c r="AH17" s="48">
        <v>0.3</v>
      </c>
      <c r="AI17" s="48">
        <v>0.3</v>
      </c>
      <c r="AJ17" s="48">
        <v>0.3</v>
      </c>
      <c r="AK17" s="48">
        <v>0.3</v>
      </c>
      <c r="AL17" s="48">
        <v>0.3</v>
      </c>
      <c r="AM17" s="48">
        <v>0.5</v>
      </c>
      <c r="AN17" s="48">
        <v>0.5</v>
      </c>
      <c r="AO17" s="48">
        <v>0.5</v>
      </c>
      <c r="AP17" s="48">
        <v>0.5</v>
      </c>
      <c r="AQ17" s="48">
        <v>0.5</v>
      </c>
      <c r="AR17" s="48">
        <v>0.5</v>
      </c>
      <c r="AS17" s="48">
        <v>0.5</v>
      </c>
      <c r="AT17" s="48">
        <v>0.5</v>
      </c>
      <c r="AU17" s="48">
        <v>0.5</v>
      </c>
      <c r="AV17" s="48">
        <v>0.5</v>
      </c>
      <c r="AW17" s="48">
        <v>0.5</v>
      </c>
      <c r="AX17" s="48">
        <v>0.5</v>
      </c>
      <c r="AY17" s="48">
        <v>0.7</v>
      </c>
      <c r="AZ17" s="48">
        <v>0.7</v>
      </c>
      <c r="BA17" s="48">
        <v>0.7</v>
      </c>
      <c r="BB17" s="48">
        <v>0.7</v>
      </c>
      <c r="BC17" s="48">
        <v>0.7</v>
      </c>
      <c r="BD17" s="48">
        <v>0.7</v>
      </c>
      <c r="BE17" s="48">
        <v>0.7</v>
      </c>
      <c r="BF17" s="48">
        <v>0.7</v>
      </c>
      <c r="BG17" s="48">
        <v>0.7</v>
      </c>
      <c r="BH17" s="48">
        <v>0.7</v>
      </c>
      <c r="BI17" s="48">
        <v>0.7</v>
      </c>
      <c r="BJ17" s="48">
        <v>0.7</v>
      </c>
      <c r="BK17" s="48">
        <v>0.85</v>
      </c>
      <c r="BL17" s="48">
        <v>0.85</v>
      </c>
      <c r="BM17" s="48">
        <v>0.85</v>
      </c>
      <c r="BN17" s="48">
        <v>0.85</v>
      </c>
      <c r="BO17" s="48">
        <v>0.85</v>
      </c>
      <c r="BP17" s="48">
        <v>0.85</v>
      </c>
      <c r="BQ17" s="48">
        <v>0.85</v>
      </c>
      <c r="BR17" s="48">
        <v>0.85</v>
      </c>
      <c r="BS17" s="48">
        <v>0.85</v>
      </c>
      <c r="BT17" s="48">
        <v>0.85</v>
      </c>
      <c r="BU17" s="48">
        <v>0.85</v>
      </c>
      <c r="BV17" s="48">
        <v>0.85</v>
      </c>
      <c r="BW17" s="48">
        <v>0.85</v>
      </c>
      <c r="BX17" s="48">
        <v>0.85</v>
      </c>
      <c r="BY17" s="48">
        <v>0.85</v>
      </c>
      <c r="BZ17" s="48">
        <v>0.85</v>
      </c>
      <c r="CA17" s="48">
        <v>0.85</v>
      </c>
      <c r="CB17" s="48">
        <v>0.85</v>
      </c>
      <c r="CC17" s="48">
        <v>0.85</v>
      </c>
      <c r="CD17" s="48">
        <v>0.85</v>
      </c>
      <c r="CE17" s="48">
        <v>0.85</v>
      </c>
      <c r="CF17" s="48">
        <v>0.85</v>
      </c>
      <c r="CG17" s="48">
        <v>0.85</v>
      </c>
      <c r="CH17" s="48">
        <v>0.85</v>
      </c>
      <c r="CI17" s="48">
        <v>0.85</v>
      </c>
      <c r="CJ17" s="48">
        <v>0.85</v>
      </c>
      <c r="CK17" s="48">
        <v>0.85</v>
      </c>
      <c r="CL17" s="48">
        <v>0.85</v>
      </c>
      <c r="CM17" s="48">
        <v>0.85</v>
      </c>
      <c r="CN17" s="48">
        <v>0.85</v>
      </c>
      <c r="CO17" s="48">
        <v>0.85</v>
      </c>
      <c r="CP17" s="48">
        <v>0.85</v>
      </c>
      <c r="CQ17" s="48">
        <v>0.85</v>
      </c>
      <c r="CR17" s="48">
        <v>0.85</v>
      </c>
      <c r="CS17" s="48">
        <v>0.85</v>
      </c>
      <c r="CT17" s="48">
        <v>0.85</v>
      </c>
      <c r="CU17" s="48">
        <v>0.85</v>
      </c>
      <c r="CV17" s="48">
        <v>0.85</v>
      </c>
      <c r="CW17" s="48">
        <v>0.85</v>
      </c>
      <c r="CX17" s="48">
        <v>0.85</v>
      </c>
      <c r="CY17" s="48">
        <v>0.85</v>
      </c>
      <c r="CZ17" s="48">
        <v>0.85</v>
      </c>
      <c r="DA17" s="48">
        <v>0.85</v>
      </c>
      <c r="DB17" s="48">
        <v>0.85</v>
      </c>
      <c r="DC17" s="48">
        <v>0.85</v>
      </c>
      <c r="DD17" s="48">
        <v>0.85</v>
      </c>
      <c r="DE17" s="48">
        <v>0.85</v>
      </c>
      <c r="DF17" s="48">
        <v>0.85</v>
      </c>
      <c r="DG17" s="48">
        <v>0.85</v>
      </c>
      <c r="DH17" s="48">
        <v>0.85</v>
      </c>
      <c r="DI17" s="48">
        <v>0.85</v>
      </c>
      <c r="DJ17" s="48">
        <v>0.85</v>
      </c>
      <c r="DK17" s="48">
        <v>0.85</v>
      </c>
      <c r="DL17" s="48">
        <v>0.85</v>
      </c>
      <c r="DM17" s="48">
        <v>0.85</v>
      </c>
      <c r="DN17" s="48">
        <v>0.85</v>
      </c>
      <c r="DO17" s="48">
        <v>0.85</v>
      </c>
      <c r="DP17" s="48">
        <v>0.85</v>
      </c>
      <c r="DQ17" s="48">
        <v>0.85</v>
      </c>
      <c r="DR17" s="48">
        <v>0.85</v>
      </c>
      <c r="DS17" s="48">
        <v>0.85</v>
      </c>
      <c r="DT17" s="48">
        <v>0.85</v>
      </c>
      <c r="DU17" s="48">
        <v>0.85</v>
      </c>
      <c r="DV17" s="48">
        <v>0.85</v>
      </c>
      <c r="DW17" s="48">
        <v>0.85</v>
      </c>
      <c r="DX17" s="48">
        <v>0.85</v>
      </c>
      <c r="DY17" s="48">
        <v>0.85</v>
      </c>
      <c r="DZ17" s="48">
        <v>0.85</v>
      </c>
      <c r="EA17" s="48">
        <v>0.85</v>
      </c>
      <c r="EB17" s="48">
        <v>0.85</v>
      </c>
      <c r="EC17" s="48">
        <v>0.85</v>
      </c>
      <c r="ED17" s="48">
        <v>0.85</v>
      </c>
      <c r="EE17" s="48">
        <v>0.85</v>
      </c>
      <c r="EF17" s="48">
        <v>0.85</v>
      </c>
      <c r="EG17" s="48">
        <v>0.85</v>
      </c>
      <c r="EH17" s="48">
        <v>0.85</v>
      </c>
      <c r="EI17" s="48">
        <v>0.85</v>
      </c>
      <c r="EJ17" s="48">
        <v>0.85</v>
      </c>
      <c r="EK17" s="48">
        <v>0.85</v>
      </c>
      <c r="EL17" s="48">
        <v>0.85</v>
      </c>
      <c r="EM17" s="48">
        <v>0.85</v>
      </c>
      <c r="EN17" s="48">
        <v>0.85</v>
      </c>
      <c r="EO17" s="48">
        <v>0.85</v>
      </c>
      <c r="EP17" s="48">
        <v>0.85</v>
      </c>
      <c r="EQ17" s="48">
        <v>0.85</v>
      </c>
      <c r="ER17" s="48">
        <v>0.85</v>
      </c>
      <c r="ES17" s="48">
        <v>0.85</v>
      </c>
      <c r="ET17" s="48">
        <v>0.85</v>
      </c>
      <c r="EU17" s="48">
        <v>0.85</v>
      </c>
      <c r="EV17" s="48">
        <v>0.85</v>
      </c>
      <c r="EW17" s="48">
        <v>0.85</v>
      </c>
      <c r="EX17" s="48">
        <v>0.85</v>
      </c>
      <c r="EY17" s="48">
        <v>0.85</v>
      </c>
      <c r="EZ17" s="48">
        <v>0.85</v>
      </c>
      <c r="FA17" s="48">
        <v>0.85</v>
      </c>
      <c r="FB17" s="48">
        <v>0.85</v>
      </c>
      <c r="FC17" s="48">
        <v>0.85</v>
      </c>
      <c r="FD17" s="48">
        <v>0.85</v>
      </c>
      <c r="FE17" s="48">
        <v>0.85</v>
      </c>
      <c r="FF17" s="48">
        <v>0.85</v>
      </c>
      <c r="FG17" s="48">
        <v>0.85</v>
      </c>
      <c r="FH17" s="48">
        <v>0.85</v>
      </c>
      <c r="FI17" s="48">
        <v>0.85</v>
      </c>
      <c r="FJ17" s="48">
        <v>0.85</v>
      </c>
      <c r="FK17" s="48">
        <v>0.85</v>
      </c>
      <c r="FL17" s="48">
        <v>0.85</v>
      </c>
      <c r="FM17" s="48">
        <v>0.85</v>
      </c>
      <c r="FN17" s="48">
        <v>0.85</v>
      </c>
      <c r="FO17" s="48">
        <v>0.85</v>
      </c>
      <c r="FP17" s="48">
        <v>0.85</v>
      </c>
      <c r="FQ17" s="48">
        <v>0.85</v>
      </c>
      <c r="FR17" s="48">
        <v>0.85</v>
      </c>
      <c r="FS17" s="48">
        <v>0.85</v>
      </c>
      <c r="FT17" s="48">
        <v>0.85</v>
      </c>
      <c r="FU17" s="48">
        <v>0.85</v>
      </c>
      <c r="FV17" s="48">
        <v>0.85</v>
      </c>
      <c r="FW17" s="48">
        <v>0.85</v>
      </c>
      <c r="FX17" s="48">
        <v>0.85</v>
      </c>
      <c r="FY17" s="48">
        <v>0.85</v>
      </c>
      <c r="FZ17" s="48">
        <v>0.85</v>
      </c>
      <c r="GA17" s="48">
        <v>0.85</v>
      </c>
      <c r="GB17" s="48">
        <v>0.85</v>
      </c>
      <c r="GC17" s="48">
        <v>0.85</v>
      </c>
      <c r="GD17" s="48">
        <v>0.85</v>
      </c>
      <c r="GE17" s="48">
        <v>0.85</v>
      </c>
      <c r="GF17" s="48">
        <v>0.85</v>
      </c>
      <c r="GG17" s="48">
        <v>0.85</v>
      </c>
      <c r="GH17" s="48">
        <v>0.85</v>
      </c>
      <c r="GI17" s="48">
        <v>0.85</v>
      </c>
      <c r="GJ17" s="48">
        <v>0.85</v>
      </c>
      <c r="GK17" s="48">
        <v>0.85</v>
      </c>
      <c r="GL17" s="48">
        <v>0.85</v>
      </c>
      <c r="GM17" s="48">
        <v>0.85</v>
      </c>
      <c r="GN17" s="48">
        <v>0.85</v>
      </c>
      <c r="GO17" s="48">
        <v>0.85</v>
      </c>
      <c r="GP17" s="48">
        <v>0.85</v>
      </c>
      <c r="GQ17" s="48">
        <v>0.85</v>
      </c>
      <c r="GR17" s="48">
        <v>0.85</v>
      </c>
      <c r="GS17" s="48">
        <v>0.85</v>
      </c>
      <c r="GT17" s="48">
        <v>0.85</v>
      </c>
      <c r="GU17" s="48">
        <v>0.85</v>
      </c>
      <c r="GV17" s="48">
        <v>0.85</v>
      </c>
      <c r="GW17" s="48">
        <v>0.85</v>
      </c>
      <c r="GX17" s="48">
        <v>0.85</v>
      </c>
      <c r="GY17" s="48">
        <v>0.85</v>
      </c>
      <c r="GZ17" s="48">
        <v>0.85</v>
      </c>
      <c r="HA17" s="48">
        <v>0.85</v>
      </c>
      <c r="HB17" s="48">
        <v>0.85</v>
      </c>
      <c r="HC17" s="48">
        <v>0.85</v>
      </c>
      <c r="HD17" s="48">
        <v>0.85</v>
      </c>
      <c r="HE17" s="48">
        <v>0.85</v>
      </c>
      <c r="HF17" s="48">
        <v>0.85</v>
      </c>
      <c r="HG17" s="48">
        <v>0.85</v>
      </c>
      <c r="HH17" s="48">
        <v>0.85</v>
      </c>
      <c r="HI17" s="48">
        <v>0.85</v>
      </c>
      <c r="HJ17" s="48">
        <v>0.85</v>
      </c>
      <c r="HK17" s="48">
        <v>0.85</v>
      </c>
      <c r="HL17" s="48">
        <v>0.85</v>
      </c>
      <c r="HM17" s="48">
        <v>0.85</v>
      </c>
      <c r="HN17" s="48">
        <v>0.85</v>
      </c>
      <c r="HO17" s="48">
        <v>0.85</v>
      </c>
      <c r="HP17" s="48">
        <v>0.85</v>
      </c>
      <c r="HQ17" s="48">
        <v>0.85</v>
      </c>
      <c r="HR17" s="48">
        <v>0.85</v>
      </c>
      <c r="HS17" s="48">
        <v>0.85</v>
      </c>
      <c r="HT17" s="48">
        <v>0.85</v>
      </c>
      <c r="HU17" s="48">
        <v>0.85</v>
      </c>
      <c r="HV17" s="48">
        <v>0.85</v>
      </c>
      <c r="HW17" s="48">
        <v>0.85</v>
      </c>
      <c r="HX17" s="48">
        <v>0.85</v>
      </c>
      <c r="HY17" s="48">
        <v>0.85</v>
      </c>
      <c r="HZ17" s="48">
        <v>0.85</v>
      </c>
      <c r="IA17" s="48">
        <v>0.85</v>
      </c>
      <c r="IB17" s="48">
        <v>0.85</v>
      </c>
      <c r="IC17" s="48">
        <v>0.85</v>
      </c>
      <c r="ID17" s="48">
        <v>0.85</v>
      </c>
      <c r="IE17" s="48">
        <v>0.85</v>
      </c>
      <c r="IF17" s="48">
        <v>0.85</v>
      </c>
      <c r="IG17" s="48">
        <v>0.85</v>
      </c>
      <c r="IH17" s="48">
        <v>0.85</v>
      </c>
    </row>
    <row r="18" spans="1:242" x14ac:dyDescent="0.45">
      <c r="A18" s="888" t="s">
        <v>187</v>
      </c>
      <c r="B18" s="889"/>
      <c r="C18" s="48">
        <v>0</v>
      </c>
      <c r="D18" s="48">
        <v>0</v>
      </c>
      <c r="E18" s="48">
        <v>0</v>
      </c>
      <c r="F18" s="48">
        <v>0</v>
      </c>
      <c r="G18" s="48">
        <v>0</v>
      </c>
      <c r="H18" s="48">
        <v>0</v>
      </c>
      <c r="I18" s="48">
        <v>0</v>
      </c>
      <c r="J18" s="48">
        <v>0</v>
      </c>
      <c r="K18" s="48">
        <v>0</v>
      </c>
      <c r="L18" s="48">
        <v>0</v>
      </c>
      <c r="M18" s="48">
        <v>0</v>
      </c>
      <c r="N18" s="48">
        <v>0</v>
      </c>
      <c r="O18" s="48">
        <v>0</v>
      </c>
      <c r="P18" s="48">
        <v>0</v>
      </c>
      <c r="Q18" s="48">
        <v>0</v>
      </c>
      <c r="R18" s="48">
        <v>0</v>
      </c>
      <c r="S18" s="48">
        <v>0</v>
      </c>
      <c r="T18" s="48">
        <v>0</v>
      </c>
      <c r="U18" s="48">
        <v>0</v>
      </c>
      <c r="V18" s="48">
        <v>0</v>
      </c>
      <c r="W18" s="48">
        <v>0</v>
      </c>
      <c r="X18" s="48">
        <v>0</v>
      </c>
      <c r="Y18" s="48">
        <v>0</v>
      </c>
      <c r="Z18" s="48">
        <v>0</v>
      </c>
      <c r="AA18" s="48">
        <v>0.3</v>
      </c>
      <c r="AB18" s="48">
        <v>0.3</v>
      </c>
      <c r="AC18" s="48">
        <v>0.3</v>
      </c>
      <c r="AD18" s="48">
        <v>0.3</v>
      </c>
      <c r="AE18" s="48">
        <v>0.3</v>
      </c>
      <c r="AF18" s="48">
        <v>0.3</v>
      </c>
      <c r="AG18" s="48">
        <v>0.3</v>
      </c>
      <c r="AH18" s="48">
        <v>0.3</v>
      </c>
      <c r="AI18" s="48">
        <v>0.3</v>
      </c>
      <c r="AJ18" s="48">
        <v>0.3</v>
      </c>
      <c r="AK18" s="48">
        <v>0.3</v>
      </c>
      <c r="AL18" s="48">
        <v>0.3</v>
      </c>
      <c r="AM18" s="48">
        <v>0.5</v>
      </c>
      <c r="AN18" s="48">
        <v>0.5</v>
      </c>
      <c r="AO18" s="48">
        <v>0.5</v>
      </c>
      <c r="AP18" s="48">
        <v>0.5</v>
      </c>
      <c r="AQ18" s="48">
        <v>0.5</v>
      </c>
      <c r="AR18" s="48">
        <v>0.5</v>
      </c>
      <c r="AS18" s="48">
        <v>0.5</v>
      </c>
      <c r="AT18" s="48">
        <v>0.5</v>
      </c>
      <c r="AU18" s="48">
        <v>0.5</v>
      </c>
      <c r="AV18" s="48">
        <v>0.5</v>
      </c>
      <c r="AW18" s="48">
        <v>0.5</v>
      </c>
      <c r="AX18" s="48">
        <v>0.5</v>
      </c>
      <c r="AY18" s="48">
        <v>0.7</v>
      </c>
      <c r="AZ18" s="48">
        <v>0.7</v>
      </c>
      <c r="BA18" s="48">
        <v>0.7</v>
      </c>
      <c r="BB18" s="48">
        <v>0.7</v>
      </c>
      <c r="BC18" s="48">
        <v>0.7</v>
      </c>
      <c r="BD18" s="48">
        <v>0.7</v>
      </c>
      <c r="BE18" s="48">
        <v>0.7</v>
      </c>
      <c r="BF18" s="48">
        <v>0.7</v>
      </c>
      <c r="BG18" s="48">
        <v>0.7</v>
      </c>
      <c r="BH18" s="48">
        <v>0.7</v>
      </c>
      <c r="BI18" s="48">
        <v>0.7</v>
      </c>
      <c r="BJ18" s="48">
        <v>0.7</v>
      </c>
      <c r="BK18" s="48">
        <v>0.85</v>
      </c>
      <c r="BL18" s="48">
        <v>0.85</v>
      </c>
      <c r="BM18" s="48">
        <v>0.85</v>
      </c>
      <c r="BN18" s="48">
        <v>0.85</v>
      </c>
      <c r="BO18" s="48">
        <v>0.85</v>
      </c>
      <c r="BP18" s="48">
        <v>0.85</v>
      </c>
      <c r="BQ18" s="48">
        <v>0.85</v>
      </c>
      <c r="BR18" s="48">
        <v>0.85</v>
      </c>
      <c r="BS18" s="48">
        <v>0.85</v>
      </c>
      <c r="BT18" s="48">
        <v>0.85</v>
      </c>
      <c r="BU18" s="48">
        <v>0.85</v>
      </c>
      <c r="BV18" s="48">
        <v>0.85</v>
      </c>
      <c r="BW18" s="48">
        <v>0.85</v>
      </c>
      <c r="BX18" s="48">
        <v>0.85</v>
      </c>
      <c r="BY18" s="48">
        <v>0.85</v>
      </c>
      <c r="BZ18" s="48">
        <v>0.85</v>
      </c>
      <c r="CA18" s="48">
        <v>0.85</v>
      </c>
      <c r="CB18" s="48">
        <v>0.85</v>
      </c>
      <c r="CC18" s="48">
        <v>0.85</v>
      </c>
      <c r="CD18" s="48">
        <v>0.85</v>
      </c>
      <c r="CE18" s="48">
        <v>0.85</v>
      </c>
      <c r="CF18" s="48">
        <v>0.85</v>
      </c>
      <c r="CG18" s="48">
        <v>0.85</v>
      </c>
      <c r="CH18" s="48">
        <v>0.85</v>
      </c>
      <c r="CI18" s="48">
        <v>0.85</v>
      </c>
      <c r="CJ18" s="48">
        <v>0.85</v>
      </c>
      <c r="CK18" s="48">
        <v>0.85</v>
      </c>
      <c r="CL18" s="48">
        <v>0.85</v>
      </c>
      <c r="CM18" s="48">
        <v>0.85</v>
      </c>
      <c r="CN18" s="48">
        <v>0.85</v>
      </c>
      <c r="CO18" s="48">
        <v>0.85</v>
      </c>
      <c r="CP18" s="48">
        <v>0.85</v>
      </c>
      <c r="CQ18" s="48">
        <v>0.85</v>
      </c>
      <c r="CR18" s="48">
        <v>0.85</v>
      </c>
      <c r="CS18" s="48">
        <v>0.85</v>
      </c>
      <c r="CT18" s="48">
        <v>0.85</v>
      </c>
      <c r="CU18" s="48">
        <v>0.85</v>
      </c>
      <c r="CV18" s="48">
        <v>0.85</v>
      </c>
      <c r="CW18" s="48">
        <v>0.85</v>
      </c>
      <c r="CX18" s="48">
        <v>0.85</v>
      </c>
      <c r="CY18" s="48">
        <v>0.85</v>
      </c>
      <c r="CZ18" s="48">
        <v>0.85</v>
      </c>
      <c r="DA18" s="48">
        <v>0.85</v>
      </c>
      <c r="DB18" s="48">
        <v>0.85</v>
      </c>
      <c r="DC18" s="48">
        <v>0.85</v>
      </c>
      <c r="DD18" s="48">
        <v>0.85</v>
      </c>
      <c r="DE18" s="48">
        <v>0.85</v>
      </c>
      <c r="DF18" s="48">
        <v>0.85</v>
      </c>
      <c r="DG18" s="48">
        <v>0.85</v>
      </c>
      <c r="DH18" s="48">
        <v>0.85</v>
      </c>
      <c r="DI18" s="48">
        <v>0.85</v>
      </c>
      <c r="DJ18" s="48">
        <v>0.85</v>
      </c>
      <c r="DK18" s="48">
        <v>0.85</v>
      </c>
      <c r="DL18" s="48">
        <v>0.85</v>
      </c>
      <c r="DM18" s="48">
        <v>0.85</v>
      </c>
      <c r="DN18" s="48">
        <v>0.85</v>
      </c>
      <c r="DO18" s="48">
        <v>0.85</v>
      </c>
      <c r="DP18" s="48">
        <v>0.85</v>
      </c>
      <c r="DQ18" s="48">
        <v>0.85</v>
      </c>
      <c r="DR18" s="48">
        <v>0.85</v>
      </c>
      <c r="DS18" s="48">
        <v>0.85</v>
      </c>
      <c r="DT18" s="48">
        <v>0.85</v>
      </c>
      <c r="DU18" s="48">
        <v>0.85</v>
      </c>
      <c r="DV18" s="48">
        <v>0.85</v>
      </c>
      <c r="DW18" s="48">
        <v>0.85</v>
      </c>
      <c r="DX18" s="48">
        <v>0.85</v>
      </c>
      <c r="DY18" s="48">
        <v>0.85</v>
      </c>
      <c r="DZ18" s="48">
        <v>0.85</v>
      </c>
      <c r="EA18" s="48">
        <v>0.85</v>
      </c>
      <c r="EB18" s="48">
        <v>0.85</v>
      </c>
      <c r="EC18" s="48">
        <v>0.85</v>
      </c>
      <c r="ED18" s="48">
        <v>0.85</v>
      </c>
      <c r="EE18" s="48">
        <v>0.85</v>
      </c>
      <c r="EF18" s="48">
        <v>0.85</v>
      </c>
      <c r="EG18" s="48">
        <v>0.85</v>
      </c>
      <c r="EH18" s="48">
        <v>0.85</v>
      </c>
      <c r="EI18" s="48">
        <v>0.85</v>
      </c>
      <c r="EJ18" s="48">
        <v>0.85</v>
      </c>
      <c r="EK18" s="48">
        <v>0.85</v>
      </c>
      <c r="EL18" s="48">
        <v>0.85</v>
      </c>
      <c r="EM18" s="48">
        <v>0.85</v>
      </c>
      <c r="EN18" s="48">
        <v>0.85</v>
      </c>
      <c r="EO18" s="48">
        <v>0.85</v>
      </c>
      <c r="EP18" s="48">
        <v>0.85</v>
      </c>
      <c r="EQ18" s="48">
        <v>0.85</v>
      </c>
      <c r="ER18" s="48">
        <v>0.85</v>
      </c>
      <c r="ES18" s="48">
        <v>0.85</v>
      </c>
      <c r="ET18" s="48">
        <v>0.85</v>
      </c>
      <c r="EU18" s="48">
        <v>0.85</v>
      </c>
      <c r="EV18" s="48">
        <v>0.85</v>
      </c>
      <c r="EW18" s="48">
        <v>0.85</v>
      </c>
      <c r="EX18" s="48">
        <v>0.85</v>
      </c>
      <c r="EY18" s="48">
        <v>0.85</v>
      </c>
      <c r="EZ18" s="48">
        <v>0.85</v>
      </c>
      <c r="FA18" s="48">
        <v>0.85</v>
      </c>
      <c r="FB18" s="48">
        <v>0.85</v>
      </c>
      <c r="FC18" s="48">
        <v>0.85</v>
      </c>
      <c r="FD18" s="48">
        <v>0.85</v>
      </c>
      <c r="FE18" s="48">
        <v>0.85</v>
      </c>
      <c r="FF18" s="48">
        <v>0.85</v>
      </c>
      <c r="FG18" s="48">
        <v>0.85</v>
      </c>
      <c r="FH18" s="48">
        <v>0.85</v>
      </c>
      <c r="FI18" s="48">
        <v>0.85</v>
      </c>
      <c r="FJ18" s="48">
        <v>0.85</v>
      </c>
      <c r="FK18" s="48">
        <v>0.85</v>
      </c>
      <c r="FL18" s="48">
        <v>0.85</v>
      </c>
      <c r="FM18" s="48">
        <v>0.85</v>
      </c>
      <c r="FN18" s="48">
        <v>0.85</v>
      </c>
      <c r="FO18" s="48">
        <v>0.85</v>
      </c>
      <c r="FP18" s="48">
        <v>0.85</v>
      </c>
      <c r="FQ18" s="48">
        <v>0.85</v>
      </c>
      <c r="FR18" s="48">
        <v>0.85</v>
      </c>
      <c r="FS18" s="48">
        <v>0.85</v>
      </c>
      <c r="FT18" s="48">
        <v>0.85</v>
      </c>
      <c r="FU18" s="48">
        <v>0.85</v>
      </c>
      <c r="FV18" s="48">
        <v>0.85</v>
      </c>
      <c r="FW18" s="48">
        <v>0.85</v>
      </c>
      <c r="FX18" s="48">
        <v>0.85</v>
      </c>
      <c r="FY18" s="48">
        <v>0.85</v>
      </c>
      <c r="FZ18" s="48">
        <v>0.85</v>
      </c>
      <c r="GA18" s="48">
        <v>0.85</v>
      </c>
      <c r="GB18" s="48">
        <v>0.85</v>
      </c>
      <c r="GC18" s="48">
        <v>0.85</v>
      </c>
      <c r="GD18" s="48">
        <v>0.85</v>
      </c>
      <c r="GE18" s="48">
        <v>0.85</v>
      </c>
      <c r="GF18" s="48">
        <v>0.85</v>
      </c>
      <c r="GG18" s="48">
        <v>0.85</v>
      </c>
      <c r="GH18" s="48">
        <v>0.85</v>
      </c>
      <c r="GI18" s="48">
        <v>0.85</v>
      </c>
      <c r="GJ18" s="48">
        <v>0.85</v>
      </c>
      <c r="GK18" s="48">
        <v>0.85</v>
      </c>
      <c r="GL18" s="48">
        <v>0.85</v>
      </c>
      <c r="GM18" s="48">
        <v>0.85</v>
      </c>
      <c r="GN18" s="48">
        <v>0.85</v>
      </c>
      <c r="GO18" s="48">
        <v>0.85</v>
      </c>
      <c r="GP18" s="48">
        <v>0.85</v>
      </c>
      <c r="GQ18" s="48">
        <v>0.85</v>
      </c>
      <c r="GR18" s="48">
        <v>0.85</v>
      </c>
      <c r="GS18" s="48">
        <v>0.85</v>
      </c>
      <c r="GT18" s="48">
        <v>0.85</v>
      </c>
      <c r="GU18" s="48">
        <v>0.85</v>
      </c>
      <c r="GV18" s="48">
        <v>0.85</v>
      </c>
      <c r="GW18" s="48">
        <v>0.85</v>
      </c>
      <c r="GX18" s="48">
        <v>0.85</v>
      </c>
      <c r="GY18" s="48">
        <v>0.85</v>
      </c>
      <c r="GZ18" s="48">
        <v>0.85</v>
      </c>
      <c r="HA18" s="48">
        <v>0.85</v>
      </c>
      <c r="HB18" s="48">
        <v>0.85</v>
      </c>
      <c r="HC18" s="48">
        <v>0.85</v>
      </c>
      <c r="HD18" s="48">
        <v>0.85</v>
      </c>
      <c r="HE18" s="48">
        <v>0.85</v>
      </c>
      <c r="HF18" s="48">
        <v>0.85</v>
      </c>
      <c r="HG18" s="48">
        <v>0.85</v>
      </c>
      <c r="HH18" s="48">
        <v>0.85</v>
      </c>
      <c r="HI18" s="48">
        <v>0.85</v>
      </c>
      <c r="HJ18" s="48">
        <v>0.85</v>
      </c>
      <c r="HK18" s="48">
        <v>0.85</v>
      </c>
      <c r="HL18" s="48">
        <v>0.85</v>
      </c>
      <c r="HM18" s="48">
        <v>0.85</v>
      </c>
      <c r="HN18" s="48">
        <v>0.85</v>
      </c>
      <c r="HO18" s="48">
        <v>0.85</v>
      </c>
      <c r="HP18" s="48">
        <v>0.85</v>
      </c>
      <c r="HQ18" s="48">
        <v>0.85</v>
      </c>
      <c r="HR18" s="48">
        <v>0.85</v>
      </c>
      <c r="HS18" s="48">
        <v>0.85</v>
      </c>
      <c r="HT18" s="48">
        <v>0.85</v>
      </c>
      <c r="HU18" s="48">
        <v>0.85</v>
      </c>
      <c r="HV18" s="48">
        <v>0.85</v>
      </c>
      <c r="HW18" s="48">
        <v>0.85</v>
      </c>
      <c r="HX18" s="48">
        <v>0.85</v>
      </c>
      <c r="HY18" s="48">
        <v>0.85</v>
      </c>
      <c r="HZ18" s="48">
        <v>0.85</v>
      </c>
      <c r="IA18" s="48">
        <v>0.85</v>
      </c>
      <c r="IB18" s="48">
        <v>0.85</v>
      </c>
      <c r="IC18" s="48">
        <v>0.85</v>
      </c>
      <c r="ID18" s="48">
        <v>0.85</v>
      </c>
      <c r="IE18" s="48">
        <v>0.85</v>
      </c>
      <c r="IF18" s="48">
        <v>0.85</v>
      </c>
      <c r="IG18" s="48">
        <v>0.85</v>
      </c>
      <c r="IH18" s="48">
        <v>0.85</v>
      </c>
    </row>
    <row r="19" spans="1:242" x14ac:dyDescent="0.45">
      <c r="A19" s="890" t="s">
        <v>181</v>
      </c>
      <c r="B19" s="890"/>
      <c r="C19" s="48">
        <v>0</v>
      </c>
      <c r="D19" s="48">
        <v>0</v>
      </c>
      <c r="E19" s="48">
        <v>0</v>
      </c>
      <c r="F19" s="48">
        <v>0</v>
      </c>
      <c r="G19" s="48">
        <v>0</v>
      </c>
      <c r="H19" s="48">
        <v>0</v>
      </c>
      <c r="I19" s="48">
        <v>0</v>
      </c>
      <c r="J19" s="48">
        <v>0</v>
      </c>
      <c r="K19" s="48">
        <v>0</v>
      </c>
      <c r="L19" s="48">
        <v>0</v>
      </c>
      <c r="M19" s="48">
        <v>0</v>
      </c>
      <c r="N19" s="48">
        <v>0</v>
      </c>
      <c r="O19" s="48">
        <v>0</v>
      </c>
      <c r="P19" s="48">
        <v>0</v>
      </c>
      <c r="Q19" s="48">
        <v>0</v>
      </c>
      <c r="R19" s="48">
        <v>0</v>
      </c>
      <c r="S19" s="48">
        <v>0</v>
      </c>
      <c r="T19" s="48">
        <v>0</v>
      </c>
      <c r="U19" s="48">
        <v>0</v>
      </c>
      <c r="V19" s="48">
        <v>0</v>
      </c>
      <c r="W19" s="48">
        <v>0</v>
      </c>
      <c r="X19" s="48">
        <v>0</v>
      </c>
      <c r="Y19" s="48">
        <v>0</v>
      </c>
      <c r="Z19" s="48">
        <v>0</v>
      </c>
      <c r="AA19" s="48">
        <v>0</v>
      </c>
      <c r="AB19" s="48">
        <v>0</v>
      </c>
      <c r="AC19" s="48">
        <v>0</v>
      </c>
      <c r="AD19" s="48">
        <v>0</v>
      </c>
      <c r="AE19" s="48">
        <v>0</v>
      </c>
      <c r="AF19" s="48">
        <v>0</v>
      </c>
      <c r="AG19" s="48">
        <v>0</v>
      </c>
      <c r="AH19" s="48">
        <v>0</v>
      </c>
      <c r="AI19" s="48">
        <v>0</v>
      </c>
      <c r="AJ19" s="48">
        <v>0</v>
      </c>
      <c r="AK19" s="48">
        <v>0</v>
      </c>
      <c r="AL19" s="48">
        <v>0</v>
      </c>
      <c r="AM19" s="48">
        <v>0</v>
      </c>
      <c r="AN19" s="48">
        <v>0</v>
      </c>
      <c r="AO19" s="48">
        <v>0</v>
      </c>
      <c r="AP19" s="48">
        <v>0</v>
      </c>
      <c r="AQ19" s="48">
        <v>0</v>
      </c>
      <c r="AR19" s="48">
        <v>0</v>
      </c>
      <c r="AS19" s="48">
        <v>0</v>
      </c>
      <c r="AT19" s="48">
        <v>0</v>
      </c>
      <c r="AU19" s="48">
        <v>0</v>
      </c>
      <c r="AV19" s="48">
        <v>0</v>
      </c>
      <c r="AW19" s="48">
        <v>0</v>
      </c>
      <c r="AX19" s="48">
        <v>0</v>
      </c>
      <c r="AY19" s="48">
        <v>0.05</v>
      </c>
      <c r="AZ19" s="48">
        <v>0</v>
      </c>
      <c r="BA19" s="48">
        <v>0</v>
      </c>
      <c r="BB19" s="48">
        <v>0</v>
      </c>
      <c r="BC19" s="48">
        <v>0</v>
      </c>
      <c r="BD19" s="48">
        <v>0</v>
      </c>
      <c r="BE19" s="48">
        <v>0</v>
      </c>
      <c r="BF19" s="48">
        <v>0</v>
      </c>
      <c r="BG19" s="48">
        <v>0</v>
      </c>
      <c r="BH19" s="48">
        <v>0</v>
      </c>
      <c r="BI19" s="48">
        <v>0</v>
      </c>
      <c r="BJ19" s="48">
        <v>0</v>
      </c>
      <c r="BK19" s="48">
        <v>0</v>
      </c>
      <c r="BL19" s="48">
        <v>0</v>
      </c>
      <c r="BM19" s="48">
        <v>0</v>
      </c>
      <c r="BN19" s="48">
        <v>0</v>
      </c>
      <c r="BO19" s="48">
        <v>0</v>
      </c>
      <c r="BP19" s="48">
        <v>0</v>
      </c>
      <c r="BQ19" s="48">
        <v>0</v>
      </c>
      <c r="BR19" s="48">
        <v>0</v>
      </c>
      <c r="BS19" s="48">
        <v>0</v>
      </c>
      <c r="BT19" s="48">
        <v>0</v>
      </c>
      <c r="BU19" s="48">
        <v>0</v>
      </c>
      <c r="BV19" s="48">
        <v>0</v>
      </c>
      <c r="BW19" s="48">
        <v>0.05</v>
      </c>
      <c r="BX19" s="48">
        <v>0</v>
      </c>
      <c r="BY19" s="48">
        <v>0</v>
      </c>
      <c r="BZ19" s="48">
        <v>0</v>
      </c>
      <c r="CA19" s="48">
        <v>0</v>
      </c>
      <c r="CB19" s="48">
        <v>0</v>
      </c>
      <c r="CC19" s="48">
        <v>0</v>
      </c>
      <c r="CD19" s="48">
        <v>0</v>
      </c>
      <c r="CE19" s="48">
        <v>0</v>
      </c>
      <c r="CF19" s="48">
        <v>0</v>
      </c>
      <c r="CG19" s="48">
        <v>0</v>
      </c>
      <c r="CH19" s="48">
        <v>0</v>
      </c>
      <c r="CI19" s="48">
        <v>0</v>
      </c>
      <c r="CJ19" s="48">
        <v>0</v>
      </c>
      <c r="CK19" s="48">
        <v>0</v>
      </c>
      <c r="CL19" s="48">
        <v>0</v>
      </c>
      <c r="CM19" s="48">
        <v>0</v>
      </c>
      <c r="CN19" s="48">
        <v>0</v>
      </c>
      <c r="CO19" s="48">
        <v>0</v>
      </c>
      <c r="CP19" s="48">
        <v>0</v>
      </c>
      <c r="CQ19" s="48">
        <v>0</v>
      </c>
      <c r="CR19" s="48">
        <v>0</v>
      </c>
      <c r="CS19" s="48">
        <v>0</v>
      </c>
      <c r="CT19" s="48">
        <v>0</v>
      </c>
      <c r="CU19" s="48">
        <v>0.05</v>
      </c>
      <c r="CV19" s="48">
        <v>0</v>
      </c>
      <c r="CW19" s="48">
        <v>0</v>
      </c>
      <c r="CX19" s="48">
        <v>0</v>
      </c>
      <c r="CY19" s="48">
        <v>0</v>
      </c>
      <c r="CZ19" s="48">
        <v>0</v>
      </c>
      <c r="DA19" s="48">
        <v>0</v>
      </c>
      <c r="DB19" s="48">
        <v>0</v>
      </c>
      <c r="DC19" s="48">
        <v>0</v>
      </c>
      <c r="DD19" s="48">
        <v>0</v>
      </c>
      <c r="DE19" s="48">
        <v>0</v>
      </c>
      <c r="DF19" s="48">
        <v>0</v>
      </c>
      <c r="DG19" s="48">
        <v>0</v>
      </c>
      <c r="DH19" s="48">
        <v>0</v>
      </c>
      <c r="DI19" s="48">
        <v>0</v>
      </c>
      <c r="DJ19" s="48">
        <v>0</v>
      </c>
      <c r="DK19" s="48">
        <v>0</v>
      </c>
      <c r="DL19" s="48">
        <v>0</v>
      </c>
      <c r="DM19" s="48">
        <v>0</v>
      </c>
      <c r="DN19" s="48">
        <v>0</v>
      </c>
      <c r="DO19" s="48">
        <v>0</v>
      </c>
      <c r="DP19" s="48">
        <v>0</v>
      </c>
      <c r="DQ19" s="48">
        <v>0</v>
      </c>
      <c r="DR19" s="48">
        <v>0</v>
      </c>
      <c r="DS19" s="48">
        <v>0.05</v>
      </c>
      <c r="DT19" s="48">
        <v>0</v>
      </c>
      <c r="DU19" s="48">
        <v>0</v>
      </c>
      <c r="DV19" s="48">
        <v>0</v>
      </c>
      <c r="DW19" s="48">
        <v>0</v>
      </c>
      <c r="DX19" s="48">
        <v>0</v>
      </c>
      <c r="DY19" s="48">
        <v>0</v>
      </c>
      <c r="DZ19" s="48">
        <v>0</v>
      </c>
      <c r="EA19" s="48">
        <v>0</v>
      </c>
      <c r="EB19" s="48">
        <v>0</v>
      </c>
      <c r="EC19" s="48">
        <v>0</v>
      </c>
      <c r="ED19" s="48">
        <v>0</v>
      </c>
      <c r="EE19" s="48">
        <v>0</v>
      </c>
      <c r="EF19" s="48">
        <v>0</v>
      </c>
      <c r="EG19" s="48">
        <v>0</v>
      </c>
      <c r="EH19" s="48">
        <v>0</v>
      </c>
      <c r="EI19" s="48">
        <v>0</v>
      </c>
      <c r="EJ19" s="48">
        <v>0</v>
      </c>
      <c r="EK19" s="48">
        <v>0</v>
      </c>
      <c r="EL19" s="48">
        <v>0</v>
      </c>
      <c r="EM19" s="48">
        <v>0</v>
      </c>
      <c r="EN19" s="48">
        <v>0</v>
      </c>
      <c r="EO19" s="48">
        <v>0</v>
      </c>
      <c r="EP19" s="48">
        <v>0</v>
      </c>
      <c r="EQ19" s="48">
        <v>0.05</v>
      </c>
      <c r="ER19" s="48">
        <v>0</v>
      </c>
      <c r="ES19" s="48">
        <v>0</v>
      </c>
      <c r="ET19" s="48">
        <v>0</v>
      </c>
      <c r="EU19" s="48">
        <v>0</v>
      </c>
      <c r="EV19" s="48">
        <v>0</v>
      </c>
      <c r="EW19" s="48">
        <v>0</v>
      </c>
      <c r="EX19" s="48">
        <v>0</v>
      </c>
      <c r="EY19" s="48">
        <v>0</v>
      </c>
      <c r="EZ19" s="48">
        <v>0</v>
      </c>
      <c r="FA19" s="48">
        <v>0</v>
      </c>
      <c r="FB19" s="48">
        <v>0</v>
      </c>
      <c r="FC19" s="48">
        <v>0</v>
      </c>
      <c r="FD19" s="48">
        <v>0</v>
      </c>
      <c r="FE19" s="48">
        <v>0</v>
      </c>
      <c r="FF19" s="48">
        <v>0</v>
      </c>
      <c r="FG19" s="48">
        <v>0</v>
      </c>
      <c r="FH19" s="48">
        <v>0</v>
      </c>
      <c r="FI19" s="48">
        <v>0</v>
      </c>
      <c r="FJ19" s="48">
        <v>0</v>
      </c>
      <c r="FK19" s="48">
        <v>0</v>
      </c>
      <c r="FL19" s="48">
        <v>0</v>
      </c>
      <c r="FM19" s="48">
        <v>0</v>
      </c>
      <c r="FN19" s="48">
        <v>0</v>
      </c>
      <c r="FO19" s="48">
        <v>0.05</v>
      </c>
      <c r="FP19" s="48">
        <v>0</v>
      </c>
      <c r="FQ19" s="48">
        <v>0</v>
      </c>
      <c r="FR19" s="48">
        <v>0</v>
      </c>
      <c r="FS19" s="48">
        <v>0</v>
      </c>
      <c r="FT19" s="48">
        <v>0</v>
      </c>
      <c r="FU19" s="48">
        <v>0</v>
      </c>
      <c r="FV19" s="48">
        <v>0</v>
      </c>
      <c r="FW19" s="48">
        <v>0</v>
      </c>
      <c r="FX19" s="48">
        <v>0</v>
      </c>
      <c r="FY19" s="48">
        <v>0</v>
      </c>
      <c r="FZ19" s="48">
        <v>0</v>
      </c>
      <c r="GA19" s="48">
        <v>0</v>
      </c>
      <c r="GB19" s="48">
        <v>0</v>
      </c>
      <c r="GC19" s="48">
        <v>0</v>
      </c>
      <c r="GD19" s="48">
        <v>0</v>
      </c>
      <c r="GE19" s="48">
        <v>0</v>
      </c>
      <c r="GF19" s="48">
        <v>0</v>
      </c>
      <c r="GG19" s="48">
        <v>0</v>
      </c>
      <c r="GH19" s="48">
        <v>0</v>
      </c>
      <c r="GI19" s="48">
        <v>0</v>
      </c>
      <c r="GJ19" s="48">
        <v>0</v>
      </c>
      <c r="GK19" s="48">
        <v>0</v>
      </c>
      <c r="GL19" s="48">
        <v>0</v>
      </c>
      <c r="GM19" s="48">
        <v>0.05</v>
      </c>
      <c r="GN19" s="48">
        <v>0</v>
      </c>
      <c r="GO19" s="48">
        <v>0</v>
      </c>
      <c r="GP19" s="48">
        <v>0</v>
      </c>
      <c r="GQ19" s="48">
        <v>0</v>
      </c>
      <c r="GR19" s="48">
        <v>0</v>
      </c>
      <c r="GS19" s="48">
        <v>0</v>
      </c>
      <c r="GT19" s="48">
        <v>0</v>
      </c>
      <c r="GU19" s="48">
        <v>0</v>
      </c>
      <c r="GV19" s="48">
        <v>0</v>
      </c>
      <c r="GW19" s="48">
        <v>0</v>
      </c>
      <c r="GX19" s="48">
        <v>0</v>
      </c>
      <c r="GY19" s="48">
        <v>0</v>
      </c>
      <c r="GZ19" s="48">
        <v>0</v>
      </c>
      <c r="HA19" s="48">
        <v>0</v>
      </c>
      <c r="HB19" s="48">
        <v>0</v>
      </c>
      <c r="HC19" s="48">
        <v>0</v>
      </c>
      <c r="HD19" s="48">
        <v>0</v>
      </c>
      <c r="HE19" s="48">
        <v>0</v>
      </c>
      <c r="HF19" s="48">
        <v>0</v>
      </c>
      <c r="HG19" s="48">
        <v>0</v>
      </c>
      <c r="HH19" s="48">
        <v>0</v>
      </c>
      <c r="HI19" s="48">
        <v>0</v>
      </c>
      <c r="HJ19" s="48">
        <v>0</v>
      </c>
      <c r="HK19" s="48">
        <v>0.05</v>
      </c>
      <c r="HL19" s="48">
        <v>0</v>
      </c>
      <c r="HM19" s="48">
        <v>0</v>
      </c>
      <c r="HN19" s="48">
        <v>0</v>
      </c>
      <c r="HO19" s="48">
        <v>0</v>
      </c>
      <c r="HP19" s="48">
        <v>0</v>
      </c>
      <c r="HQ19" s="48">
        <v>0</v>
      </c>
      <c r="HR19" s="48">
        <v>0</v>
      </c>
      <c r="HS19" s="48">
        <v>0</v>
      </c>
      <c r="HT19" s="48">
        <v>0</v>
      </c>
      <c r="HU19" s="48">
        <v>0</v>
      </c>
      <c r="HV19" s="48">
        <v>0</v>
      </c>
      <c r="HW19" s="48">
        <v>0</v>
      </c>
      <c r="HX19" s="48">
        <v>0</v>
      </c>
      <c r="HY19" s="48">
        <v>0</v>
      </c>
      <c r="HZ19" s="48">
        <v>0</v>
      </c>
      <c r="IA19" s="48">
        <v>0</v>
      </c>
      <c r="IB19" s="48">
        <v>0</v>
      </c>
      <c r="IC19" s="48">
        <v>0</v>
      </c>
      <c r="ID19" s="48">
        <v>0</v>
      </c>
      <c r="IE19" s="48">
        <v>0</v>
      </c>
      <c r="IF19" s="48">
        <v>0</v>
      </c>
      <c r="IG19" s="48">
        <v>0</v>
      </c>
      <c r="IH19" s="48">
        <v>0</v>
      </c>
    </row>
    <row r="20" spans="1:242" x14ac:dyDescent="0.45">
      <c r="A20" s="888" t="s">
        <v>182</v>
      </c>
      <c r="B20" s="889"/>
      <c r="C20" s="56">
        <f>1+C19</f>
        <v>1</v>
      </c>
      <c r="D20" s="56">
        <f>C20+D19</f>
        <v>1</v>
      </c>
      <c r="E20" s="56">
        <f t="shared" ref="E20:BP20" si="0">D20+E19</f>
        <v>1</v>
      </c>
      <c r="F20" s="56">
        <f t="shared" si="0"/>
        <v>1</v>
      </c>
      <c r="G20" s="56">
        <f t="shared" si="0"/>
        <v>1</v>
      </c>
      <c r="H20" s="56">
        <f t="shared" si="0"/>
        <v>1</v>
      </c>
      <c r="I20" s="56">
        <f t="shared" si="0"/>
        <v>1</v>
      </c>
      <c r="J20" s="56">
        <f t="shared" si="0"/>
        <v>1</v>
      </c>
      <c r="K20" s="56">
        <f t="shared" si="0"/>
        <v>1</v>
      </c>
      <c r="L20" s="56">
        <f t="shared" si="0"/>
        <v>1</v>
      </c>
      <c r="M20" s="56">
        <f t="shared" si="0"/>
        <v>1</v>
      </c>
      <c r="N20" s="56">
        <f t="shared" si="0"/>
        <v>1</v>
      </c>
      <c r="O20" s="56">
        <f t="shared" si="0"/>
        <v>1</v>
      </c>
      <c r="P20" s="56">
        <f t="shared" si="0"/>
        <v>1</v>
      </c>
      <c r="Q20" s="56">
        <f t="shared" si="0"/>
        <v>1</v>
      </c>
      <c r="R20" s="56">
        <f t="shared" si="0"/>
        <v>1</v>
      </c>
      <c r="S20" s="56">
        <f t="shared" si="0"/>
        <v>1</v>
      </c>
      <c r="T20" s="56">
        <f t="shared" si="0"/>
        <v>1</v>
      </c>
      <c r="U20" s="56">
        <f t="shared" si="0"/>
        <v>1</v>
      </c>
      <c r="V20" s="56">
        <f t="shared" si="0"/>
        <v>1</v>
      </c>
      <c r="W20" s="56">
        <f t="shared" si="0"/>
        <v>1</v>
      </c>
      <c r="X20" s="56">
        <f t="shared" si="0"/>
        <v>1</v>
      </c>
      <c r="Y20" s="56">
        <f t="shared" si="0"/>
        <v>1</v>
      </c>
      <c r="Z20" s="56">
        <f t="shared" si="0"/>
        <v>1</v>
      </c>
      <c r="AA20" s="56">
        <f t="shared" si="0"/>
        <v>1</v>
      </c>
      <c r="AB20" s="56">
        <f t="shared" si="0"/>
        <v>1</v>
      </c>
      <c r="AC20" s="56">
        <f t="shared" si="0"/>
        <v>1</v>
      </c>
      <c r="AD20" s="56">
        <f t="shared" si="0"/>
        <v>1</v>
      </c>
      <c r="AE20" s="56">
        <f t="shared" si="0"/>
        <v>1</v>
      </c>
      <c r="AF20" s="56">
        <f t="shared" si="0"/>
        <v>1</v>
      </c>
      <c r="AG20" s="56">
        <f t="shared" si="0"/>
        <v>1</v>
      </c>
      <c r="AH20" s="56">
        <f t="shared" si="0"/>
        <v>1</v>
      </c>
      <c r="AI20" s="56">
        <f t="shared" si="0"/>
        <v>1</v>
      </c>
      <c r="AJ20" s="56">
        <f t="shared" si="0"/>
        <v>1</v>
      </c>
      <c r="AK20" s="56">
        <f t="shared" si="0"/>
        <v>1</v>
      </c>
      <c r="AL20" s="56">
        <f t="shared" si="0"/>
        <v>1</v>
      </c>
      <c r="AM20" s="56">
        <f t="shared" si="0"/>
        <v>1</v>
      </c>
      <c r="AN20" s="56">
        <f t="shared" si="0"/>
        <v>1</v>
      </c>
      <c r="AO20" s="56">
        <f t="shared" si="0"/>
        <v>1</v>
      </c>
      <c r="AP20" s="56">
        <f t="shared" si="0"/>
        <v>1</v>
      </c>
      <c r="AQ20" s="56">
        <f t="shared" si="0"/>
        <v>1</v>
      </c>
      <c r="AR20" s="56">
        <f t="shared" si="0"/>
        <v>1</v>
      </c>
      <c r="AS20" s="56">
        <f t="shared" si="0"/>
        <v>1</v>
      </c>
      <c r="AT20" s="56">
        <f t="shared" si="0"/>
        <v>1</v>
      </c>
      <c r="AU20" s="56">
        <f t="shared" si="0"/>
        <v>1</v>
      </c>
      <c r="AV20" s="56">
        <f t="shared" si="0"/>
        <v>1</v>
      </c>
      <c r="AW20" s="56">
        <f t="shared" si="0"/>
        <v>1</v>
      </c>
      <c r="AX20" s="56">
        <f t="shared" si="0"/>
        <v>1</v>
      </c>
      <c r="AY20" s="56">
        <f t="shared" si="0"/>
        <v>1.05</v>
      </c>
      <c r="AZ20" s="56">
        <f t="shared" si="0"/>
        <v>1.05</v>
      </c>
      <c r="BA20" s="56">
        <f t="shared" si="0"/>
        <v>1.05</v>
      </c>
      <c r="BB20" s="56">
        <f t="shared" si="0"/>
        <v>1.05</v>
      </c>
      <c r="BC20" s="56">
        <f t="shared" si="0"/>
        <v>1.05</v>
      </c>
      <c r="BD20" s="56">
        <f t="shared" si="0"/>
        <v>1.05</v>
      </c>
      <c r="BE20" s="56">
        <f t="shared" si="0"/>
        <v>1.05</v>
      </c>
      <c r="BF20" s="56">
        <f t="shared" si="0"/>
        <v>1.05</v>
      </c>
      <c r="BG20" s="56">
        <f t="shared" si="0"/>
        <v>1.05</v>
      </c>
      <c r="BH20" s="56">
        <f t="shared" si="0"/>
        <v>1.05</v>
      </c>
      <c r="BI20" s="56">
        <f t="shared" si="0"/>
        <v>1.05</v>
      </c>
      <c r="BJ20" s="56">
        <f t="shared" si="0"/>
        <v>1.05</v>
      </c>
      <c r="BK20" s="56">
        <f t="shared" si="0"/>
        <v>1.05</v>
      </c>
      <c r="BL20" s="56">
        <f t="shared" si="0"/>
        <v>1.05</v>
      </c>
      <c r="BM20" s="56">
        <f t="shared" si="0"/>
        <v>1.05</v>
      </c>
      <c r="BN20" s="56">
        <f t="shared" si="0"/>
        <v>1.05</v>
      </c>
      <c r="BO20" s="56">
        <f t="shared" si="0"/>
        <v>1.05</v>
      </c>
      <c r="BP20" s="56">
        <f t="shared" si="0"/>
        <v>1.05</v>
      </c>
      <c r="BQ20" s="56">
        <f t="shared" ref="BQ20:EB20" si="1">BP20+BQ19</f>
        <v>1.05</v>
      </c>
      <c r="BR20" s="56">
        <f t="shared" si="1"/>
        <v>1.05</v>
      </c>
      <c r="BS20" s="56">
        <f t="shared" si="1"/>
        <v>1.05</v>
      </c>
      <c r="BT20" s="56">
        <f t="shared" si="1"/>
        <v>1.05</v>
      </c>
      <c r="BU20" s="56">
        <f t="shared" si="1"/>
        <v>1.05</v>
      </c>
      <c r="BV20" s="56">
        <f t="shared" si="1"/>
        <v>1.05</v>
      </c>
      <c r="BW20" s="56">
        <f t="shared" si="1"/>
        <v>1.1000000000000001</v>
      </c>
      <c r="BX20" s="56">
        <f t="shared" si="1"/>
        <v>1.1000000000000001</v>
      </c>
      <c r="BY20" s="56">
        <f t="shared" si="1"/>
        <v>1.1000000000000001</v>
      </c>
      <c r="BZ20" s="56">
        <f t="shared" si="1"/>
        <v>1.1000000000000001</v>
      </c>
      <c r="CA20" s="56">
        <f t="shared" si="1"/>
        <v>1.1000000000000001</v>
      </c>
      <c r="CB20" s="56">
        <f t="shared" si="1"/>
        <v>1.1000000000000001</v>
      </c>
      <c r="CC20" s="56">
        <f t="shared" si="1"/>
        <v>1.1000000000000001</v>
      </c>
      <c r="CD20" s="56">
        <f t="shared" si="1"/>
        <v>1.1000000000000001</v>
      </c>
      <c r="CE20" s="56">
        <f t="shared" si="1"/>
        <v>1.1000000000000001</v>
      </c>
      <c r="CF20" s="56">
        <f t="shared" si="1"/>
        <v>1.1000000000000001</v>
      </c>
      <c r="CG20" s="56">
        <f t="shared" si="1"/>
        <v>1.1000000000000001</v>
      </c>
      <c r="CH20" s="56">
        <f t="shared" si="1"/>
        <v>1.1000000000000001</v>
      </c>
      <c r="CI20" s="56">
        <f t="shared" si="1"/>
        <v>1.1000000000000001</v>
      </c>
      <c r="CJ20" s="56">
        <f t="shared" si="1"/>
        <v>1.1000000000000001</v>
      </c>
      <c r="CK20" s="56">
        <f t="shared" si="1"/>
        <v>1.1000000000000001</v>
      </c>
      <c r="CL20" s="56">
        <f t="shared" si="1"/>
        <v>1.1000000000000001</v>
      </c>
      <c r="CM20" s="56">
        <f t="shared" si="1"/>
        <v>1.1000000000000001</v>
      </c>
      <c r="CN20" s="56">
        <f t="shared" si="1"/>
        <v>1.1000000000000001</v>
      </c>
      <c r="CO20" s="56">
        <f t="shared" si="1"/>
        <v>1.1000000000000001</v>
      </c>
      <c r="CP20" s="56">
        <f t="shared" si="1"/>
        <v>1.1000000000000001</v>
      </c>
      <c r="CQ20" s="56">
        <f t="shared" si="1"/>
        <v>1.1000000000000001</v>
      </c>
      <c r="CR20" s="56">
        <f t="shared" si="1"/>
        <v>1.1000000000000001</v>
      </c>
      <c r="CS20" s="56">
        <f t="shared" si="1"/>
        <v>1.1000000000000001</v>
      </c>
      <c r="CT20" s="56">
        <f t="shared" si="1"/>
        <v>1.1000000000000001</v>
      </c>
      <c r="CU20" s="56">
        <f t="shared" si="1"/>
        <v>1.1500000000000001</v>
      </c>
      <c r="CV20" s="56">
        <f t="shared" si="1"/>
        <v>1.1500000000000001</v>
      </c>
      <c r="CW20" s="56">
        <f t="shared" si="1"/>
        <v>1.1500000000000001</v>
      </c>
      <c r="CX20" s="56">
        <f t="shared" si="1"/>
        <v>1.1500000000000001</v>
      </c>
      <c r="CY20" s="56">
        <f t="shared" si="1"/>
        <v>1.1500000000000001</v>
      </c>
      <c r="CZ20" s="56">
        <f t="shared" si="1"/>
        <v>1.1500000000000001</v>
      </c>
      <c r="DA20" s="56">
        <f t="shared" si="1"/>
        <v>1.1500000000000001</v>
      </c>
      <c r="DB20" s="56">
        <f t="shared" si="1"/>
        <v>1.1500000000000001</v>
      </c>
      <c r="DC20" s="56">
        <f t="shared" si="1"/>
        <v>1.1500000000000001</v>
      </c>
      <c r="DD20" s="56">
        <f t="shared" si="1"/>
        <v>1.1500000000000001</v>
      </c>
      <c r="DE20" s="56">
        <f t="shared" si="1"/>
        <v>1.1500000000000001</v>
      </c>
      <c r="DF20" s="56">
        <f t="shared" si="1"/>
        <v>1.1500000000000001</v>
      </c>
      <c r="DG20" s="56">
        <f t="shared" si="1"/>
        <v>1.1500000000000001</v>
      </c>
      <c r="DH20" s="56">
        <f t="shared" si="1"/>
        <v>1.1500000000000001</v>
      </c>
      <c r="DI20" s="56">
        <f t="shared" si="1"/>
        <v>1.1500000000000001</v>
      </c>
      <c r="DJ20" s="56">
        <f t="shared" si="1"/>
        <v>1.1500000000000001</v>
      </c>
      <c r="DK20" s="56">
        <f t="shared" si="1"/>
        <v>1.1500000000000001</v>
      </c>
      <c r="DL20" s="56">
        <f t="shared" si="1"/>
        <v>1.1500000000000001</v>
      </c>
      <c r="DM20" s="56">
        <f t="shared" si="1"/>
        <v>1.1500000000000001</v>
      </c>
      <c r="DN20" s="56">
        <f t="shared" si="1"/>
        <v>1.1500000000000001</v>
      </c>
      <c r="DO20" s="56">
        <f t="shared" si="1"/>
        <v>1.1500000000000001</v>
      </c>
      <c r="DP20" s="56">
        <f t="shared" si="1"/>
        <v>1.1500000000000001</v>
      </c>
      <c r="DQ20" s="56">
        <f t="shared" si="1"/>
        <v>1.1500000000000001</v>
      </c>
      <c r="DR20" s="56">
        <f t="shared" si="1"/>
        <v>1.1500000000000001</v>
      </c>
      <c r="DS20" s="56">
        <f t="shared" si="1"/>
        <v>1.2000000000000002</v>
      </c>
      <c r="DT20" s="56">
        <f t="shared" si="1"/>
        <v>1.2000000000000002</v>
      </c>
      <c r="DU20" s="56">
        <f t="shared" si="1"/>
        <v>1.2000000000000002</v>
      </c>
      <c r="DV20" s="56">
        <f t="shared" si="1"/>
        <v>1.2000000000000002</v>
      </c>
      <c r="DW20" s="56">
        <f t="shared" si="1"/>
        <v>1.2000000000000002</v>
      </c>
      <c r="DX20" s="56">
        <f t="shared" si="1"/>
        <v>1.2000000000000002</v>
      </c>
      <c r="DY20" s="56">
        <f t="shared" si="1"/>
        <v>1.2000000000000002</v>
      </c>
      <c r="DZ20" s="56">
        <f t="shared" si="1"/>
        <v>1.2000000000000002</v>
      </c>
      <c r="EA20" s="56">
        <f t="shared" si="1"/>
        <v>1.2000000000000002</v>
      </c>
      <c r="EB20" s="56">
        <f t="shared" si="1"/>
        <v>1.2000000000000002</v>
      </c>
      <c r="EC20" s="56">
        <f t="shared" ref="EC20:FZ20" si="2">EB20+EC19</f>
        <v>1.2000000000000002</v>
      </c>
      <c r="ED20" s="56">
        <f t="shared" si="2"/>
        <v>1.2000000000000002</v>
      </c>
      <c r="EE20" s="56">
        <f t="shared" si="2"/>
        <v>1.2000000000000002</v>
      </c>
      <c r="EF20" s="56">
        <f t="shared" si="2"/>
        <v>1.2000000000000002</v>
      </c>
      <c r="EG20" s="56">
        <f t="shared" si="2"/>
        <v>1.2000000000000002</v>
      </c>
      <c r="EH20" s="56">
        <f t="shared" si="2"/>
        <v>1.2000000000000002</v>
      </c>
      <c r="EI20" s="56">
        <f t="shared" si="2"/>
        <v>1.2000000000000002</v>
      </c>
      <c r="EJ20" s="56">
        <f t="shared" si="2"/>
        <v>1.2000000000000002</v>
      </c>
      <c r="EK20" s="56">
        <f t="shared" si="2"/>
        <v>1.2000000000000002</v>
      </c>
      <c r="EL20" s="56">
        <f t="shared" si="2"/>
        <v>1.2000000000000002</v>
      </c>
      <c r="EM20" s="56">
        <f t="shared" si="2"/>
        <v>1.2000000000000002</v>
      </c>
      <c r="EN20" s="56">
        <f t="shared" si="2"/>
        <v>1.2000000000000002</v>
      </c>
      <c r="EO20" s="56">
        <f t="shared" si="2"/>
        <v>1.2000000000000002</v>
      </c>
      <c r="EP20" s="56">
        <f t="shared" si="2"/>
        <v>1.2000000000000002</v>
      </c>
      <c r="EQ20" s="56">
        <f t="shared" si="2"/>
        <v>1.2500000000000002</v>
      </c>
      <c r="ER20" s="56">
        <f t="shared" si="2"/>
        <v>1.2500000000000002</v>
      </c>
      <c r="ES20" s="56">
        <f t="shared" si="2"/>
        <v>1.2500000000000002</v>
      </c>
      <c r="ET20" s="56">
        <f t="shared" si="2"/>
        <v>1.2500000000000002</v>
      </c>
      <c r="EU20" s="56">
        <f t="shared" si="2"/>
        <v>1.2500000000000002</v>
      </c>
      <c r="EV20" s="56">
        <f t="shared" si="2"/>
        <v>1.2500000000000002</v>
      </c>
      <c r="EW20" s="56">
        <f t="shared" si="2"/>
        <v>1.2500000000000002</v>
      </c>
      <c r="EX20" s="56">
        <f t="shared" si="2"/>
        <v>1.2500000000000002</v>
      </c>
      <c r="EY20" s="56">
        <f t="shared" si="2"/>
        <v>1.2500000000000002</v>
      </c>
      <c r="EZ20" s="56">
        <f t="shared" si="2"/>
        <v>1.2500000000000002</v>
      </c>
      <c r="FA20" s="56">
        <f t="shared" si="2"/>
        <v>1.2500000000000002</v>
      </c>
      <c r="FB20" s="56">
        <f t="shared" si="2"/>
        <v>1.2500000000000002</v>
      </c>
      <c r="FC20" s="56">
        <f t="shared" si="2"/>
        <v>1.2500000000000002</v>
      </c>
      <c r="FD20" s="56">
        <f t="shared" si="2"/>
        <v>1.2500000000000002</v>
      </c>
      <c r="FE20" s="56">
        <f t="shared" si="2"/>
        <v>1.2500000000000002</v>
      </c>
      <c r="FF20" s="56">
        <f t="shared" si="2"/>
        <v>1.2500000000000002</v>
      </c>
      <c r="FG20" s="56">
        <f t="shared" si="2"/>
        <v>1.2500000000000002</v>
      </c>
      <c r="FH20" s="56">
        <f t="shared" si="2"/>
        <v>1.2500000000000002</v>
      </c>
      <c r="FI20" s="56">
        <f t="shared" si="2"/>
        <v>1.2500000000000002</v>
      </c>
      <c r="FJ20" s="56">
        <f t="shared" si="2"/>
        <v>1.2500000000000002</v>
      </c>
      <c r="FK20" s="56">
        <f t="shared" si="2"/>
        <v>1.2500000000000002</v>
      </c>
      <c r="FL20" s="56">
        <f t="shared" si="2"/>
        <v>1.2500000000000002</v>
      </c>
      <c r="FM20" s="56">
        <f t="shared" si="2"/>
        <v>1.2500000000000002</v>
      </c>
      <c r="FN20" s="56">
        <f t="shared" si="2"/>
        <v>1.2500000000000002</v>
      </c>
      <c r="FO20" s="56">
        <f t="shared" si="2"/>
        <v>1.3000000000000003</v>
      </c>
      <c r="FP20" s="56">
        <f t="shared" si="2"/>
        <v>1.3000000000000003</v>
      </c>
      <c r="FQ20" s="56">
        <f t="shared" si="2"/>
        <v>1.3000000000000003</v>
      </c>
      <c r="FR20" s="56">
        <f t="shared" si="2"/>
        <v>1.3000000000000003</v>
      </c>
      <c r="FS20" s="56">
        <f t="shared" si="2"/>
        <v>1.3000000000000003</v>
      </c>
      <c r="FT20" s="56">
        <f t="shared" si="2"/>
        <v>1.3000000000000003</v>
      </c>
      <c r="FU20" s="56">
        <f t="shared" si="2"/>
        <v>1.3000000000000003</v>
      </c>
      <c r="FV20" s="56">
        <f t="shared" si="2"/>
        <v>1.3000000000000003</v>
      </c>
      <c r="FW20" s="56">
        <f t="shared" si="2"/>
        <v>1.3000000000000003</v>
      </c>
      <c r="FX20" s="56">
        <f t="shared" si="2"/>
        <v>1.3000000000000003</v>
      </c>
      <c r="FY20" s="56">
        <f t="shared" si="2"/>
        <v>1.3000000000000003</v>
      </c>
      <c r="FZ20" s="56">
        <f t="shared" si="2"/>
        <v>1.3000000000000003</v>
      </c>
      <c r="GA20" s="56">
        <f t="shared" ref="GA20" si="3">FZ20+GA19</f>
        <v>1.3000000000000003</v>
      </c>
      <c r="GB20" s="56">
        <f t="shared" ref="GB20" si="4">GA20+GB19</f>
        <v>1.3000000000000003</v>
      </c>
      <c r="GC20" s="56">
        <f t="shared" ref="GC20" si="5">GB20+GC19</f>
        <v>1.3000000000000003</v>
      </c>
      <c r="GD20" s="56">
        <f t="shared" ref="GD20" si="6">GC20+GD19</f>
        <v>1.3000000000000003</v>
      </c>
      <c r="GE20" s="56">
        <f t="shared" ref="GE20" si="7">GD20+GE19</f>
        <v>1.3000000000000003</v>
      </c>
      <c r="GF20" s="56">
        <f t="shared" ref="GF20" si="8">GE20+GF19</f>
        <v>1.3000000000000003</v>
      </c>
      <c r="GG20" s="56">
        <f t="shared" ref="GG20" si="9">GF20+GG19</f>
        <v>1.3000000000000003</v>
      </c>
      <c r="GH20" s="56">
        <f t="shared" ref="GH20" si="10">GG20+GH19</f>
        <v>1.3000000000000003</v>
      </c>
      <c r="GI20" s="56">
        <f t="shared" ref="GI20" si="11">GH20+GI19</f>
        <v>1.3000000000000003</v>
      </c>
      <c r="GJ20" s="56">
        <f t="shared" ref="GJ20" si="12">GI20+GJ19</f>
        <v>1.3000000000000003</v>
      </c>
      <c r="GK20" s="56">
        <f t="shared" ref="GK20" si="13">GJ20+GK19</f>
        <v>1.3000000000000003</v>
      </c>
      <c r="GL20" s="56">
        <f t="shared" ref="GL20" si="14">GK20+GL19</f>
        <v>1.3000000000000003</v>
      </c>
      <c r="GM20" s="56">
        <f t="shared" ref="GM20" si="15">GL20+GM19</f>
        <v>1.3500000000000003</v>
      </c>
      <c r="GN20" s="56">
        <f t="shared" ref="GN20" si="16">GM20+GN19</f>
        <v>1.3500000000000003</v>
      </c>
      <c r="GO20" s="56">
        <f t="shared" ref="GO20" si="17">GN20+GO19</f>
        <v>1.3500000000000003</v>
      </c>
      <c r="GP20" s="56">
        <f t="shared" ref="GP20" si="18">GO20+GP19</f>
        <v>1.3500000000000003</v>
      </c>
      <c r="GQ20" s="56">
        <f t="shared" ref="GQ20" si="19">GP20+GQ19</f>
        <v>1.3500000000000003</v>
      </c>
      <c r="GR20" s="56">
        <f t="shared" ref="GR20" si="20">GQ20+GR19</f>
        <v>1.3500000000000003</v>
      </c>
      <c r="GS20" s="56">
        <f t="shared" ref="GS20" si="21">GR20+GS19</f>
        <v>1.3500000000000003</v>
      </c>
      <c r="GT20" s="56">
        <f t="shared" ref="GT20" si="22">GS20+GT19</f>
        <v>1.3500000000000003</v>
      </c>
      <c r="GU20" s="56">
        <f t="shared" ref="GU20" si="23">GT20+GU19</f>
        <v>1.3500000000000003</v>
      </c>
      <c r="GV20" s="56">
        <f t="shared" ref="GV20" si="24">GU20+GV19</f>
        <v>1.3500000000000003</v>
      </c>
      <c r="GW20" s="56">
        <f t="shared" ref="GW20" si="25">GV20+GW19</f>
        <v>1.3500000000000003</v>
      </c>
      <c r="GX20" s="56">
        <f t="shared" ref="GX20" si="26">GW20+GX19</f>
        <v>1.3500000000000003</v>
      </c>
      <c r="GY20" s="56">
        <f t="shared" ref="GY20" si="27">GX20+GY19</f>
        <v>1.3500000000000003</v>
      </c>
      <c r="GZ20" s="56">
        <f t="shared" ref="GZ20" si="28">GY20+GZ19</f>
        <v>1.3500000000000003</v>
      </c>
      <c r="HA20" s="56">
        <f t="shared" ref="HA20" si="29">GZ20+HA19</f>
        <v>1.3500000000000003</v>
      </c>
      <c r="HB20" s="56">
        <f t="shared" ref="HB20" si="30">HA20+HB19</f>
        <v>1.3500000000000003</v>
      </c>
      <c r="HC20" s="56">
        <f t="shared" ref="HC20" si="31">HB20+HC19</f>
        <v>1.3500000000000003</v>
      </c>
      <c r="HD20" s="56">
        <f t="shared" ref="HD20" si="32">HC20+HD19</f>
        <v>1.3500000000000003</v>
      </c>
      <c r="HE20" s="56">
        <f t="shared" ref="HE20" si="33">HD20+HE19</f>
        <v>1.3500000000000003</v>
      </c>
      <c r="HF20" s="56">
        <f t="shared" ref="HF20" si="34">HE20+HF19</f>
        <v>1.3500000000000003</v>
      </c>
      <c r="HG20" s="56">
        <f t="shared" ref="HG20" si="35">HF20+HG19</f>
        <v>1.3500000000000003</v>
      </c>
      <c r="HH20" s="56">
        <f t="shared" ref="HH20" si="36">HG20+HH19</f>
        <v>1.3500000000000003</v>
      </c>
      <c r="HI20" s="56">
        <f t="shared" ref="HI20" si="37">HH20+HI19</f>
        <v>1.3500000000000003</v>
      </c>
      <c r="HJ20" s="56">
        <f t="shared" ref="HJ20" si="38">HI20+HJ19</f>
        <v>1.3500000000000003</v>
      </c>
      <c r="HK20" s="56">
        <f t="shared" ref="HK20" si="39">HJ20+HK19</f>
        <v>1.4000000000000004</v>
      </c>
      <c r="HL20" s="56">
        <f t="shared" ref="HL20" si="40">HK20+HL19</f>
        <v>1.4000000000000004</v>
      </c>
      <c r="HM20" s="56">
        <f t="shared" ref="HM20" si="41">HL20+HM19</f>
        <v>1.4000000000000004</v>
      </c>
      <c r="HN20" s="56">
        <f t="shared" ref="HN20" si="42">HM20+HN19</f>
        <v>1.4000000000000004</v>
      </c>
      <c r="HO20" s="56">
        <f t="shared" ref="HO20" si="43">HN20+HO19</f>
        <v>1.4000000000000004</v>
      </c>
      <c r="HP20" s="56">
        <f t="shared" ref="HP20" si="44">HO20+HP19</f>
        <v>1.4000000000000004</v>
      </c>
      <c r="HQ20" s="56">
        <f t="shared" ref="HQ20" si="45">HP20+HQ19</f>
        <v>1.4000000000000004</v>
      </c>
      <c r="HR20" s="56">
        <f t="shared" ref="HR20" si="46">HQ20+HR19</f>
        <v>1.4000000000000004</v>
      </c>
      <c r="HS20" s="56">
        <f t="shared" ref="HS20" si="47">HR20+HS19</f>
        <v>1.4000000000000004</v>
      </c>
      <c r="HT20" s="56">
        <f t="shared" ref="HT20" si="48">HS20+HT19</f>
        <v>1.4000000000000004</v>
      </c>
      <c r="HU20" s="56">
        <f t="shared" ref="HU20" si="49">HT20+HU19</f>
        <v>1.4000000000000004</v>
      </c>
      <c r="HV20" s="56">
        <f t="shared" ref="HV20" si="50">HU20+HV19</f>
        <v>1.4000000000000004</v>
      </c>
      <c r="HW20" s="56">
        <f t="shared" ref="HW20" si="51">HV20+HW19</f>
        <v>1.4000000000000004</v>
      </c>
      <c r="HX20" s="56">
        <f t="shared" ref="HX20" si="52">HW20+HX19</f>
        <v>1.4000000000000004</v>
      </c>
      <c r="HY20" s="56">
        <f t="shared" ref="HY20" si="53">HX20+HY19</f>
        <v>1.4000000000000004</v>
      </c>
      <c r="HZ20" s="56">
        <f t="shared" ref="HZ20" si="54">HY20+HZ19</f>
        <v>1.4000000000000004</v>
      </c>
      <c r="IA20" s="56">
        <f t="shared" ref="IA20" si="55">HZ20+IA19</f>
        <v>1.4000000000000004</v>
      </c>
      <c r="IB20" s="56">
        <f t="shared" ref="IB20" si="56">IA20+IB19</f>
        <v>1.4000000000000004</v>
      </c>
      <c r="IC20" s="56">
        <f t="shared" ref="IC20" si="57">IB20+IC19</f>
        <v>1.4000000000000004</v>
      </c>
      <c r="ID20" s="56">
        <f t="shared" ref="ID20" si="58">IC20+ID19</f>
        <v>1.4000000000000004</v>
      </c>
      <c r="IE20" s="56">
        <f t="shared" ref="IE20" si="59">ID20+IE19</f>
        <v>1.4000000000000004</v>
      </c>
      <c r="IF20" s="56">
        <f t="shared" ref="IF20" si="60">IE20+IF19</f>
        <v>1.4000000000000004</v>
      </c>
      <c r="IG20" s="56">
        <f t="shared" ref="IG20" si="61">IF20+IG19</f>
        <v>1.4000000000000004</v>
      </c>
      <c r="IH20" s="56">
        <f t="shared" ref="IH20" si="62">IG20+IH19</f>
        <v>1.4000000000000004</v>
      </c>
    </row>
    <row r="22" spans="1:242" x14ac:dyDescent="0.45">
      <c r="A22" s="21" t="s">
        <v>330</v>
      </c>
      <c r="B22" s="21"/>
      <c r="C22" s="21" t="s">
        <v>475</v>
      </c>
      <c r="D22" s="21" t="s">
        <v>475</v>
      </c>
      <c r="E22" s="21" t="s">
        <v>475</v>
      </c>
      <c r="F22" s="21" t="s">
        <v>475</v>
      </c>
      <c r="G22" s="21" t="s">
        <v>475</v>
      </c>
      <c r="H22" s="21" t="s">
        <v>475</v>
      </c>
      <c r="I22" s="21" t="s">
        <v>475</v>
      </c>
      <c r="J22" s="21" t="s">
        <v>475</v>
      </c>
      <c r="K22" s="21" t="s">
        <v>475</v>
      </c>
      <c r="L22" s="21" t="s">
        <v>475</v>
      </c>
      <c r="M22" s="21" t="s">
        <v>475</v>
      </c>
      <c r="N22" s="21" t="s">
        <v>475</v>
      </c>
      <c r="O22" s="21" t="s">
        <v>475</v>
      </c>
      <c r="P22" s="21" t="s">
        <v>475</v>
      </c>
      <c r="Q22" s="21" t="s">
        <v>475</v>
      </c>
      <c r="R22" s="21" t="s">
        <v>475</v>
      </c>
      <c r="S22" s="21" t="s">
        <v>475</v>
      </c>
      <c r="T22" s="21" t="s">
        <v>475</v>
      </c>
      <c r="U22" s="21" t="s">
        <v>475</v>
      </c>
      <c r="V22" s="21" t="s">
        <v>475</v>
      </c>
      <c r="W22" s="21" t="s">
        <v>475</v>
      </c>
      <c r="X22" s="21" t="s">
        <v>475</v>
      </c>
      <c r="Y22" s="21" t="s">
        <v>475</v>
      </c>
      <c r="Z22" s="21" t="s">
        <v>475</v>
      </c>
      <c r="AA22" s="21" t="s">
        <v>475</v>
      </c>
      <c r="AB22" s="21" t="s">
        <v>475</v>
      </c>
      <c r="AC22" s="21" t="s">
        <v>475</v>
      </c>
      <c r="AD22" s="21" t="s">
        <v>475</v>
      </c>
      <c r="AE22" s="21" t="s">
        <v>475</v>
      </c>
      <c r="AF22" s="21" t="s">
        <v>475</v>
      </c>
      <c r="AG22" s="21" t="s">
        <v>475</v>
      </c>
      <c r="AH22" s="21" t="s">
        <v>475</v>
      </c>
      <c r="AI22" s="21" t="s">
        <v>475</v>
      </c>
      <c r="AJ22" s="21" t="s">
        <v>475</v>
      </c>
      <c r="AK22" s="21" t="s">
        <v>475</v>
      </c>
      <c r="AL22" s="21" t="s">
        <v>475</v>
      </c>
      <c r="AM22" s="21" t="s">
        <v>475</v>
      </c>
      <c r="AN22" s="21" t="s">
        <v>475</v>
      </c>
      <c r="AO22" s="21" t="s">
        <v>475</v>
      </c>
      <c r="AP22" s="21" t="s">
        <v>475</v>
      </c>
      <c r="AQ22" s="21" t="s">
        <v>475</v>
      </c>
      <c r="AR22" s="21" t="s">
        <v>475</v>
      </c>
      <c r="AS22" s="21" t="s">
        <v>475</v>
      </c>
      <c r="AT22" s="21" t="s">
        <v>475</v>
      </c>
      <c r="AU22" s="21" t="s">
        <v>475</v>
      </c>
      <c r="AV22" s="21" t="s">
        <v>475</v>
      </c>
      <c r="AW22" s="21" t="s">
        <v>475</v>
      </c>
      <c r="AX22" s="21" t="s">
        <v>475</v>
      </c>
      <c r="AY22" s="21" t="s">
        <v>475</v>
      </c>
      <c r="AZ22" s="21" t="s">
        <v>475</v>
      </c>
      <c r="BA22" s="21" t="s">
        <v>475</v>
      </c>
      <c r="BB22" s="21" t="s">
        <v>475</v>
      </c>
      <c r="BC22" s="21" t="s">
        <v>475</v>
      </c>
      <c r="BD22" s="21" t="s">
        <v>475</v>
      </c>
      <c r="BE22" s="21" t="s">
        <v>475</v>
      </c>
      <c r="BF22" s="21" t="s">
        <v>475</v>
      </c>
      <c r="BG22" s="21" t="s">
        <v>475</v>
      </c>
      <c r="BH22" s="21" t="s">
        <v>475</v>
      </c>
      <c r="BI22" s="21" t="s">
        <v>475</v>
      </c>
      <c r="BJ22" s="21" t="s">
        <v>475</v>
      </c>
      <c r="BK22" s="21" t="s">
        <v>475</v>
      </c>
      <c r="BL22" s="21" t="s">
        <v>475</v>
      </c>
      <c r="BM22" s="21" t="s">
        <v>475</v>
      </c>
      <c r="BN22" s="21" t="s">
        <v>475</v>
      </c>
      <c r="BO22" s="21" t="s">
        <v>475</v>
      </c>
      <c r="BP22" s="21" t="s">
        <v>475</v>
      </c>
      <c r="BQ22" s="21" t="s">
        <v>475</v>
      </c>
      <c r="BR22" s="21" t="s">
        <v>475</v>
      </c>
      <c r="BS22" s="21" t="s">
        <v>475</v>
      </c>
      <c r="BT22" s="21" t="s">
        <v>475</v>
      </c>
      <c r="BU22" s="21" t="s">
        <v>475</v>
      </c>
      <c r="BV22" s="21" t="s">
        <v>475</v>
      </c>
      <c r="BW22" s="21" t="s">
        <v>475</v>
      </c>
      <c r="BX22" s="21" t="s">
        <v>475</v>
      </c>
      <c r="BY22" s="21" t="s">
        <v>475</v>
      </c>
      <c r="BZ22" s="21" t="s">
        <v>475</v>
      </c>
      <c r="CA22" s="21" t="s">
        <v>475</v>
      </c>
      <c r="CB22" s="21" t="s">
        <v>475</v>
      </c>
      <c r="CC22" s="21" t="s">
        <v>475</v>
      </c>
      <c r="CD22" s="21" t="s">
        <v>475</v>
      </c>
      <c r="CE22" s="21" t="s">
        <v>475</v>
      </c>
      <c r="CF22" s="21" t="s">
        <v>475</v>
      </c>
      <c r="CG22" s="21" t="s">
        <v>475</v>
      </c>
      <c r="CH22" s="21" t="s">
        <v>475</v>
      </c>
      <c r="CI22" s="21" t="s">
        <v>475</v>
      </c>
      <c r="CJ22" s="21" t="s">
        <v>475</v>
      </c>
      <c r="CK22" s="21" t="s">
        <v>475</v>
      </c>
      <c r="CL22" s="21" t="s">
        <v>475</v>
      </c>
      <c r="CM22" s="21" t="s">
        <v>475</v>
      </c>
      <c r="CN22" s="21" t="s">
        <v>475</v>
      </c>
      <c r="CO22" s="21" t="s">
        <v>475</v>
      </c>
      <c r="CP22" s="21" t="s">
        <v>475</v>
      </c>
      <c r="CQ22" s="21" t="s">
        <v>475</v>
      </c>
      <c r="CR22" s="21" t="s">
        <v>475</v>
      </c>
      <c r="CS22" s="21" t="s">
        <v>475</v>
      </c>
      <c r="CT22" s="21" t="s">
        <v>475</v>
      </c>
      <c r="CU22" s="21" t="s">
        <v>475</v>
      </c>
      <c r="CV22" s="21" t="s">
        <v>475</v>
      </c>
      <c r="CW22" s="21" t="s">
        <v>475</v>
      </c>
      <c r="CX22" s="21" t="s">
        <v>475</v>
      </c>
      <c r="CY22" s="21" t="s">
        <v>475</v>
      </c>
      <c r="CZ22" s="21" t="s">
        <v>475</v>
      </c>
      <c r="DA22" s="21" t="s">
        <v>475</v>
      </c>
      <c r="DB22" s="21" t="s">
        <v>475</v>
      </c>
      <c r="DC22" s="21" t="s">
        <v>475</v>
      </c>
      <c r="DD22" s="21" t="s">
        <v>475</v>
      </c>
      <c r="DE22" s="21" t="s">
        <v>475</v>
      </c>
      <c r="DF22" s="21" t="s">
        <v>475</v>
      </c>
      <c r="DG22" s="21" t="s">
        <v>475</v>
      </c>
      <c r="DH22" s="21" t="s">
        <v>475</v>
      </c>
      <c r="DI22" s="21" t="s">
        <v>475</v>
      </c>
      <c r="DJ22" s="21" t="s">
        <v>475</v>
      </c>
      <c r="DK22" s="21" t="s">
        <v>475</v>
      </c>
      <c r="DL22" s="21" t="s">
        <v>475</v>
      </c>
      <c r="DM22" s="21" t="s">
        <v>475</v>
      </c>
      <c r="DN22" s="21" t="s">
        <v>475</v>
      </c>
      <c r="DO22" s="21" t="s">
        <v>475</v>
      </c>
      <c r="DP22" s="21" t="s">
        <v>475</v>
      </c>
      <c r="DQ22" s="21" t="s">
        <v>475</v>
      </c>
      <c r="DR22" s="21" t="s">
        <v>475</v>
      </c>
      <c r="DS22" s="21" t="s">
        <v>475</v>
      </c>
      <c r="DT22" s="21" t="s">
        <v>475</v>
      </c>
      <c r="DU22" s="21" t="s">
        <v>475</v>
      </c>
      <c r="DV22" s="21" t="s">
        <v>475</v>
      </c>
      <c r="DW22" s="21" t="s">
        <v>475</v>
      </c>
      <c r="DX22" s="21" t="s">
        <v>475</v>
      </c>
      <c r="DY22" s="21" t="s">
        <v>475</v>
      </c>
      <c r="DZ22" s="21" t="s">
        <v>475</v>
      </c>
      <c r="EA22" s="21" t="s">
        <v>475</v>
      </c>
      <c r="EB22" s="21" t="s">
        <v>475</v>
      </c>
      <c r="EC22" s="21" t="s">
        <v>475</v>
      </c>
      <c r="ED22" s="21" t="s">
        <v>475</v>
      </c>
      <c r="EE22" s="21" t="s">
        <v>475</v>
      </c>
      <c r="EF22" s="21" t="s">
        <v>475</v>
      </c>
      <c r="EG22" s="21" t="s">
        <v>475</v>
      </c>
      <c r="EH22" s="21" t="s">
        <v>475</v>
      </c>
      <c r="EI22" s="21" t="s">
        <v>475</v>
      </c>
      <c r="EJ22" s="21" t="s">
        <v>475</v>
      </c>
      <c r="EK22" s="21" t="s">
        <v>475</v>
      </c>
      <c r="EL22" s="21" t="s">
        <v>475</v>
      </c>
      <c r="EM22" s="21" t="s">
        <v>475</v>
      </c>
      <c r="EN22" s="21" t="s">
        <v>475</v>
      </c>
      <c r="EO22" s="21" t="s">
        <v>475</v>
      </c>
      <c r="EP22" s="21" t="s">
        <v>475</v>
      </c>
      <c r="EQ22" s="21" t="s">
        <v>475</v>
      </c>
      <c r="ER22" s="21" t="s">
        <v>475</v>
      </c>
      <c r="ES22" s="21" t="s">
        <v>475</v>
      </c>
      <c r="ET22" s="21" t="s">
        <v>475</v>
      </c>
      <c r="EU22" s="21" t="s">
        <v>475</v>
      </c>
      <c r="EV22" s="21" t="s">
        <v>475</v>
      </c>
      <c r="EW22" s="21" t="s">
        <v>475</v>
      </c>
      <c r="EX22" s="21" t="s">
        <v>475</v>
      </c>
      <c r="EY22" s="21" t="s">
        <v>475</v>
      </c>
      <c r="EZ22" s="21" t="s">
        <v>475</v>
      </c>
      <c r="FA22" s="21" t="s">
        <v>475</v>
      </c>
      <c r="FB22" s="21" t="s">
        <v>475</v>
      </c>
      <c r="FC22" s="21" t="s">
        <v>475</v>
      </c>
      <c r="FD22" s="21" t="s">
        <v>475</v>
      </c>
      <c r="FE22" s="21" t="s">
        <v>475</v>
      </c>
      <c r="FF22" s="21" t="s">
        <v>475</v>
      </c>
      <c r="FG22" s="21" t="s">
        <v>475</v>
      </c>
      <c r="FH22" s="21" t="s">
        <v>475</v>
      </c>
      <c r="FI22" s="21" t="s">
        <v>475</v>
      </c>
      <c r="FJ22" s="21" t="s">
        <v>475</v>
      </c>
      <c r="FK22" s="21" t="s">
        <v>475</v>
      </c>
      <c r="FL22" s="21" t="s">
        <v>475</v>
      </c>
      <c r="FM22" s="21" t="s">
        <v>475</v>
      </c>
      <c r="FN22" s="21" t="s">
        <v>475</v>
      </c>
      <c r="FO22" s="21" t="s">
        <v>475</v>
      </c>
      <c r="FP22" s="21" t="s">
        <v>475</v>
      </c>
      <c r="FQ22" s="21" t="s">
        <v>475</v>
      </c>
      <c r="FR22" s="21" t="s">
        <v>475</v>
      </c>
      <c r="FS22" s="21" t="s">
        <v>475</v>
      </c>
      <c r="FT22" s="21" t="s">
        <v>475</v>
      </c>
      <c r="FU22" s="21" t="s">
        <v>475</v>
      </c>
      <c r="FV22" s="21" t="s">
        <v>475</v>
      </c>
      <c r="FW22" s="21" t="s">
        <v>475</v>
      </c>
      <c r="FX22" s="21" t="s">
        <v>475</v>
      </c>
      <c r="FY22" s="21" t="s">
        <v>475</v>
      </c>
      <c r="FZ22" s="21" t="s">
        <v>475</v>
      </c>
      <c r="GA22" s="21" t="s">
        <v>475</v>
      </c>
      <c r="GB22" s="21" t="s">
        <v>475</v>
      </c>
      <c r="GC22" s="21" t="s">
        <v>475</v>
      </c>
      <c r="GD22" s="21" t="s">
        <v>475</v>
      </c>
      <c r="GE22" s="21" t="s">
        <v>475</v>
      </c>
      <c r="GF22" s="21" t="s">
        <v>475</v>
      </c>
      <c r="GG22" s="21" t="s">
        <v>475</v>
      </c>
      <c r="GH22" s="21" t="s">
        <v>475</v>
      </c>
      <c r="GI22" s="21" t="s">
        <v>475</v>
      </c>
      <c r="GJ22" s="21" t="s">
        <v>475</v>
      </c>
      <c r="GK22" s="21" t="s">
        <v>475</v>
      </c>
      <c r="GL22" s="21" t="s">
        <v>475</v>
      </c>
      <c r="GM22" s="21" t="s">
        <v>475</v>
      </c>
      <c r="GN22" s="21" t="s">
        <v>475</v>
      </c>
      <c r="GO22" s="21" t="s">
        <v>475</v>
      </c>
      <c r="GP22" s="21" t="s">
        <v>475</v>
      </c>
      <c r="GQ22" s="21" t="s">
        <v>475</v>
      </c>
      <c r="GR22" s="21" t="s">
        <v>475</v>
      </c>
      <c r="GS22" s="21" t="s">
        <v>475</v>
      </c>
      <c r="GT22" s="21" t="s">
        <v>475</v>
      </c>
      <c r="GU22" s="21" t="s">
        <v>475</v>
      </c>
      <c r="GV22" s="21" t="s">
        <v>475</v>
      </c>
      <c r="GW22" s="21" t="s">
        <v>475</v>
      </c>
      <c r="GX22" s="21" t="s">
        <v>475</v>
      </c>
      <c r="GY22" s="21" t="s">
        <v>475</v>
      </c>
      <c r="GZ22" s="21" t="s">
        <v>475</v>
      </c>
      <c r="HA22" s="21" t="s">
        <v>475</v>
      </c>
      <c r="HB22" s="21" t="s">
        <v>475</v>
      </c>
      <c r="HC22" s="21" t="s">
        <v>475</v>
      </c>
      <c r="HD22" s="21" t="s">
        <v>475</v>
      </c>
      <c r="HE22" s="21" t="s">
        <v>475</v>
      </c>
      <c r="HF22" s="21" t="s">
        <v>475</v>
      </c>
      <c r="HG22" s="21" t="s">
        <v>475</v>
      </c>
      <c r="HH22" s="21" t="s">
        <v>475</v>
      </c>
      <c r="HI22" s="21" t="s">
        <v>475</v>
      </c>
      <c r="HJ22" s="21" t="s">
        <v>475</v>
      </c>
      <c r="HK22" s="21" t="s">
        <v>475</v>
      </c>
      <c r="HL22" s="21" t="s">
        <v>475</v>
      </c>
      <c r="HM22" s="21" t="s">
        <v>475</v>
      </c>
      <c r="HN22" s="21" t="s">
        <v>475</v>
      </c>
      <c r="HO22" s="21" t="s">
        <v>475</v>
      </c>
      <c r="HP22" s="21" t="s">
        <v>475</v>
      </c>
      <c r="HQ22" s="21" t="s">
        <v>475</v>
      </c>
      <c r="HR22" s="21" t="s">
        <v>475</v>
      </c>
      <c r="HS22" s="21" t="s">
        <v>475</v>
      </c>
      <c r="HT22" s="21" t="s">
        <v>475</v>
      </c>
      <c r="HU22" s="21" t="s">
        <v>475</v>
      </c>
      <c r="HV22" s="21" t="s">
        <v>475</v>
      </c>
      <c r="HW22" s="21" t="s">
        <v>475</v>
      </c>
      <c r="HX22" s="21" t="s">
        <v>475</v>
      </c>
      <c r="HY22" s="21" t="s">
        <v>475</v>
      </c>
      <c r="HZ22" s="21" t="s">
        <v>475</v>
      </c>
      <c r="IA22" s="21" t="s">
        <v>475</v>
      </c>
      <c r="IB22" s="21" t="s">
        <v>475</v>
      </c>
      <c r="IC22" s="21" t="s">
        <v>475</v>
      </c>
      <c r="ID22" s="21" t="s">
        <v>475</v>
      </c>
      <c r="IE22" s="21" t="s">
        <v>475</v>
      </c>
      <c r="IF22" s="21" t="s">
        <v>475</v>
      </c>
      <c r="IG22" s="21" t="s">
        <v>475</v>
      </c>
      <c r="IH22" s="21" t="s">
        <v>475</v>
      </c>
    </row>
    <row r="23" spans="1:242" x14ac:dyDescent="0.45">
      <c r="A23" s="57" t="s">
        <v>163</v>
      </c>
      <c r="B23" s="60"/>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4"/>
      <c r="GP23" s="64"/>
      <c r="GQ23" s="64"/>
      <c r="GR23" s="64"/>
      <c r="GS23" s="64"/>
      <c r="GT23" s="64"/>
      <c r="GU23" s="64"/>
      <c r="GV23" s="64"/>
      <c r="GW23" s="64"/>
      <c r="GX23" s="64"/>
      <c r="GY23" s="64"/>
      <c r="GZ23" s="64"/>
      <c r="HA23" s="64"/>
      <c r="HB23" s="64"/>
      <c r="HC23" s="64"/>
      <c r="HD23" s="64"/>
      <c r="HE23" s="64"/>
      <c r="HF23" s="64"/>
      <c r="HG23" s="64"/>
      <c r="HH23" s="64"/>
      <c r="HI23" s="64"/>
      <c r="HJ23" s="64"/>
      <c r="HK23" s="64"/>
      <c r="HL23" s="64"/>
      <c r="HM23" s="64"/>
      <c r="HN23" s="64"/>
      <c r="HO23" s="64"/>
      <c r="HP23" s="64"/>
      <c r="HQ23" s="64"/>
      <c r="HR23" s="64"/>
      <c r="HS23" s="64"/>
      <c r="HT23" s="64"/>
      <c r="HU23" s="64"/>
      <c r="HV23" s="64"/>
      <c r="HW23" s="64"/>
      <c r="HX23" s="64"/>
      <c r="HY23" s="64"/>
      <c r="HZ23" s="64"/>
      <c r="IA23" s="64"/>
      <c r="IB23" s="64"/>
      <c r="IC23" s="64"/>
      <c r="ID23" s="64"/>
      <c r="IE23" s="64"/>
      <c r="IF23" s="64"/>
      <c r="IG23" s="64"/>
      <c r="IH23" s="64"/>
    </row>
    <row r="24" spans="1:242" x14ac:dyDescent="0.45">
      <c r="A24" s="58" t="s">
        <v>198</v>
      </c>
      <c r="B24" s="61"/>
      <c r="C24" s="24">
        <f t="shared" ref="C24:AH24" si="63">CST_RENT_DRY*C$20</f>
        <v>45.625</v>
      </c>
      <c r="D24" s="24">
        <f t="shared" si="63"/>
        <v>45.625</v>
      </c>
      <c r="E24" s="24">
        <f t="shared" si="63"/>
        <v>45.625</v>
      </c>
      <c r="F24" s="24">
        <f t="shared" si="63"/>
        <v>45.625</v>
      </c>
      <c r="G24" s="24">
        <f t="shared" si="63"/>
        <v>45.625</v>
      </c>
      <c r="H24" s="24">
        <f t="shared" si="63"/>
        <v>45.625</v>
      </c>
      <c r="I24" s="24">
        <f t="shared" si="63"/>
        <v>45.625</v>
      </c>
      <c r="J24" s="24">
        <f t="shared" si="63"/>
        <v>45.625</v>
      </c>
      <c r="K24" s="24">
        <f t="shared" si="63"/>
        <v>45.625</v>
      </c>
      <c r="L24" s="24">
        <f t="shared" si="63"/>
        <v>45.625</v>
      </c>
      <c r="M24" s="24">
        <f t="shared" si="63"/>
        <v>45.625</v>
      </c>
      <c r="N24" s="24">
        <f t="shared" si="63"/>
        <v>45.625</v>
      </c>
      <c r="O24" s="24">
        <f t="shared" si="63"/>
        <v>45.625</v>
      </c>
      <c r="P24" s="24">
        <f t="shared" si="63"/>
        <v>45.625</v>
      </c>
      <c r="Q24" s="24">
        <f t="shared" si="63"/>
        <v>45.625</v>
      </c>
      <c r="R24" s="24">
        <f t="shared" si="63"/>
        <v>45.625</v>
      </c>
      <c r="S24" s="24">
        <f t="shared" si="63"/>
        <v>45.625</v>
      </c>
      <c r="T24" s="24">
        <f t="shared" si="63"/>
        <v>45.625</v>
      </c>
      <c r="U24" s="24">
        <f t="shared" si="63"/>
        <v>45.625</v>
      </c>
      <c r="V24" s="24">
        <f t="shared" si="63"/>
        <v>45.625</v>
      </c>
      <c r="W24" s="24">
        <f t="shared" si="63"/>
        <v>45.625</v>
      </c>
      <c r="X24" s="24">
        <f t="shared" si="63"/>
        <v>45.625</v>
      </c>
      <c r="Y24" s="24">
        <f t="shared" si="63"/>
        <v>45.625</v>
      </c>
      <c r="Z24" s="24">
        <f t="shared" si="63"/>
        <v>45.625</v>
      </c>
      <c r="AA24" s="24">
        <f t="shared" si="63"/>
        <v>45.625</v>
      </c>
      <c r="AB24" s="24">
        <f t="shared" si="63"/>
        <v>45.625</v>
      </c>
      <c r="AC24" s="24">
        <f t="shared" si="63"/>
        <v>45.625</v>
      </c>
      <c r="AD24" s="24">
        <f t="shared" si="63"/>
        <v>45.625</v>
      </c>
      <c r="AE24" s="24">
        <f t="shared" si="63"/>
        <v>45.625</v>
      </c>
      <c r="AF24" s="24">
        <f t="shared" si="63"/>
        <v>45.625</v>
      </c>
      <c r="AG24" s="24">
        <f t="shared" si="63"/>
        <v>45.625</v>
      </c>
      <c r="AH24" s="24">
        <f t="shared" si="63"/>
        <v>45.625</v>
      </c>
      <c r="AI24" s="24">
        <f t="shared" ref="AI24:BN24" si="64">CST_RENT_DRY*AI$20</f>
        <v>45.625</v>
      </c>
      <c r="AJ24" s="24">
        <f t="shared" si="64"/>
        <v>45.625</v>
      </c>
      <c r="AK24" s="24">
        <f t="shared" si="64"/>
        <v>45.625</v>
      </c>
      <c r="AL24" s="24">
        <f t="shared" si="64"/>
        <v>45.625</v>
      </c>
      <c r="AM24" s="24">
        <f t="shared" si="64"/>
        <v>45.625</v>
      </c>
      <c r="AN24" s="24">
        <f t="shared" si="64"/>
        <v>45.625</v>
      </c>
      <c r="AO24" s="24">
        <f t="shared" si="64"/>
        <v>45.625</v>
      </c>
      <c r="AP24" s="24">
        <f t="shared" si="64"/>
        <v>45.625</v>
      </c>
      <c r="AQ24" s="24">
        <f t="shared" si="64"/>
        <v>45.625</v>
      </c>
      <c r="AR24" s="24">
        <f t="shared" si="64"/>
        <v>45.625</v>
      </c>
      <c r="AS24" s="24">
        <f t="shared" si="64"/>
        <v>45.625</v>
      </c>
      <c r="AT24" s="24">
        <f t="shared" si="64"/>
        <v>45.625</v>
      </c>
      <c r="AU24" s="24">
        <f t="shared" si="64"/>
        <v>45.625</v>
      </c>
      <c r="AV24" s="24">
        <f t="shared" si="64"/>
        <v>45.625</v>
      </c>
      <c r="AW24" s="24">
        <f t="shared" si="64"/>
        <v>45.625</v>
      </c>
      <c r="AX24" s="24">
        <f t="shared" si="64"/>
        <v>45.625</v>
      </c>
      <c r="AY24" s="24">
        <f t="shared" si="64"/>
        <v>47.90625</v>
      </c>
      <c r="AZ24" s="24">
        <f t="shared" si="64"/>
        <v>47.90625</v>
      </c>
      <c r="BA24" s="24">
        <f t="shared" si="64"/>
        <v>47.90625</v>
      </c>
      <c r="BB24" s="24">
        <f t="shared" si="64"/>
        <v>47.90625</v>
      </c>
      <c r="BC24" s="24">
        <f t="shared" si="64"/>
        <v>47.90625</v>
      </c>
      <c r="BD24" s="24">
        <f t="shared" si="64"/>
        <v>47.90625</v>
      </c>
      <c r="BE24" s="24">
        <f t="shared" si="64"/>
        <v>47.90625</v>
      </c>
      <c r="BF24" s="24">
        <f t="shared" si="64"/>
        <v>47.90625</v>
      </c>
      <c r="BG24" s="24">
        <f t="shared" si="64"/>
        <v>47.90625</v>
      </c>
      <c r="BH24" s="24">
        <f t="shared" si="64"/>
        <v>47.90625</v>
      </c>
      <c r="BI24" s="24">
        <f t="shared" si="64"/>
        <v>47.90625</v>
      </c>
      <c r="BJ24" s="24">
        <f t="shared" si="64"/>
        <v>47.90625</v>
      </c>
      <c r="BK24" s="24">
        <f t="shared" si="64"/>
        <v>47.90625</v>
      </c>
      <c r="BL24" s="24">
        <f t="shared" si="64"/>
        <v>47.90625</v>
      </c>
      <c r="BM24" s="24">
        <f t="shared" si="64"/>
        <v>47.90625</v>
      </c>
      <c r="BN24" s="24">
        <f t="shared" si="64"/>
        <v>47.90625</v>
      </c>
      <c r="BO24" s="24">
        <f t="shared" ref="BO24:CT24" si="65">CST_RENT_DRY*BO$20</f>
        <v>47.90625</v>
      </c>
      <c r="BP24" s="24">
        <f t="shared" si="65"/>
        <v>47.90625</v>
      </c>
      <c r="BQ24" s="24">
        <f t="shared" si="65"/>
        <v>47.90625</v>
      </c>
      <c r="BR24" s="24">
        <f t="shared" si="65"/>
        <v>47.90625</v>
      </c>
      <c r="BS24" s="24">
        <f t="shared" si="65"/>
        <v>47.90625</v>
      </c>
      <c r="BT24" s="24">
        <f t="shared" si="65"/>
        <v>47.90625</v>
      </c>
      <c r="BU24" s="24">
        <f t="shared" si="65"/>
        <v>47.90625</v>
      </c>
      <c r="BV24" s="24">
        <f t="shared" si="65"/>
        <v>47.90625</v>
      </c>
      <c r="BW24" s="24">
        <f t="shared" si="65"/>
        <v>50.187500000000007</v>
      </c>
      <c r="BX24" s="24">
        <f t="shared" si="65"/>
        <v>50.187500000000007</v>
      </c>
      <c r="BY24" s="24">
        <f t="shared" si="65"/>
        <v>50.187500000000007</v>
      </c>
      <c r="BZ24" s="24">
        <f t="shared" si="65"/>
        <v>50.187500000000007</v>
      </c>
      <c r="CA24" s="24">
        <f t="shared" si="65"/>
        <v>50.187500000000007</v>
      </c>
      <c r="CB24" s="24">
        <f t="shared" si="65"/>
        <v>50.187500000000007</v>
      </c>
      <c r="CC24" s="24">
        <f t="shared" si="65"/>
        <v>50.187500000000007</v>
      </c>
      <c r="CD24" s="24">
        <f t="shared" si="65"/>
        <v>50.187500000000007</v>
      </c>
      <c r="CE24" s="24">
        <f t="shared" si="65"/>
        <v>50.187500000000007</v>
      </c>
      <c r="CF24" s="24">
        <f t="shared" si="65"/>
        <v>50.187500000000007</v>
      </c>
      <c r="CG24" s="24">
        <f t="shared" si="65"/>
        <v>50.187500000000007</v>
      </c>
      <c r="CH24" s="24">
        <f t="shared" si="65"/>
        <v>50.187500000000007</v>
      </c>
      <c r="CI24" s="24">
        <f t="shared" si="65"/>
        <v>50.187500000000007</v>
      </c>
      <c r="CJ24" s="24">
        <f t="shared" si="65"/>
        <v>50.187500000000007</v>
      </c>
      <c r="CK24" s="24">
        <f t="shared" si="65"/>
        <v>50.187500000000007</v>
      </c>
      <c r="CL24" s="24">
        <f t="shared" si="65"/>
        <v>50.187500000000007</v>
      </c>
      <c r="CM24" s="24">
        <f t="shared" si="65"/>
        <v>50.187500000000007</v>
      </c>
      <c r="CN24" s="24">
        <f t="shared" si="65"/>
        <v>50.187500000000007</v>
      </c>
      <c r="CO24" s="24">
        <f t="shared" si="65"/>
        <v>50.187500000000007</v>
      </c>
      <c r="CP24" s="24">
        <f t="shared" si="65"/>
        <v>50.187500000000007</v>
      </c>
      <c r="CQ24" s="24">
        <f t="shared" si="65"/>
        <v>50.187500000000007</v>
      </c>
      <c r="CR24" s="24">
        <f t="shared" si="65"/>
        <v>50.187500000000007</v>
      </c>
      <c r="CS24" s="24">
        <f t="shared" si="65"/>
        <v>50.187500000000007</v>
      </c>
      <c r="CT24" s="24">
        <f t="shared" si="65"/>
        <v>50.187500000000007</v>
      </c>
      <c r="CU24" s="24">
        <f t="shared" ref="CU24:DZ24" si="66">CST_RENT_DRY*CU$20</f>
        <v>52.468750000000007</v>
      </c>
      <c r="CV24" s="24">
        <f t="shared" si="66"/>
        <v>52.468750000000007</v>
      </c>
      <c r="CW24" s="24">
        <f t="shared" si="66"/>
        <v>52.468750000000007</v>
      </c>
      <c r="CX24" s="24">
        <f t="shared" si="66"/>
        <v>52.468750000000007</v>
      </c>
      <c r="CY24" s="24">
        <f t="shared" si="66"/>
        <v>52.468750000000007</v>
      </c>
      <c r="CZ24" s="24">
        <f t="shared" si="66"/>
        <v>52.468750000000007</v>
      </c>
      <c r="DA24" s="24">
        <f t="shared" si="66"/>
        <v>52.468750000000007</v>
      </c>
      <c r="DB24" s="24">
        <f t="shared" si="66"/>
        <v>52.468750000000007</v>
      </c>
      <c r="DC24" s="24">
        <f t="shared" si="66"/>
        <v>52.468750000000007</v>
      </c>
      <c r="DD24" s="24">
        <f t="shared" si="66"/>
        <v>52.468750000000007</v>
      </c>
      <c r="DE24" s="24">
        <f t="shared" si="66"/>
        <v>52.468750000000007</v>
      </c>
      <c r="DF24" s="24">
        <f t="shared" si="66"/>
        <v>52.468750000000007</v>
      </c>
      <c r="DG24" s="24">
        <f t="shared" si="66"/>
        <v>52.468750000000007</v>
      </c>
      <c r="DH24" s="24">
        <f t="shared" si="66"/>
        <v>52.468750000000007</v>
      </c>
      <c r="DI24" s="24">
        <f t="shared" si="66"/>
        <v>52.468750000000007</v>
      </c>
      <c r="DJ24" s="24">
        <f t="shared" si="66"/>
        <v>52.468750000000007</v>
      </c>
      <c r="DK24" s="24">
        <f t="shared" si="66"/>
        <v>52.468750000000007</v>
      </c>
      <c r="DL24" s="24">
        <f t="shared" si="66"/>
        <v>52.468750000000007</v>
      </c>
      <c r="DM24" s="24">
        <f t="shared" si="66"/>
        <v>52.468750000000007</v>
      </c>
      <c r="DN24" s="24">
        <f t="shared" si="66"/>
        <v>52.468750000000007</v>
      </c>
      <c r="DO24" s="24">
        <f t="shared" si="66"/>
        <v>52.468750000000007</v>
      </c>
      <c r="DP24" s="24">
        <f t="shared" si="66"/>
        <v>52.468750000000007</v>
      </c>
      <c r="DQ24" s="24">
        <f t="shared" si="66"/>
        <v>52.468750000000007</v>
      </c>
      <c r="DR24" s="24">
        <f t="shared" si="66"/>
        <v>52.468750000000007</v>
      </c>
      <c r="DS24" s="24">
        <f t="shared" si="66"/>
        <v>54.750000000000007</v>
      </c>
      <c r="DT24" s="24">
        <f t="shared" si="66"/>
        <v>54.750000000000007</v>
      </c>
      <c r="DU24" s="24">
        <f t="shared" si="66"/>
        <v>54.750000000000007</v>
      </c>
      <c r="DV24" s="24">
        <f t="shared" si="66"/>
        <v>54.750000000000007</v>
      </c>
      <c r="DW24" s="24">
        <f t="shared" si="66"/>
        <v>54.750000000000007</v>
      </c>
      <c r="DX24" s="24">
        <f t="shared" si="66"/>
        <v>54.750000000000007</v>
      </c>
      <c r="DY24" s="24">
        <f t="shared" si="66"/>
        <v>54.750000000000007</v>
      </c>
      <c r="DZ24" s="24">
        <f t="shared" si="66"/>
        <v>54.750000000000007</v>
      </c>
      <c r="EA24" s="24">
        <f t="shared" ref="EA24:FF24" si="67">CST_RENT_DRY*EA$20</f>
        <v>54.750000000000007</v>
      </c>
      <c r="EB24" s="24">
        <f t="shared" si="67"/>
        <v>54.750000000000007</v>
      </c>
      <c r="EC24" s="24">
        <f t="shared" si="67"/>
        <v>54.750000000000007</v>
      </c>
      <c r="ED24" s="24">
        <f t="shared" si="67"/>
        <v>54.750000000000007</v>
      </c>
      <c r="EE24" s="24">
        <f t="shared" si="67"/>
        <v>54.750000000000007</v>
      </c>
      <c r="EF24" s="24">
        <f t="shared" si="67"/>
        <v>54.750000000000007</v>
      </c>
      <c r="EG24" s="24">
        <f t="shared" si="67"/>
        <v>54.750000000000007</v>
      </c>
      <c r="EH24" s="24">
        <f t="shared" si="67"/>
        <v>54.750000000000007</v>
      </c>
      <c r="EI24" s="24">
        <f t="shared" si="67"/>
        <v>54.750000000000007</v>
      </c>
      <c r="EJ24" s="24">
        <f t="shared" si="67"/>
        <v>54.750000000000007</v>
      </c>
      <c r="EK24" s="24">
        <f t="shared" si="67"/>
        <v>54.750000000000007</v>
      </c>
      <c r="EL24" s="24">
        <f t="shared" si="67"/>
        <v>54.750000000000007</v>
      </c>
      <c r="EM24" s="24">
        <f t="shared" si="67"/>
        <v>54.750000000000007</v>
      </c>
      <c r="EN24" s="24">
        <f t="shared" si="67"/>
        <v>54.750000000000007</v>
      </c>
      <c r="EO24" s="24">
        <f t="shared" si="67"/>
        <v>54.750000000000007</v>
      </c>
      <c r="EP24" s="24">
        <f t="shared" si="67"/>
        <v>54.750000000000007</v>
      </c>
      <c r="EQ24" s="24">
        <f t="shared" si="67"/>
        <v>57.031250000000007</v>
      </c>
      <c r="ER24" s="24">
        <f t="shared" si="67"/>
        <v>57.031250000000007</v>
      </c>
      <c r="ES24" s="24">
        <f t="shared" si="67"/>
        <v>57.031250000000007</v>
      </c>
      <c r="ET24" s="24">
        <f t="shared" si="67"/>
        <v>57.031250000000007</v>
      </c>
      <c r="EU24" s="24">
        <f t="shared" si="67"/>
        <v>57.031250000000007</v>
      </c>
      <c r="EV24" s="24">
        <f t="shared" si="67"/>
        <v>57.031250000000007</v>
      </c>
      <c r="EW24" s="24">
        <f t="shared" si="67"/>
        <v>57.031250000000007</v>
      </c>
      <c r="EX24" s="24">
        <f t="shared" si="67"/>
        <v>57.031250000000007</v>
      </c>
      <c r="EY24" s="24">
        <f t="shared" si="67"/>
        <v>57.031250000000007</v>
      </c>
      <c r="EZ24" s="24">
        <f t="shared" si="67"/>
        <v>57.031250000000007</v>
      </c>
      <c r="FA24" s="24">
        <f t="shared" si="67"/>
        <v>57.031250000000007</v>
      </c>
      <c r="FB24" s="24">
        <f t="shared" si="67"/>
        <v>57.031250000000007</v>
      </c>
      <c r="FC24" s="24">
        <f t="shared" si="67"/>
        <v>57.031250000000007</v>
      </c>
      <c r="FD24" s="24">
        <f t="shared" si="67"/>
        <v>57.031250000000007</v>
      </c>
      <c r="FE24" s="24">
        <f t="shared" si="67"/>
        <v>57.031250000000007</v>
      </c>
      <c r="FF24" s="24">
        <f t="shared" si="67"/>
        <v>57.031250000000007</v>
      </c>
      <c r="FG24" s="24">
        <f t="shared" ref="FG24:HR24" si="68">CST_RENT_DRY*FG$20</f>
        <v>57.031250000000007</v>
      </c>
      <c r="FH24" s="24">
        <f t="shared" si="68"/>
        <v>57.031250000000007</v>
      </c>
      <c r="FI24" s="24">
        <f t="shared" si="68"/>
        <v>57.031250000000007</v>
      </c>
      <c r="FJ24" s="24">
        <f t="shared" si="68"/>
        <v>57.031250000000007</v>
      </c>
      <c r="FK24" s="24">
        <f t="shared" si="68"/>
        <v>57.031250000000007</v>
      </c>
      <c r="FL24" s="24">
        <f t="shared" si="68"/>
        <v>57.031250000000007</v>
      </c>
      <c r="FM24" s="24">
        <f t="shared" si="68"/>
        <v>57.031250000000007</v>
      </c>
      <c r="FN24" s="24">
        <f t="shared" si="68"/>
        <v>57.031250000000007</v>
      </c>
      <c r="FO24" s="24">
        <f t="shared" si="68"/>
        <v>59.312500000000014</v>
      </c>
      <c r="FP24" s="24">
        <f t="shared" si="68"/>
        <v>59.312500000000014</v>
      </c>
      <c r="FQ24" s="24">
        <f t="shared" si="68"/>
        <v>59.312500000000014</v>
      </c>
      <c r="FR24" s="24">
        <f t="shared" si="68"/>
        <v>59.312500000000014</v>
      </c>
      <c r="FS24" s="24">
        <f t="shared" si="68"/>
        <v>59.312500000000014</v>
      </c>
      <c r="FT24" s="24">
        <f t="shared" si="68"/>
        <v>59.312500000000014</v>
      </c>
      <c r="FU24" s="24">
        <f t="shared" si="68"/>
        <v>59.312500000000014</v>
      </c>
      <c r="FV24" s="24">
        <f t="shared" si="68"/>
        <v>59.312500000000014</v>
      </c>
      <c r="FW24" s="24">
        <f t="shared" si="68"/>
        <v>59.312500000000014</v>
      </c>
      <c r="FX24" s="24">
        <f t="shared" si="68"/>
        <v>59.312500000000014</v>
      </c>
      <c r="FY24" s="24">
        <f t="shared" si="68"/>
        <v>59.312500000000014</v>
      </c>
      <c r="FZ24" s="24">
        <f t="shared" si="68"/>
        <v>59.312500000000014</v>
      </c>
      <c r="GA24" s="24">
        <f t="shared" si="68"/>
        <v>59.312500000000014</v>
      </c>
      <c r="GB24" s="24">
        <f t="shared" si="68"/>
        <v>59.312500000000014</v>
      </c>
      <c r="GC24" s="24">
        <f t="shared" si="68"/>
        <v>59.312500000000014</v>
      </c>
      <c r="GD24" s="24">
        <f t="shared" si="68"/>
        <v>59.312500000000014</v>
      </c>
      <c r="GE24" s="24">
        <f t="shared" si="68"/>
        <v>59.312500000000014</v>
      </c>
      <c r="GF24" s="24">
        <f t="shared" si="68"/>
        <v>59.312500000000014</v>
      </c>
      <c r="GG24" s="24">
        <f t="shared" si="68"/>
        <v>59.312500000000014</v>
      </c>
      <c r="GH24" s="24">
        <f t="shared" si="68"/>
        <v>59.312500000000014</v>
      </c>
      <c r="GI24" s="24">
        <f t="shared" si="68"/>
        <v>59.312500000000014</v>
      </c>
      <c r="GJ24" s="24">
        <f t="shared" si="68"/>
        <v>59.312500000000014</v>
      </c>
      <c r="GK24" s="24">
        <f t="shared" si="68"/>
        <v>59.312500000000014</v>
      </c>
      <c r="GL24" s="24">
        <f t="shared" si="68"/>
        <v>59.312500000000014</v>
      </c>
      <c r="GM24" s="24">
        <f t="shared" si="68"/>
        <v>61.593750000000014</v>
      </c>
      <c r="GN24" s="24">
        <f t="shared" si="68"/>
        <v>61.593750000000014</v>
      </c>
      <c r="GO24" s="24">
        <f t="shared" si="68"/>
        <v>61.593750000000014</v>
      </c>
      <c r="GP24" s="24">
        <f t="shared" si="68"/>
        <v>61.593750000000014</v>
      </c>
      <c r="GQ24" s="24">
        <f t="shared" si="68"/>
        <v>61.593750000000014</v>
      </c>
      <c r="GR24" s="24">
        <f t="shared" si="68"/>
        <v>61.593750000000014</v>
      </c>
      <c r="GS24" s="24">
        <f t="shared" si="68"/>
        <v>61.593750000000014</v>
      </c>
      <c r="GT24" s="24">
        <f t="shared" si="68"/>
        <v>61.593750000000014</v>
      </c>
      <c r="GU24" s="24">
        <f t="shared" si="68"/>
        <v>61.593750000000014</v>
      </c>
      <c r="GV24" s="24">
        <f t="shared" si="68"/>
        <v>61.593750000000014</v>
      </c>
      <c r="GW24" s="24">
        <f t="shared" si="68"/>
        <v>61.593750000000014</v>
      </c>
      <c r="GX24" s="24">
        <f t="shared" si="68"/>
        <v>61.593750000000014</v>
      </c>
      <c r="GY24" s="24">
        <f t="shared" si="68"/>
        <v>61.593750000000014</v>
      </c>
      <c r="GZ24" s="24">
        <f t="shared" si="68"/>
        <v>61.593750000000014</v>
      </c>
      <c r="HA24" s="24">
        <f t="shared" si="68"/>
        <v>61.593750000000014</v>
      </c>
      <c r="HB24" s="24">
        <f t="shared" si="68"/>
        <v>61.593750000000014</v>
      </c>
      <c r="HC24" s="24">
        <f t="shared" si="68"/>
        <v>61.593750000000014</v>
      </c>
      <c r="HD24" s="24">
        <f t="shared" si="68"/>
        <v>61.593750000000014</v>
      </c>
      <c r="HE24" s="24">
        <f t="shared" si="68"/>
        <v>61.593750000000014</v>
      </c>
      <c r="HF24" s="24">
        <f t="shared" si="68"/>
        <v>61.593750000000014</v>
      </c>
      <c r="HG24" s="24">
        <f t="shared" si="68"/>
        <v>61.593750000000014</v>
      </c>
      <c r="HH24" s="24">
        <f t="shared" si="68"/>
        <v>61.593750000000014</v>
      </c>
      <c r="HI24" s="24">
        <f t="shared" si="68"/>
        <v>61.593750000000014</v>
      </c>
      <c r="HJ24" s="24">
        <f t="shared" si="68"/>
        <v>61.593750000000014</v>
      </c>
      <c r="HK24" s="24">
        <f t="shared" si="68"/>
        <v>63.875000000000014</v>
      </c>
      <c r="HL24" s="24">
        <f t="shared" si="68"/>
        <v>63.875000000000014</v>
      </c>
      <c r="HM24" s="24">
        <f t="shared" si="68"/>
        <v>63.875000000000014</v>
      </c>
      <c r="HN24" s="24">
        <f t="shared" si="68"/>
        <v>63.875000000000014</v>
      </c>
      <c r="HO24" s="24">
        <f t="shared" si="68"/>
        <v>63.875000000000014</v>
      </c>
      <c r="HP24" s="24">
        <f t="shared" si="68"/>
        <v>63.875000000000014</v>
      </c>
      <c r="HQ24" s="24">
        <f t="shared" si="68"/>
        <v>63.875000000000014</v>
      </c>
      <c r="HR24" s="24">
        <f t="shared" si="68"/>
        <v>63.875000000000014</v>
      </c>
      <c r="HS24" s="24">
        <f t="shared" ref="HS24:IH24" si="69">CST_RENT_DRY*HS$20</f>
        <v>63.875000000000014</v>
      </c>
      <c r="HT24" s="24">
        <f t="shared" si="69"/>
        <v>63.875000000000014</v>
      </c>
      <c r="HU24" s="24">
        <f t="shared" si="69"/>
        <v>63.875000000000014</v>
      </c>
      <c r="HV24" s="24">
        <f t="shared" si="69"/>
        <v>63.875000000000014</v>
      </c>
      <c r="HW24" s="24">
        <f t="shared" si="69"/>
        <v>63.875000000000014</v>
      </c>
      <c r="HX24" s="24">
        <f t="shared" si="69"/>
        <v>63.875000000000014</v>
      </c>
      <c r="HY24" s="24">
        <f t="shared" si="69"/>
        <v>63.875000000000014</v>
      </c>
      <c r="HZ24" s="24">
        <f t="shared" si="69"/>
        <v>63.875000000000014</v>
      </c>
      <c r="IA24" s="24">
        <f t="shared" si="69"/>
        <v>63.875000000000014</v>
      </c>
      <c r="IB24" s="24">
        <f t="shared" si="69"/>
        <v>63.875000000000014</v>
      </c>
      <c r="IC24" s="24">
        <f t="shared" si="69"/>
        <v>63.875000000000014</v>
      </c>
      <c r="ID24" s="24">
        <f t="shared" si="69"/>
        <v>63.875000000000014</v>
      </c>
      <c r="IE24" s="24">
        <f t="shared" si="69"/>
        <v>63.875000000000014</v>
      </c>
      <c r="IF24" s="24">
        <f t="shared" si="69"/>
        <v>63.875000000000014</v>
      </c>
      <c r="IG24" s="24">
        <f t="shared" si="69"/>
        <v>63.875000000000014</v>
      </c>
      <c r="IH24" s="24">
        <f t="shared" si="69"/>
        <v>63.875000000000014</v>
      </c>
    </row>
    <row r="25" spans="1:242" x14ac:dyDescent="0.45">
      <c r="A25" s="58" t="s">
        <v>199</v>
      </c>
      <c r="B25" s="61"/>
      <c r="C25" s="24">
        <f t="shared" ref="C25:AH25" si="70">CST_RENT_AC*C$20</f>
        <v>65</v>
      </c>
      <c r="D25" s="24">
        <f t="shared" si="70"/>
        <v>65</v>
      </c>
      <c r="E25" s="24">
        <f t="shared" si="70"/>
        <v>65</v>
      </c>
      <c r="F25" s="24">
        <f t="shared" si="70"/>
        <v>65</v>
      </c>
      <c r="G25" s="24">
        <f t="shared" si="70"/>
        <v>65</v>
      </c>
      <c r="H25" s="24">
        <f t="shared" si="70"/>
        <v>65</v>
      </c>
      <c r="I25" s="24">
        <f t="shared" si="70"/>
        <v>65</v>
      </c>
      <c r="J25" s="24">
        <f t="shared" si="70"/>
        <v>65</v>
      </c>
      <c r="K25" s="24">
        <f t="shared" si="70"/>
        <v>65</v>
      </c>
      <c r="L25" s="24">
        <f t="shared" si="70"/>
        <v>65</v>
      </c>
      <c r="M25" s="24">
        <f t="shared" si="70"/>
        <v>65</v>
      </c>
      <c r="N25" s="24">
        <f t="shared" si="70"/>
        <v>65</v>
      </c>
      <c r="O25" s="24">
        <f t="shared" si="70"/>
        <v>65</v>
      </c>
      <c r="P25" s="24">
        <f t="shared" si="70"/>
        <v>65</v>
      </c>
      <c r="Q25" s="24">
        <f t="shared" si="70"/>
        <v>65</v>
      </c>
      <c r="R25" s="24">
        <f t="shared" si="70"/>
        <v>65</v>
      </c>
      <c r="S25" s="24">
        <f t="shared" si="70"/>
        <v>65</v>
      </c>
      <c r="T25" s="24">
        <f t="shared" si="70"/>
        <v>65</v>
      </c>
      <c r="U25" s="24">
        <f t="shared" si="70"/>
        <v>65</v>
      </c>
      <c r="V25" s="24">
        <f t="shared" si="70"/>
        <v>65</v>
      </c>
      <c r="W25" s="24">
        <f t="shared" si="70"/>
        <v>65</v>
      </c>
      <c r="X25" s="24">
        <f t="shared" si="70"/>
        <v>65</v>
      </c>
      <c r="Y25" s="24">
        <f t="shared" si="70"/>
        <v>65</v>
      </c>
      <c r="Z25" s="24">
        <f t="shared" si="70"/>
        <v>65</v>
      </c>
      <c r="AA25" s="24">
        <f t="shared" si="70"/>
        <v>65</v>
      </c>
      <c r="AB25" s="24">
        <f t="shared" si="70"/>
        <v>65</v>
      </c>
      <c r="AC25" s="24">
        <f t="shared" si="70"/>
        <v>65</v>
      </c>
      <c r="AD25" s="24">
        <f t="shared" si="70"/>
        <v>65</v>
      </c>
      <c r="AE25" s="24">
        <f t="shared" si="70"/>
        <v>65</v>
      </c>
      <c r="AF25" s="24">
        <f t="shared" si="70"/>
        <v>65</v>
      </c>
      <c r="AG25" s="24">
        <f t="shared" si="70"/>
        <v>65</v>
      </c>
      <c r="AH25" s="24">
        <f t="shared" si="70"/>
        <v>65</v>
      </c>
      <c r="AI25" s="24">
        <f t="shared" ref="AI25:BN25" si="71">CST_RENT_AC*AI$20</f>
        <v>65</v>
      </c>
      <c r="AJ25" s="24">
        <f t="shared" si="71"/>
        <v>65</v>
      </c>
      <c r="AK25" s="24">
        <f t="shared" si="71"/>
        <v>65</v>
      </c>
      <c r="AL25" s="24">
        <f t="shared" si="71"/>
        <v>65</v>
      </c>
      <c r="AM25" s="24">
        <f t="shared" si="71"/>
        <v>65</v>
      </c>
      <c r="AN25" s="24">
        <f t="shared" si="71"/>
        <v>65</v>
      </c>
      <c r="AO25" s="24">
        <f t="shared" si="71"/>
        <v>65</v>
      </c>
      <c r="AP25" s="24">
        <f t="shared" si="71"/>
        <v>65</v>
      </c>
      <c r="AQ25" s="24">
        <f t="shared" si="71"/>
        <v>65</v>
      </c>
      <c r="AR25" s="24">
        <f t="shared" si="71"/>
        <v>65</v>
      </c>
      <c r="AS25" s="24">
        <f t="shared" si="71"/>
        <v>65</v>
      </c>
      <c r="AT25" s="24">
        <f t="shared" si="71"/>
        <v>65</v>
      </c>
      <c r="AU25" s="24">
        <f t="shared" si="71"/>
        <v>65</v>
      </c>
      <c r="AV25" s="24">
        <f t="shared" si="71"/>
        <v>65</v>
      </c>
      <c r="AW25" s="24">
        <f t="shared" si="71"/>
        <v>65</v>
      </c>
      <c r="AX25" s="24">
        <f t="shared" si="71"/>
        <v>65</v>
      </c>
      <c r="AY25" s="24">
        <f t="shared" si="71"/>
        <v>68.25</v>
      </c>
      <c r="AZ25" s="24">
        <f t="shared" si="71"/>
        <v>68.25</v>
      </c>
      <c r="BA25" s="24">
        <f t="shared" si="71"/>
        <v>68.25</v>
      </c>
      <c r="BB25" s="24">
        <f t="shared" si="71"/>
        <v>68.25</v>
      </c>
      <c r="BC25" s="24">
        <f t="shared" si="71"/>
        <v>68.25</v>
      </c>
      <c r="BD25" s="24">
        <f t="shared" si="71"/>
        <v>68.25</v>
      </c>
      <c r="BE25" s="24">
        <f t="shared" si="71"/>
        <v>68.25</v>
      </c>
      <c r="BF25" s="24">
        <f t="shared" si="71"/>
        <v>68.25</v>
      </c>
      <c r="BG25" s="24">
        <f t="shared" si="71"/>
        <v>68.25</v>
      </c>
      <c r="BH25" s="24">
        <f t="shared" si="71"/>
        <v>68.25</v>
      </c>
      <c r="BI25" s="24">
        <f t="shared" si="71"/>
        <v>68.25</v>
      </c>
      <c r="BJ25" s="24">
        <f t="shared" si="71"/>
        <v>68.25</v>
      </c>
      <c r="BK25" s="24">
        <f t="shared" si="71"/>
        <v>68.25</v>
      </c>
      <c r="BL25" s="24">
        <f t="shared" si="71"/>
        <v>68.25</v>
      </c>
      <c r="BM25" s="24">
        <f t="shared" si="71"/>
        <v>68.25</v>
      </c>
      <c r="BN25" s="24">
        <f t="shared" si="71"/>
        <v>68.25</v>
      </c>
      <c r="BO25" s="24">
        <f t="shared" ref="BO25:CT25" si="72">CST_RENT_AC*BO$20</f>
        <v>68.25</v>
      </c>
      <c r="BP25" s="24">
        <f t="shared" si="72"/>
        <v>68.25</v>
      </c>
      <c r="BQ25" s="24">
        <f t="shared" si="72"/>
        <v>68.25</v>
      </c>
      <c r="BR25" s="24">
        <f t="shared" si="72"/>
        <v>68.25</v>
      </c>
      <c r="BS25" s="24">
        <f t="shared" si="72"/>
        <v>68.25</v>
      </c>
      <c r="BT25" s="24">
        <f t="shared" si="72"/>
        <v>68.25</v>
      </c>
      <c r="BU25" s="24">
        <f t="shared" si="72"/>
        <v>68.25</v>
      </c>
      <c r="BV25" s="24">
        <f t="shared" si="72"/>
        <v>68.25</v>
      </c>
      <c r="BW25" s="24">
        <f t="shared" si="72"/>
        <v>71.5</v>
      </c>
      <c r="BX25" s="24">
        <f t="shared" si="72"/>
        <v>71.5</v>
      </c>
      <c r="BY25" s="24">
        <f t="shared" si="72"/>
        <v>71.5</v>
      </c>
      <c r="BZ25" s="24">
        <f t="shared" si="72"/>
        <v>71.5</v>
      </c>
      <c r="CA25" s="24">
        <f t="shared" si="72"/>
        <v>71.5</v>
      </c>
      <c r="CB25" s="24">
        <f t="shared" si="72"/>
        <v>71.5</v>
      </c>
      <c r="CC25" s="24">
        <f t="shared" si="72"/>
        <v>71.5</v>
      </c>
      <c r="CD25" s="24">
        <f t="shared" si="72"/>
        <v>71.5</v>
      </c>
      <c r="CE25" s="24">
        <f t="shared" si="72"/>
        <v>71.5</v>
      </c>
      <c r="CF25" s="24">
        <f t="shared" si="72"/>
        <v>71.5</v>
      </c>
      <c r="CG25" s="24">
        <f t="shared" si="72"/>
        <v>71.5</v>
      </c>
      <c r="CH25" s="24">
        <f t="shared" si="72"/>
        <v>71.5</v>
      </c>
      <c r="CI25" s="24">
        <f t="shared" si="72"/>
        <v>71.5</v>
      </c>
      <c r="CJ25" s="24">
        <f t="shared" si="72"/>
        <v>71.5</v>
      </c>
      <c r="CK25" s="24">
        <f t="shared" si="72"/>
        <v>71.5</v>
      </c>
      <c r="CL25" s="24">
        <f t="shared" si="72"/>
        <v>71.5</v>
      </c>
      <c r="CM25" s="24">
        <f t="shared" si="72"/>
        <v>71.5</v>
      </c>
      <c r="CN25" s="24">
        <f t="shared" si="72"/>
        <v>71.5</v>
      </c>
      <c r="CO25" s="24">
        <f t="shared" si="72"/>
        <v>71.5</v>
      </c>
      <c r="CP25" s="24">
        <f t="shared" si="72"/>
        <v>71.5</v>
      </c>
      <c r="CQ25" s="24">
        <f t="shared" si="72"/>
        <v>71.5</v>
      </c>
      <c r="CR25" s="24">
        <f t="shared" si="72"/>
        <v>71.5</v>
      </c>
      <c r="CS25" s="24">
        <f t="shared" si="72"/>
        <v>71.5</v>
      </c>
      <c r="CT25" s="24">
        <f t="shared" si="72"/>
        <v>71.5</v>
      </c>
      <c r="CU25" s="24">
        <f t="shared" ref="CU25:DZ25" si="73">CST_RENT_AC*CU$20</f>
        <v>74.750000000000014</v>
      </c>
      <c r="CV25" s="24">
        <f t="shared" si="73"/>
        <v>74.750000000000014</v>
      </c>
      <c r="CW25" s="24">
        <f t="shared" si="73"/>
        <v>74.750000000000014</v>
      </c>
      <c r="CX25" s="24">
        <f t="shared" si="73"/>
        <v>74.750000000000014</v>
      </c>
      <c r="CY25" s="24">
        <f t="shared" si="73"/>
        <v>74.750000000000014</v>
      </c>
      <c r="CZ25" s="24">
        <f t="shared" si="73"/>
        <v>74.750000000000014</v>
      </c>
      <c r="DA25" s="24">
        <f t="shared" si="73"/>
        <v>74.750000000000014</v>
      </c>
      <c r="DB25" s="24">
        <f t="shared" si="73"/>
        <v>74.750000000000014</v>
      </c>
      <c r="DC25" s="24">
        <f t="shared" si="73"/>
        <v>74.750000000000014</v>
      </c>
      <c r="DD25" s="24">
        <f t="shared" si="73"/>
        <v>74.750000000000014</v>
      </c>
      <c r="DE25" s="24">
        <f t="shared" si="73"/>
        <v>74.750000000000014</v>
      </c>
      <c r="DF25" s="24">
        <f t="shared" si="73"/>
        <v>74.750000000000014</v>
      </c>
      <c r="DG25" s="24">
        <f t="shared" si="73"/>
        <v>74.750000000000014</v>
      </c>
      <c r="DH25" s="24">
        <f t="shared" si="73"/>
        <v>74.750000000000014</v>
      </c>
      <c r="DI25" s="24">
        <f t="shared" si="73"/>
        <v>74.750000000000014</v>
      </c>
      <c r="DJ25" s="24">
        <f t="shared" si="73"/>
        <v>74.750000000000014</v>
      </c>
      <c r="DK25" s="24">
        <f t="shared" si="73"/>
        <v>74.750000000000014</v>
      </c>
      <c r="DL25" s="24">
        <f t="shared" si="73"/>
        <v>74.750000000000014</v>
      </c>
      <c r="DM25" s="24">
        <f t="shared" si="73"/>
        <v>74.750000000000014</v>
      </c>
      <c r="DN25" s="24">
        <f t="shared" si="73"/>
        <v>74.750000000000014</v>
      </c>
      <c r="DO25" s="24">
        <f t="shared" si="73"/>
        <v>74.750000000000014</v>
      </c>
      <c r="DP25" s="24">
        <f t="shared" si="73"/>
        <v>74.750000000000014</v>
      </c>
      <c r="DQ25" s="24">
        <f t="shared" si="73"/>
        <v>74.750000000000014</v>
      </c>
      <c r="DR25" s="24">
        <f t="shared" si="73"/>
        <v>74.750000000000014</v>
      </c>
      <c r="DS25" s="24">
        <f t="shared" si="73"/>
        <v>78.000000000000014</v>
      </c>
      <c r="DT25" s="24">
        <f t="shared" si="73"/>
        <v>78.000000000000014</v>
      </c>
      <c r="DU25" s="24">
        <f t="shared" si="73"/>
        <v>78.000000000000014</v>
      </c>
      <c r="DV25" s="24">
        <f t="shared" si="73"/>
        <v>78.000000000000014</v>
      </c>
      <c r="DW25" s="24">
        <f t="shared" si="73"/>
        <v>78.000000000000014</v>
      </c>
      <c r="DX25" s="24">
        <f t="shared" si="73"/>
        <v>78.000000000000014</v>
      </c>
      <c r="DY25" s="24">
        <f t="shared" si="73"/>
        <v>78.000000000000014</v>
      </c>
      <c r="DZ25" s="24">
        <f t="shared" si="73"/>
        <v>78.000000000000014</v>
      </c>
      <c r="EA25" s="24">
        <f t="shared" ref="EA25:FF25" si="74">CST_RENT_AC*EA$20</f>
        <v>78.000000000000014</v>
      </c>
      <c r="EB25" s="24">
        <f t="shared" si="74"/>
        <v>78.000000000000014</v>
      </c>
      <c r="EC25" s="24">
        <f t="shared" si="74"/>
        <v>78.000000000000014</v>
      </c>
      <c r="ED25" s="24">
        <f t="shared" si="74"/>
        <v>78.000000000000014</v>
      </c>
      <c r="EE25" s="24">
        <f t="shared" si="74"/>
        <v>78.000000000000014</v>
      </c>
      <c r="EF25" s="24">
        <f t="shared" si="74"/>
        <v>78.000000000000014</v>
      </c>
      <c r="EG25" s="24">
        <f t="shared" si="74"/>
        <v>78.000000000000014</v>
      </c>
      <c r="EH25" s="24">
        <f t="shared" si="74"/>
        <v>78.000000000000014</v>
      </c>
      <c r="EI25" s="24">
        <f t="shared" si="74"/>
        <v>78.000000000000014</v>
      </c>
      <c r="EJ25" s="24">
        <f t="shared" si="74"/>
        <v>78.000000000000014</v>
      </c>
      <c r="EK25" s="24">
        <f t="shared" si="74"/>
        <v>78.000000000000014</v>
      </c>
      <c r="EL25" s="24">
        <f t="shared" si="74"/>
        <v>78.000000000000014</v>
      </c>
      <c r="EM25" s="24">
        <f t="shared" si="74"/>
        <v>78.000000000000014</v>
      </c>
      <c r="EN25" s="24">
        <f t="shared" si="74"/>
        <v>78.000000000000014</v>
      </c>
      <c r="EO25" s="24">
        <f t="shared" si="74"/>
        <v>78.000000000000014</v>
      </c>
      <c r="EP25" s="24">
        <f t="shared" si="74"/>
        <v>78.000000000000014</v>
      </c>
      <c r="EQ25" s="24">
        <f t="shared" si="74"/>
        <v>81.250000000000014</v>
      </c>
      <c r="ER25" s="24">
        <f t="shared" si="74"/>
        <v>81.250000000000014</v>
      </c>
      <c r="ES25" s="24">
        <f t="shared" si="74"/>
        <v>81.250000000000014</v>
      </c>
      <c r="ET25" s="24">
        <f t="shared" si="74"/>
        <v>81.250000000000014</v>
      </c>
      <c r="EU25" s="24">
        <f t="shared" si="74"/>
        <v>81.250000000000014</v>
      </c>
      <c r="EV25" s="24">
        <f t="shared" si="74"/>
        <v>81.250000000000014</v>
      </c>
      <c r="EW25" s="24">
        <f t="shared" si="74"/>
        <v>81.250000000000014</v>
      </c>
      <c r="EX25" s="24">
        <f t="shared" si="74"/>
        <v>81.250000000000014</v>
      </c>
      <c r="EY25" s="24">
        <f t="shared" si="74"/>
        <v>81.250000000000014</v>
      </c>
      <c r="EZ25" s="24">
        <f t="shared" si="74"/>
        <v>81.250000000000014</v>
      </c>
      <c r="FA25" s="24">
        <f t="shared" si="74"/>
        <v>81.250000000000014</v>
      </c>
      <c r="FB25" s="24">
        <f t="shared" si="74"/>
        <v>81.250000000000014</v>
      </c>
      <c r="FC25" s="24">
        <f t="shared" si="74"/>
        <v>81.250000000000014</v>
      </c>
      <c r="FD25" s="24">
        <f t="shared" si="74"/>
        <v>81.250000000000014</v>
      </c>
      <c r="FE25" s="24">
        <f t="shared" si="74"/>
        <v>81.250000000000014</v>
      </c>
      <c r="FF25" s="24">
        <f t="shared" si="74"/>
        <v>81.250000000000014</v>
      </c>
      <c r="FG25" s="24">
        <f t="shared" ref="FG25:HR25" si="75">CST_RENT_AC*FG$20</f>
        <v>81.250000000000014</v>
      </c>
      <c r="FH25" s="24">
        <f t="shared" si="75"/>
        <v>81.250000000000014</v>
      </c>
      <c r="FI25" s="24">
        <f t="shared" si="75"/>
        <v>81.250000000000014</v>
      </c>
      <c r="FJ25" s="24">
        <f t="shared" si="75"/>
        <v>81.250000000000014</v>
      </c>
      <c r="FK25" s="24">
        <f t="shared" si="75"/>
        <v>81.250000000000014</v>
      </c>
      <c r="FL25" s="24">
        <f t="shared" si="75"/>
        <v>81.250000000000014</v>
      </c>
      <c r="FM25" s="24">
        <f t="shared" si="75"/>
        <v>81.250000000000014</v>
      </c>
      <c r="FN25" s="24">
        <f t="shared" si="75"/>
        <v>81.250000000000014</v>
      </c>
      <c r="FO25" s="24">
        <f t="shared" si="75"/>
        <v>84.500000000000014</v>
      </c>
      <c r="FP25" s="24">
        <f t="shared" si="75"/>
        <v>84.500000000000014</v>
      </c>
      <c r="FQ25" s="24">
        <f t="shared" si="75"/>
        <v>84.500000000000014</v>
      </c>
      <c r="FR25" s="24">
        <f t="shared" si="75"/>
        <v>84.500000000000014</v>
      </c>
      <c r="FS25" s="24">
        <f t="shared" si="75"/>
        <v>84.500000000000014</v>
      </c>
      <c r="FT25" s="24">
        <f t="shared" si="75"/>
        <v>84.500000000000014</v>
      </c>
      <c r="FU25" s="24">
        <f t="shared" si="75"/>
        <v>84.500000000000014</v>
      </c>
      <c r="FV25" s="24">
        <f t="shared" si="75"/>
        <v>84.500000000000014</v>
      </c>
      <c r="FW25" s="24">
        <f t="shared" si="75"/>
        <v>84.500000000000014</v>
      </c>
      <c r="FX25" s="24">
        <f t="shared" si="75"/>
        <v>84.500000000000014</v>
      </c>
      <c r="FY25" s="24">
        <f t="shared" si="75"/>
        <v>84.500000000000014</v>
      </c>
      <c r="FZ25" s="24">
        <f t="shared" si="75"/>
        <v>84.500000000000014</v>
      </c>
      <c r="GA25" s="24">
        <f t="shared" si="75"/>
        <v>84.500000000000014</v>
      </c>
      <c r="GB25" s="24">
        <f t="shared" si="75"/>
        <v>84.500000000000014</v>
      </c>
      <c r="GC25" s="24">
        <f t="shared" si="75"/>
        <v>84.500000000000014</v>
      </c>
      <c r="GD25" s="24">
        <f t="shared" si="75"/>
        <v>84.500000000000014</v>
      </c>
      <c r="GE25" s="24">
        <f t="shared" si="75"/>
        <v>84.500000000000014</v>
      </c>
      <c r="GF25" s="24">
        <f t="shared" si="75"/>
        <v>84.500000000000014</v>
      </c>
      <c r="GG25" s="24">
        <f t="shared" si="75"/>
        <v>84.500000000000014</v>
      </c>
      <c r="GH25" s="24">
        <f t="shared" si="75"/>
        <v>84.500000000000014</v>
      </c>
      <c r="GI25" s="24">
        <f t="shared" si="75"/>
        <v>84.500000000000014</v>
      </c>
      <c r="GJ25" s="24">
        <f t="shared" si="75"/>
        <v>84.500000000000014</v>
      </c>
      <c r="GK25" s="24">
        <f t="shared" si="75"/>
        <v>84.500000000000014</v>
      </c>
      <c r="GL25" s="24">
        <f t="shared" si="75"/>
        <v>84.500000000000014</v>
      </c>
      <c r="GM25" s="24">
        <f t="shared" si="75"/>
        <v>87.750000000000014</v>
      </c>
      <c r="GN25" s="24">
        <f t="shared" si="75"/>
        <v>87.750000000000014</v>
      </c>
      <c r="GO25" s="24">
        <f t="shared" si="75"/>
        <v>87.750000000000014</v>
      </c>
      <c r="GP25" s="24">
        <f t="shared" si="75"/>
        <v>87.750000000000014</v>
      </c>
      <c r="GQ25" s="24">
        <f t="shared" si="75"/>
        <v>87.750000000000014</v>
      </c>
      <c r="GR25" s="24">
        <f t="shared" si="75"/>
        <v>87.750000000000014</v>
      </c>
      <c r="GS25" s="24">
        <f t="shared" si="75"/>
        <v>87.750000000000014</v>
      </c>
      <c r="GT25" s="24">
        <f t="shared" si="75"/>
        <v>87.750000000000014</v>
      </c>
      <c r="GU25" s="24">
        <f t="shared" si="75"/>
        <v>87.750000000000014</v>
      </c>
      <c r="GV25" s="24">
        <f t="shared" si="75"/>
        <v>87.750000000000014</v>
      </c>
      <c r="GW25" s="24">
        <f t="shared" si="75"/>
        <v>87.750000000000014</v>
      </c>
      <c r="GX25" s="24">
        <f t="shared" si="75"/>
        <v>87.750000000000014</v>
      </c>
      <c r="GY25" s="24">
        <f t="shared" si="75"/>
        <v>87.750000000000014</v>
      </c>
      <c r="GZ25" s="24">
        <f t="shared" si="75"/>
        <v>87.750000000000014</v>
      </c>
      <c r="HA25" s="24">
        <f t="shared" si="75"/>
        <v>87.750000000000014</v>
      </c>
      <c r="HB25" s="24">
        <f t="shared" si="75"/>
        <v>87.750000000000014</v>
      </c>
      <c r="HC25" s="24">
        <f t="shared" si="75"/>
        <v>87.750000000000014</v>
      </c>
      <c r="HD25" s="24">
        <f t="shared" si="75"/>
        <v>87.750000000000014</v>
      </c>
      <c r="HE25" s="24">
        <f t="shared" si="75"/>
        <v>87.750000000000014</v>
      </c>
      <c r="HF25" s="24">
        <f t="shared" si="75"/>
        <v>87.750000000000014</v>
      </c>
      <c r="HG25" s="24">
        <f t="shared" si="75"/>
        <v>87.750000000000014</v>
      </c>
      <c r="HH25" s="24">
        <f t="shared" si="75"/>
        <v>87.750000000000014</v>
      </c>
      <c r="HI25" s="24">
        <f t="shared" si="75"/>
        <v>87.750000000000014</v>
      </c>
      <c r="HJ25" s="24">
        <f t="shared" si="75"/>
        <v>87.750000000000014</v>
      </c>
      <c r="HK25" s="24">
        <f t="shared" si="75"/>
        <v>91.000000000000028</v>
      </c>
      <c r="HL25" s="24">
        <f t="shared" si="75"/>
        <v>91.000000000000028</v>
      </c>
      <c r="HM25" s="24">
        <f t="shared" si="75"/>
        <v>91.000000000000028</v>
      </c>
      <c r="HN25" s="24">
        <f t="shared" si="75"/>
        <v>91.000000000000028</v>
      </c>
      <c r="HO25" s="24">
        <f t="shared" si="75"/>
        <v>91.000000000000028</v>
      </c>
      <c r="HP25" s="24">
        <f t="shared" si="75"/>
        <v>91.000000000000028</v>
      </c>
      <c r="HQ25" s="24">
        <f t="shared" si="75"/>
        <v>91.000000000000028</v>
      </c>
      <c r="HR25" s="24">
        <f t="shared" si="75"/>
        <v>91.000000000000028</v>
      </c>
      <c r="HS25" s="24">
        <f t="shared" ref="HS25:IH25" si="76">CST_RENT_AC*HS$20</f>
        <v>91.000000000000028</v>
      </c>
      <c r="HT25" s="24">
        <f t="shared" si="76"/>
        <v>91.000000000000028</v>
      </c>
      <c r="HU25" s="24">
        <f t="shared" si="76"/>
        <v>91.000000000000028</v>
      </c>
      <c r="HV25" s="24">
        <f t="shared" si="76"/>
        <v>91.000000000000028</v>
      </c>
      <c r="HW25" s="24">
        <f t="shared" si="76"/>
        <v>91.000000000000028</v>
      </c>
      <c r="HX25" s="24">
        <f t="shared" si="76"/>
        <v>91.000000000000028</v>
      </c>
      <c r="HY25" s="24">
        <f t="shared" si="76"/>
        <v>91.000000000000028</v>
      </c>
      <c r="HZ25" s="24">
        <f t="shared" si="76"/>
        <v>91.000000000000028</v>
      </c>
      <c r="IA25" s="24">
        <f t="shared" si="76"/>
        <v>91.000000000000028</v>
      </c>
      <c r="IB25" s="24">
        <f t="shared" si="76"/>
        <v>91.000000000000028</v>
      </c>
      <c r="IC25" s="24">
        <f t="shared" si="76"/>
        <v>91.000000000000028</v>
      </c>
      <c r="ID25" s="24">
        <f t="shared" si="76"/>
        <v>91.000000000000028</v>
      </c>
      <c r="IE25" s="24">
        <f t="shared" si="76"/>
        <v>91.000000000000028</v>
      </c>
      <c r="IF25" s="24">
        <f t="shared" si="76"/>
        <v>91.000000000000028</v>
      </c>
      <c r="IG25" s="24">
        <f t="shared" si="76"/>
        <v>91.000000000000028</v>
      </c>
      <c r="IH25" s="24">
        <f t="shared" si="76"/>
        <v>91.000000000000028</v>
      </c>
    </row>
    <row r="26" spans="1:242" x14ac:dyDescent="0.45">
      <c r="A26" s="58" t="s">
        <v>200</v>
      </c>
      <c r="B26" s="61"/>
      <c r="C26" s="24">
        <f t="shared" ref="C26:AH26" si="77">CST_RENT_CHILL*C$20</f>
        <v>120</v>
      </c>
      <c r="D26" s="24">
        <f t="shared" si="77"/>
        <v>120</v>
      </c>
      <c r="E26" s="24">
        <f t="shared" si="77"/>
        <v>120</v>
      </c>
      <c r="F26" s="24">
        <f t="shared" si="77"/>
        <v>120</v>
      </c>
      <c r="G26" s="24">
        <f t="shared" si="77"/>
        <v>120</v>
      </c>
      <c r="H26" s="24">
        <f t="shared" si="77"/>
        <v>120</v>
      </c>
      <c r="I26" s="24">
        <f t="shared" si="77"/>
        <v>120</v>
      </c>
      <c r="J26" s="24">
        <f t="shared" si="77"/>
        <v>120</v>
      </c>
      <c r="K26" s="24">
        <f t="shared" si="77"/>
        <v>120</v>
      </c>
      <c r="L26" s="24">
        <f t="shared" si="77"/>
        <v>120</v>
      </c>
      <c r="M26" s="24">
        <f t="shared" si="77"/>
        <v>120</v>
      </c>
      <c r="N26" s="24">
        <f t="shared" si="77"/>
        <v>120</v>
      </c>
      <c r="O26" s="24">
        <f t="shared" si="77"/>
        <v>120</v>
      </c>
      <c r="P26" s="24">
        <f t="shared" si="77"/>
        <v>120</v>
      </c>
      <c r="Q26" s="24">
        <f t="shared" si="77"/>
        <v>120</v>
      </c>
      <c r="R26" s="24">
        <f t="shared" si="77"/>
        <v>120</v>
      </c>
      <c r="S26" s="24">
        <f t="shared" si="77"/>
        <v>120</v>
      </c>
      <c r="T26" s="24">
        <f t="shared" si="77"/>
        <v>120</v>
      </c>
      <c r="U26" s="24">
        <f t="shared" si="77"/>
        <v>120</v>
      </c>
      <c r="V26" s="24">
        <f t="shared" si="77"/>
        <v>120</v>
      </c>
      <c r="W26" s="24">
        <f t="shared" si="77"/>
        <v>120</v>
      </c>
      <c r="X26" s="24">
        <f t="shared" si="77"/>
        <v>120</v>
      </c>
      <c r="Y26" s="24">
        <f t="shared" si="77"/>
        <v>120</v>
      </c>
      <c r="Z26" s="24">
        <f t="shared" si="77"/>
        <v>120</v>
      </c>
      <c r="AA26" s="24">
        <f t="shared" si="77"/>
        <v>120</v>
      </c>
      <c r="AB26" s="24">
        <f t="shared" si="77"/>
        <v>120</v>
      </c>
      <c r="AC26" s="24">
        <f t="shared" si="77"/>
        <v>120</v>
      </c>
      <c r="AD26" s="24">
        <f t="shared" si="77"/>
        <v>120</v>
      </c>
      <c r="AE26" s="24">
        <f t="shared" si="77"/>
        <v>120</v>
      </c>
      <c r="AF26" s="24">
        <f t="shared" si="77"/>
        <v>120</v>
      </c>
      <c r="AG26" s="24">
        <f t="shared" si="77"/>
        <v>120</v>
      </c>
      <c r="AH26" s="24">
        <f t="shared" si="77"/>
        <v>120</v>
      </c>
      <c r="AI26" s="24">
        <f t="shared" ref="AI26:BN26" si="78">CST_RENT_CHILL*AI$20</f>
        <v>120</v>
      </c>
      <c r="AJ26" s="24">
        <f t="shared" si="78"/>
        <v>120</v>
      </c>
      <c r="AK26" s="24">
        <f t="shared" si="78"/>
        <v>120</v>
      </c>
      <c r="AL26" s="24">
        <f t="shared" si="78"/>
        <v>120</v>
      </c>
      <c r="AM26" s="24">
        <f t="shared" si="78"/>
        <v>120</v>
      </c>
      <c r="AN26" s="24">
        <f t="shared" si="78"/>
        <v>120</v>
      </c>
      <c r="AO26" s="24">
        <f t="shared" si="78"/>
        <v>120</v>
      </c>
      <c r="AP26" s="24">
        <f t="shared" si="78"/>
        <v>120</v>
      </c>
      <c r="AQ26" s="24">
        <f t="shared" si="78"/>
        <v>120</v>
      </c>
      <c r="AR26" s="24">
        <f t="shared" si="78"/>
        <v>120</v>
      </c>
      <c r="AS26" s="24">
        <f t="shared" si="78"/>
        <v>120</v>
      </c>
      <c r="AT26" s="24">
        <f t="shared" si="78"/>
        <v>120</v>
      </c>
      <c r="AU26" s="24">
        <f t="shared" si="78"/>
        <v>120</v>
      </c>
      <c r="AV26" s="24">
        <f t="shared" si="78"/>
        <v>120</v>
      </c>
      <c r="AW26" s="24">
        <f t="shared" si="78"/>
        <v>120</v>
      </c>
      <c r="AX26" s="24">
        <f t="shared" si="78"/>
        <v>120</v>
      </c>
      <c r="AY26" s="24">
        <f t="shared" si="78"/>
        <v>126</v>
      </c>
      <c r="AZ26" s="24">
        <f t="shared" si="78"/>
        <v>126</v>
      </c>
      <c r="BA26" s="24">
        <f t="shared" si="78"/>
        <v>126</v>
      </c>
      <c r="BB26" s="24">
        <f t="shared" si="78"/>
        <v>126</v>
      </c>
      <c r="BC26" s="24">
        <f t="shared" si="78"/>
        <v>126</v>
      </c>
      <c r="BD26" s="24">
        <f t="shared" si="78"/>
        <v>126</v>
      </c>
      <c r="BE26" s="24">
        <f t="shared" si="78"/>
        <v>126</v>
      </c>
      <c r="BF26" s="24">
        <f t="shared" si="78"/>
        <v>126</v>
      </c>
      <c r="BG26" s="24">
        <f t="shared" si="78"/>
        <v>126</v>
      </c>
      <c r="BH26" s="24">
        <f t="shared" si="78"/>
        <v>126</v>
      </c>
      <c r="BI26" s="24">
        <f t="shared" si="78"/>
        <v>126</v>
      </c>
      <c r="BJ26" s="24">
        <f t="shared" si="78"/>
        <v>126</v>
      </c>
      <c r="BK26" s="24">
        <f t="shared" si="78"/>
        <v>126</v>
      </c>
      <c r="BL26" s="24">
        <f t="shared" si="78"/>
        <v>126</v>
      </c>
      <c r="BM26" s="24">
        <f t="shared" si="78"/>
        <v>126</v>
      </c>
      <c r="BN26" s="24">
        <f t="shared" si="78"/>
        <v>126</v>
      </c>
      <c r="BO26" s="24">
        <f t="shared" ref="BO26:CT26" si="79">CST_RENT_CHILL*BO$20</f>
        <v>126</v>
      </c>
      <c r="BP26" s="24">
        <f t="shared" si="79"/>
        <v>126</v>
      </c>
      <c r="BQ26" s="24">
        <f t="shared" si="79"/>
        <v>126</v>
      </c>
      <c r="BR26" s="24">
        <f t="shared" si="79"/>
        <v>126</v>
      </c>
      <c r="BS26" s="24">
        <f t="shared" si="79"/>
        <v>126</v>
      </c>
      <c r="BT26" s="24">
        <f t="shared" si="79"/>
        <v>126</v>
      </c>
      <c r="BU26" s="24">
        <f t="shared" si="79"/>
        <v>126</v>
      </c>
      <c r="BV26" s="24">
        <f t="shared" si="79"/>
        <v>126</v>
      </c>
      <c r="BW26" s="24">
        <f t="shared" si="79"/>
        <v>132</v>
      </c>
      <c r="BX26" s="24">
        <f t="shared" si="79"/>
        <v>132</v>
      </c>
      <c r="BY26" s="24">
        <f t="shared" si="79"/>
        <v>132</v>
      </c>
      <c r="BZ26" s="24">
        <f t="shared" si="79"/>
        <v>132</v>
      </c>
      <c r="CA26" s="24">
        <f t="shared" si="79"/>
        <v>132</v>
      </c>
      <c r="CB26" s="24">
        <f t="shared" si="79"/>
        <v>132</v>
      </c>
      <c r="CC26" s="24">
        <f t="shared" si="79"/>
        <v>132</v>
      </c>
      <c r="CD26" s="24">
        <f t="shared" si="79"/>
        <v>132</v>
      </c>
      <c r="CE26" s="24">
        <f t="shared" si="79"/>
        <v>132</v>
      </c>
      <c r="CF26" s="24">
        <f t="shared" si="79"/>
        <v>132</v>
      </c>
      <c r="CG26" s="24">
        <f t="shared" si="79"/>
        <v>132</v>
      </c>
      <c r="CH26" s="24">
        <f t="shared" si="79"/>
        <v>132</v>
      </c>
      <c r="CI26" s="24">
        <f t="shared" si="79"/>
        <v>132</v>
      </c>
      <c r="CJ26" s="24">
        <f t="shared" si="79"/>
        <v>132</v>
      </c>
      <c r="CK26" s="24">
        <f t="shared" si="79"/>
        <v>132</v>
      </c>
      <c r="CL26" s="24">
        <f t="shared" si="79"/>
        <v>132</v>
      </c>
      <c r="CM26" s="24">
        <f t="shared" si="79"/>
        <v>132</v>
      </c>
      <c r="CN26" s="24">
        <f t="shared" si="79"/>
        <v>132</v>
      </c>
      <c r="CO26" s="24">
        <f t="shared" si="79"/>
        <v>132</v>
      </c>
      <c r="CP26" s="24">
        <f t="shared" si="79"/>
        <v>132</v>
      </c>
      <c r="CQ26" s="24">
        <f t="shared" si="79"/>
        <v>132</v>
      </c>
      <c r="CR26" s="24">
        <f t="shared" si="79"/>
        <v>132</v>
      </c>
      <c r="CS26" s="24">
        <f t="shared" si="79"/>
        <v>132</v>
      </c>
      <c r="CT26" s="24">
        <f t="shared" si="79"/>
        <v>132</v>
      </c>
      <c r="CU26" s="24">
        <f t="shared" ref="CU26:DZ26" si="80">CST_RENT_CHILL*CU$20</f>
        <v>138.00000000000003</v>
      </c>
      <c r="CV26" s="24">
        <f t="shared" si="80"/>
        <v>138.00000000000003</v>
      </c>
      <c r="CW26" s="24">
        <f t="shared" si="80"/>
        <v>138.00000000000003</v>
      </c>
      <c r="CX26" s="24">
        <f t="shared" si="80"/>
        <v>138.00000000000003</v>
      </c>
      <c r="CY26" s="24">
        <f t="shared" si="80"/>
        <v>138.00000000000003</v>
      </c>
      <c r="CZ26" s="24">
        <f t="shared" si="80"/>
        <v>138.00000000000003</v>
      </c>
      <c r="DA26" s="24">
        <f t="shared" si="80"/>
        <v>138.00000000000003</v>
      </c>
      <c r="DB26" s="24">
        <f t="shared" si="80"/>
        <v>138.00000000000003</v>
      </c>
      <c r="DC26" s="24">
        <f t="shared" si="80"/>
        <v>138.00000000000003</v>
      </c>
      <c r="DD26" s="24">
        <f t="shared" si="80"/>
        <v>138.00000000000003</v>
      </c>
      <c r="DE26" s="24">
        <f t="shared" si="80"/>
        <v>138.00000000000003</v>
      </c>
      <c r="DF26" s="24">
        <f t="shared" si="80"/>
        <v>138.00000000000003</v>
      </c>
      <c r="DG26" s="24">
        <f t="shared" si="80"/>
        <v>138.00000000000003</v>
      </c>
      <c r="DH26" s="24">
        <f t="shared" si="80"/>
        <v>138.00000000000003</v>
      </c>
      <c r="DI26" s="24">
        <f t="shared" si="80"/>
        <v>138.00000000000003</v>
      </c>
      <c r="DJ26" s="24">
        <f t="shared" si="80"/>
        <v>138.00000000000003</v>
      </c>
      <c r="DK26" s="24">
        <f t="shared" si="80"/>
        <v>138.00000000000003</v>
      </c>
      <c r="DL26" s="24">
        <f t="shared" si="80"/>
        <v>138.00000000000003</v>
      </c>
      <c r="DM26" s="24">
        <f t="shared" si="80"/>
        <v>138.00000000000003</v>
      </c>
      <c r="DN26" s="24">
        <f t="shared" si="80"/>
        <v>138.00000000000003</v>
      </c>
      <c r="DO26" s="24">
        <f t="shared" si="80"/>
        <v>138.00000000000003</v>
      </c>
      <c r="DP26" s="24">
        <f t="shared" si="80"/>
        <v>138.00000000000003</v>
      </c>
      <c r="DQ26" s="24">
        <f t="shared" si="80"/>
        <v>138.00000000000003</v>
      </c>
      <c r="DR26" s="24">
        <f t="shared" si="80"/>
        <v>138.00000000000003</v>
      </c>
      <c r="DS26" s="24">
        <f t="shared" si="80"/>
        <v>144.00000000000003</v>
      </c>
      <c r="DT26" s="24">
        <f t="shared" si="80"/>
        <v>144.00000000000003</v>
      </c>
      <c r="DU26" s="24">
        <f t="shared" si="80"/>
        <v>144.00000000000003</v>
      </c>
      <c r="DV26" s="24">
        <f t="shared" si="80"/>
        <v>144.00000000000003</v>
      </c>
      <c r="DW26" s="24">
        <f t="shared" si="80"/>
        <v>144.00000000000003</v>
      </c>
      <c r="DX26" s="24">
        <f t="shared" si="80"/>
        <v>144.00000000000003</v>
      </c>
      <c r="DY26" s="24">
        <f t="shared" si="80"/>
        <v>144.00000000000003</v>
      </c>
      <c r="DZ26" s="24">
        <f t="shared" si="80"/>
        <v>144.00000000000003</v>
      </c>
      <c r="EA26" s="24">
        <f t="shared" ref="EA26:FF26" si="81">CST_RENT_CHILL*EA$20</f>
        <v>144.00000000000003</v>
      </c>
      <c r="EB26" s="24">
        <f t="shared" si="81"/>
        <v>144.00000000000003</v>
      </c>
      <c r="EC26" s="24">
        <f t="shared" si="81"/>
        <v>144.00000000000003</v>
      </c>
      <c r="ED26" s="24">
        <f t="shared" si="81"/>
        <v>144.00000000000003</v>
      </c>
      <c r="EE26" s="24">
        <f t="shared" si="81"/>
        <v>144.00000000000003</v>
      </c>
      <c r="EF26" s="24">
        <f t="shared" si="81"/>
        <v>144.00000000000003</v>
      </c>
      <c r="EG26" s="24">
        <f t="shared" si="81"/>
        <v>144.00000000000003</v>
      </c>
      <c r="EH26" s="24">
        <f t="shared" si="81"/>
        <v>144.00000000000003</v>
      </c>
      <c r="EI26" s="24">
        <f t="shared" si="81"/>
        <v>144.00000000000003</v>
      </c>
      <c r="EJ26" s="24">
        <f t="shared" si="81"/>
        <v>144.00000000000003</v>
      </c>
      <c r="EK26" s="24">
        <f t="shared" si="81"/>
        <v>144.00000000000003</v>
      </c>
      <c r="EL26" s="24">
        <f t="shared" si="81"/>
        <v>144.00000000000003</v>
      </c>
      <c r="EM26" s="24">
        <f t="shared" si="81"/>
        <v>144.00000000000003</v>
      </c>
      <c r="EN26" s="24">
        <f t="shared" si="81"/>
        <v>144.00000000000003</v>
      </c>
      <c r="EO26" s="24">
        <f t="shared" si="81"/>
        <v>144.00000000000003</v>
      </c>
      <c r="EP26" s="24">
        <f t="shared" si="81"/>
        <v>144.00000000000003</v>
      </c>
      <c r="EQ26" s="24">
        <f t="shared" si="81"/>
        <v>150.00000000000003</v>
      </c>
      <c r="ER26" s="24">
        <f t="shared" si="81"/>
        <v>150.00000000000003</v>
      </c>
      <c r="ES26" s="24">
        <f t="shared" si="81"/>
        <v>150.00000000000003</v>
      </c>
      <c r="ET26" s="24">
        <f t="shared" si="81"/>
        <v>150.00000000000003</v>
      </c>
      <c r="EU26" s="24">
        <f t="shared" si="81"/>
        <v>150.00000000000003</v>
      </c>
      <c r="EV26" s="24">
        <f t="shared" si="81"/>
        <v>150.00000000000003</v>
      </c>
      <c r="EW26" s="24">
        <f t="shared" si="81"/>
        <v>150.00000000000003</v>
      </c>
      <c r="EX26" s="24">
        <f t="shared" si="81"/>
        <v>150.00000000000003</v>
      </c>
      <c r="EY26" s="24">
        <f t="shared" si="81"/>
        <v>150.00000000000003</v>
      </c>
      <c r="EZ26" s="24">
        <f t="shared" si="81"/>
        <v>150.00000000000003</v>
      </c>
      <c r="FA26" s="24">
        <f t="shared" si="81"/>
        <v>150.00000000000003</v>
      </c>
      <c r="FB26" s="24">
        <f t="shared" si="81"/>
        <v>150.00000000000003</v>
      </c>
      <c r="FC26" s="24">
        <f t="shared" si="81"/>
        <v>150.00000000000003</v>
      </c>
      <c r="FD26" s="24">
        <f t="shared" si="81"/>
        <v>150.00000000000003</v>
      </c>
      <c r="FE26" s="24">
        <f t="shared" si="81"/>
        <v>150.00000000000003</v>
      </c>
      <c r="FF26" s="24">
        <f t="shared" si="81"/>
        <v>150.00000000000003</v>
      </c>
      <c r="FG26" s="24">
        <f t="shared" ref="FG26:HR26" si="82">CST_RENT_CHILL*FG$20</f>
        <v>150.00000000000003</v>
      </c>
      <c r="FH26" s="24">
        <f t="shared" si="82"/>
        <v>150.00000000000003</v>
      </c>
      <c r="FI26" s="24">
        <f t="shared" si="82"/>
        <v>150.00000000000003</v>
      </c>
      <c r="FJ26" s="24">
        <f t="shared" si="82"/>
        <v>150.00000000000003</v>
      </c>
      <c r="FK26" s="24">
        <f t="shared" si="82"/>
        <v>150.00000000000003</v>
      </c>
      <c r="FL26" s="24">
        <f t="shared" si="82"/>
        <v>150.00000000000003</v>
      </c>
      <c r="FM26" s="24">
        <f t="shared" si="82"/>
        <v>150.00000000000003</v>
      </c>
      <c r="FN26" s="24">
        <f t="shared" si="82"/>
        <v>150.00000000000003</v>
      </c>
      <c r="FO26" s="24">
        <f t="shared" si="82"/>
        <v>156.00000000000003</v>
      </c>
      <c r="FP26" s="24">
        <f t="shared" si="82"/>
        <v>156.00000000000003</v>
      </c>
      <c r="FQ26" s="24">
        <f t="shared" si="82"/>
        <v>156.00000000000003</v>
      </c>
      <c r="FR26" s="24">
        <f t="shared" si="82"/>
        <v>156.00000000000003</v>
      </c>
      <c r="FS26" s="24">
        <f t="shared" si="82"/>
        <v>156.00000000000003</v>
      </c>
      <c r="FT26" s="24">
        <f t="shared" si="82"/>
        <v>156.00000000000003</v>
      </c>
      <c r="FU26" s="24">
        <f t="shared" si="82"/>
        <v>156.00000000000003</v>
      </c>
      <c r="FV26" s="24">
        <f t="shared" si="82"/>
        <v>156.00000000000003</v>
      </c>
      <c r="FW26" s="24">
        <f t="shared" si="82"/>
        <v>156.00000000000003</v>
      </c>
      <c r="FX26" s="24">
        <f t="shared" si="82"/>
        <v>156.00000000000003</v>
      </c>
      <c r="FY26" s="24">
        <f t="shared" si="82"/>
        <v>156.00000000000003</v>
      </c>
      <c r="FZ26" s="24">
        <f t="shared" si="82"/>
        <v>156.00000000000003</v>
      </c>
      <c r="GA26" s="24">
        <f t="shared" si="82"/>
        <v>156.00000000000003</v>
      </c>
      <c r="GB26" s="24">
        <f t="shared" si="82"/>
        <v>156.00000000000003</v>
      </c>
      <c r="GC26" s="24">
        <f t="shared" si="82"/>
        <v>156.00000000000003</v>
      </c>
      <c r="GD26" s="24">
        <f t="shared" si="82"/>
        <v>156.00000000000003</v>
      </c>
      <c r="GE26" s="24">
        <f t="shared" si="82"/>
        <v>156.00000000000003</v>
      </c>
      <c r="GF26" s="24">
        <f t="shared" si="82"/>
        <v>156.00000000000003</v>
      </c>
      <c r="GG26" s="24">
        <f t="shared" si="82"/>
        <v>156.00000000000003</v>
      </c>
      <c r="GH26" s="24">
        <f t="shared" si="82"/>
        <v>156.00000000000003</v>
      </c>
      <c r="GI26" s="24">
        <f t="shared" si="82"/>
        <v>156.00000000000003</v>
      </c>
      <c r="GJ26" s="24">
        <f t="shared" si="82"/>
        <v>156.00000000000003</v>
      </c>
      <c r="GK26" s="24">
        <f t="shared" si="82"/>
        <v>156.00000000000003</v>
      </c>
      <c r="GL26" s="24">
        <f t="shared" si="82"/>
        <v>156.00000000000003</v>
      </c>
      <c r="GM26" s="24">
        <f t="shared" si="82"/>
        <v>162.00000000000003</v>
      </c>
      <c r="GN26" s="24">
        <f t="shared" si="82"/>
        <v>162.00000000000003</v>
      </c>
      <c r="GO26" s="24">
        <f t="shared" si="82"/>
        <v>162.00000000000003</v>
      </c>
      <c r="GP26" s="24">
        <f t="shared" si="82"/>
        <v>162.00000000000003</v>
      </c>
      <c r="GQ26" s="24">
        <f t="shared" si="82"/>
        <v>162.00000000000003</v>
      </c>
      <c r="GR26" s="24">
        <f t="shared" si="82"/>
        <v>162.00000000000003</v>
      </c>
      <c r="GS26" s="24">
        <f t="shared" si="82"/>
        <v>162.00000000000003</v>
      </c>
      <c r="GT26" s="24">
        <f t="shared" si="82"/>
        <v>162.00000000000003</v>
      </c>
      <c r="GU26" s="24">
        <f t="shared" si="82"/>
        <v>162.00000000000003</v>
      </c>
      <c r="GV26" s="24">
        <f t="shared" si="82"/>
        <v>162.00000000000003</v>
      </c>
      <c r="GW26" s="24">
        <f t="shared" si="82"/>
        <v>162.00000000000003</v>
      </c>
      <c r="GX26" s="24">
        <f t="shared" si="82"/>
        <v>162.00000000000003</v>
      </c>
      <c r="GY26" s="24">
        <f t="shared" si="82"/>
        <v>162.00000000000003</v>
      </c>
      <c r="GZ26" s="24">
        <f t="shared" si="82"/>
        <v>162.00000000000003</v>
      </c>
      <c r="HA26" s="24">
        <f t="shared" si="82"/>
        <v>162.00000000000003</v>
      </c>
      <c r="HB26" s="24">
        <f t="shared" si="82"/>
        <v>162.00000000000003</v>
      </c>
      <c r="HC26" s="24">
        <f t="shared" si="82"/>
        <v>162.00000000000003</v>
      </c>
      <c r="HD26" s="24">
        <f t="shared" si="82"/>
        <v>162.00000000000003</v>
      </c>
      <c r="HE26" s="24">
        <f t="shared" si="82"/>
        <v>162.00000000000003</v>
      </c>
      <c r="HF26" s="24">
        <f t="shared" si="82"/>
        <v>162.00000000000003</v>
      </c>
      <c r="HG26" s="24">
        <f t="shared" si="82"/>
        <v>162.00000000000003</v>
      </c>
      <c r="HH26" s="24">
        <f t="shared" si="82"/>
        <v>162.00000000000003</v>
      </c>
      <c r="HI26" s="24">
        <f t="shared" si="82"/>
        <v>162.00000000000003</v>
      </c>
      <c r="HJ26" s="24">
        <f t="shared" si="82"/>
        <v>162.00000000000003</v>
      </c>
      <c r="HK26" s="24">
        <f t="shared" si="82"/>
        <v>168.00000000000006</v>
      </c>
      <c r="HL26" s="24">
        <f t="shared" si="82"/>
        <v>168.00000000000006</v>
      </c>
      <c r="HM26" s="24">
        <f t="shared" si="82"/>
        <v>168.00000000000006</v>
      </c>
      <c r="HN26" s="24">
        <f t="shared" si="82"/>
        <v>168.00000000000006</v>
      </c>
      <c r="HO26" s="24">
        <f t="shared" si="82"/>
        <v>168.00000000000006</v>
      </c>
      <c r="HP26" s="24">
        <f t="shared" si="82"/>
        <v>168.00000000000006</v>
      </c>
      <c r="HQ26" s="24">
        <f t="shared" si="82"/>
        <v>168.00000000000006</v>
      </c>
      <c r="HR26" s="24">
        <f t="shared" si="82"/>
        <v>168.00000000000006</v>
      </c>
      <c r="HS26" s="24">
        <f t="shared" ref="HS26:IH26" si="83">CST_RENT_CHILL*HS$20</f>
        <v>168.00000000000006</v>
      </c>
      <c r="HT26" s="24">
        <f t="shared" si="83"/>
        <v>168.00000000000006</v>
      </c>
      <c r="HU26" s="24">
        <f t="shared" si="83"/>
        <v>168.00000000000006</v>
      </c>
      <c r="HV26" s="24">
        <f t="shared" si="83"/>
        <v>168.00000000000006</v>
      </c>
      <c r="HW26" s="24">
        <f t="shared" si="83"/>
        <v>168.00000000000006</v>
      </c>
      <c r="HX26" s="24">
        <f t="shared" si="83"/>
        <v>168.00000000000006</v>
      </c>
      <c r="HY26" s="24">
        <f t="shared" si="83"/>
        <v>168.00000000000006</v>
      </c>
      <c r="HZ26" s="24">
        <f t="shared" si="83"/>
        <v>168.00000000000006</v>
      </c>
      <c r="IA26" s="24">
        <f t="shared" si="83"/>
        <v>168.00000000000006</v>
      </c>
      <c r="IB26" s="24">
        <f t="shared" si="83"/>
        <v>168.00000000000006</v>
      </c>
      <c r="IC26" s="24">
        <f t="shared" si="83"/>
        <v>168.00000000000006</v>
      </c>
      <c r="ID26" s="24">
        <f t="shared" si="83"/>
        <v>168.00000000000006</v>
      </c>
      <c r="IE26" s="24">
        <f t="shared" si="83"/>
        <v>168.00000000000006</v>
      </c>
      <c r="IF26" s="24">
        <f t="shared" si="83"/>
        <v>168.00000000000006</v>
      </c>
      <c r="IG26" s="24">
        <f t="shared" si="83"/>
        <v>168.00000000000006</v>
      </c>
      <c r="IH26" s="24">
        <f t="shared" si="83"/>
        <v>168.00000000000006</v>
      </c>
    </row>
    <row r="27" spans="1:242" x14ac:dyDescent="0.45">
      <c r="A27" s="58" t="s">
        <v>203</v>
      </c>
      <c r="B27" s="61"/>
      <c r="C27" s="24">
        <f t="shared" ref="C27:AH27" si="84">CST_RENT_FROZ*C$20</f>
        <v>120</v>
      </c>
      <c r="D27" s="24">
        <f t="shared" si="84"/>
        <v>120</v>
      </c>
      <c r="E27" s="24">
        <f t="shared" si="84"/>
        <v>120</v>
      </c>
      <c r="F27" s="24">
        <f t="shared" si="84"/>
        <v>120</v>
      </c>
      <c r="G27" s="24">
        <f t="shared" si="84"/>
        <v>120</v>
      </c>
      <c r="H27" s="24">
        <f t="shared" si="84"/>
        <v>120</v>
      </c>
      <c r="I27" s="24">
        <f t="shared" si="84"/>
        <v>120</v>
      </c>
      <c r="J27" s="24">
        <f t="shared" si="84"/>
        <v>120</v>
      </c>
      <c r="K27" s="24">
        <f t="shared" si="84"/>
        <v>120</v>
      </c>
      <c r="L27" s="24">
        <f t="shared" si="84"/>
        <v>120</v>
      </c>
      <c r="M27" s="24">
        <f t="shared" si="84"/>
        <v>120</v>
      </c>
      <c r="N27" s="24">
        <f t="shared" si="84"/>
        <v>120</v>
      </c>
      <c r="O27" s="24">
        <f t="shared" si="84"/>
        <v>120</v>
      </c>
      <c r="P27" s="24">
        <f t="shared" si="84"/>
        <v>120</v>
      </c>
      <c r="Q27" s="24">
        <f t="shared" si="84"/>
        <v>120</v>
      </c>
      <c r="R27" s="24">
        <f t="shared" si="84"/>
        <v>120</v>
      </c>
      <c r="S27" s="24">
        <f t="shared" si="84"/>
        <v>120</v>
      </c>
      <c r="T27" s="24">
        <f t="shared" si="84"/>
        <v>120</v>
      </c>
      <c r="U27" s="24">
        <f t="shared" si="84"/>
        <v>120</v>
      </c>
      <c r="V27" s="24">
        <f t="shared" si="84"/>
        <v>120</v>
      </c>
      <c r="W27" s="24">
        <f t="shared" si="84"/>
        <v>120</v>
      </c>
      <c r="X27" s="24">
        <f t="shared" si="84"/>
        <v>120</v>
      </c>
      <c r="Y27" s="24">
        <f t="shared" si="84"/>
        <v>120</v>
      </c>
      <c r="Z27" s="24">
        <f t="shared" si="84"/>
        <v>120</v>
      </c>
      <c r="AA27" s="24">
        <f t="shared" si="84"/>
        <v>120</v>
      </c>
      <c r="AB27" s="24">
        <f t="shared" si="84"/>
        <v>120</v>
      </c>
      <c r="AC27" s="24">
        <f t="shared" si="84"/>
        <v>120</v>
      </c>
      <c r="AD27" s="24">
        <f t="shared" si="84"/>
        <v>120</v>
      </c>
      <c r="AE27" s="24">
        <f t="shared" si="84"/>
        <v>120</v>
      </c>
      <c r="AF27" s="24">
        <f t="shared" si="84"/>
        <v>120</v>
      </c>
      <c r="AG27" s="24">
        <f t="shared" si="84"/>
        <v>120</v>
      </c>
      <c r="AH27" s="24">
        <f t="shared" si="84"/>
        <v>120</v>
      </c>
      <c r="AI27" s="24">
        <f t="shared" ref="AI27:BN27" si="85">CST_RENT_FROZ*AI$20</f>
        <v>120</v>
      </c>
      <c r="AJ27" s="24">
        <f t="shared" si="85"/>
        <v>120</v>
      </c>
      <c r="AK27" s="24">
        <f t="shared" si="85"/>
        <v>120</v>
      </c>
      <c r="AL27" s="24">
        <f t="shared" si="85"/>
        <v>120</v>
      </c>
      <c r="AM27" s="24">
        <f t="shared" si="85"/>
        <v>120</v>
      </c>
      <c r="AN27" s="24">
        <f t="shared" si="85"/>
        <v>120</v>
      </c>
      <c r="AO27" s="24">
        <f t="shared" si="85"/>
        <v>120</v>
      </c>
      <c r="AP27" s="24">
        <f t="shared" si="85"/>
        <v>120</v>
      </c>
      <c r="AQ27" s="24">
        <f t="shared" si="85"/>
        <v>120</v>
      </c>
      <c r="AR27" s="24">
        <f t="shared" si="85"/>
        <v>120</v>
      </c>
      <c r="AS27" s="24">
        <f t="shared" si="85"/>
        <v>120</v>
      </c>
      <c r="AT27" s="24">
        <f t="shared" si="85"/>
        <v>120</v>
      </c>
      <c r="AU27" s="24">
        <f t="shared" si="85"/>
        <v>120</v>
      </c>
      <c r="AV27" s="24">
        <f t="shared" si="85"/>
        <v>120</v>
      </c>
      <c r="AW27" s="24">
        <f t="shared" si="85"/>
        <v>120</v>
      </c>
      <c r="AX27" s="24">
        <f t="shared" si="85"/>
        <v>120</v>
      </c>
      <c r="AY27" s="24">
        <f t="shared" si="85"/>
        <v>126</v>
      </c>
      <c r="AZ27" s="24">
        <f t="shared" si="85"/>
        <v>126</v>
      </c>
      <c r="BA27" s="24">
        <f t="shared" si="85"/>
        <v>126</v>
      </c>
      <c r="BB27" s="24">
        <f t="shared" si="85"/>
        <v>126</v>
      </c>
      <c r="BC27" s="24">
        <f t="shared" si="85"/>
        <v>126</v>
      </c>
      <c r="BD27" s="24">
        <f t="shared" si="85"/>
        <v>126</v>
      </c>
      <c r="BE27" s="24">
        <f t="shared" si="85"/>
        <v>126</v>
      </c>
      <c r="BF27" s="24">
        <f t="shared" si="85"/>
        <v>126</v>
      </c>
      <c r="BG27" s="24">
        <f t="shared" si="85"/>
        <v>126</v>
      </c>
      <c r="BH27" s="24">
        <f t="shared" si="85"/>
        <v>126</v>
      </c>
      <c r="BI27" s="24">
        <f t="shared" si="85"/>
        <v>126</v>
      </c>
      <c r="BJ27" s="24">
        <f t="shared" si="85"/>
        <v>126</v>
      </c>
      <c r="BK27" s="24">
        <f t="shared" si="85"/>
        <v>126</v>
      </c>
      <c r="BL27" s="24">
        <f t="shared" si="85"/>
        <v>126</v>
      </c>
      <c r="BM27" s="24">
        <f t="shared" si="85"/>
        <v>126</v>
      </c>
      <c r="BN27" s="24">
        <f t="shared" si="85"/>
        <v>126</v>
      </c>
      <c r="BO27" s="24">
        <f t="shared" ref="BO27:CT27" si="86">CST_RENT_FROZ*BO$20</f>
        <v>126</v>
      </c>
      <c r="BP27" s="24">
        <f t="shared" si="86"/>
        <v>126</v>
      </c>
      <c r="BQ27" s="24">
        <f t="shared" si="86"/>
        <v>126</v>
      </c>
      <c r="BR27" s="24">
        <f t="shared" si="86"/>
        <v>126</v>
      </c>
      <c r="BS27" s="24">
        <f t="shared" si="86"/>
        <v>126</v>
      </c>
      <c r="BT27" s="24">
        <f t="shared" si="86"/>
        <v>126</v>
      </c>
      <c r="BU27" s="24">
        <f t="shared" si="86"/>
        <v>126</v>
      </c>
      <c r="BV27" s="24">
        <f t="shared" si="86"/>
        <v>126</v>
      </c>
      <c r="BW27" s="24">
        <f t="shared" si="86"/>
        <v>132</v>
      </c>
      <c r="BX27" s="24">
        <f t="shared" si="86"/>
        <v>132</v>
      </c>
      <c r="BY27" s="24">
        <f t="shared" si="86"/>
        <v>132</v>
      </c>
      <c r="BZ27" s="24">
        <f t="shared" si="86"/>
        <v>132</v>
      </c>
      <c r="CA27" s="24">
        <f t="shared" si="86"/>
        <v>132</v>
      </c>
      <c r="CB27" s="24">
        <f t="shared" si="86"/>
        <v>132</v>
      </c>
      <c r="CC27" s="24">
        <f t="shared" si="86"/>
        <v>132</v>
      </c>
      <c r="CD27" s="24">
        <f t="shared" si="86"/>
        <v>132</v>
      </c>
      <c r="CE27" s="24">
        <f t="shared" si="86"/>
        <v>132</v>
      </c>
      <c r="CF27" s="24">
        <f t="shared" si="86"/>
        <v>132</v>
      </c>
      <c r="CG27" s="24">
        <f t="shared" si="86"/>
        <v>132</v>
      </c>
      <c r="CH27" s="24">
        <f t="shared" si="86"/>
        <v>132</v>
      </c>
      <c r="CI27" s="24">
        <f t="shared" si="86"/>
        <v>132</v>
      </c>
      <c r="CJ27" s="24">
        <f t="shared" si="86"/>
        <v>132</v>
      </c>
      <c r="CK27" s="24">
        <f t="shared" si="86"/>
        <v>132</v>
      </c>
      <c r="CL27" s="24">
        <f t="shared" si="86"/>
        <v>132</v>
      </c>
      <c r="CM27" s="24">
        <f t="shared" si="86"/>
        <v>132</v>
      </c>
      <c r="CN27" s="24">
        <f t="shared" si="86"/>
        <v>132</v>
      </c>
      <c r="CO27" s="24">
        <f t="shared" si="86"/>
        <v>132</v>
      </c>
      <c r="CP27" s="24">
        <f t="shared" si="86"/>
        <v>132</v>
      </c>
      <c r="CQ27" s="24">
        <f t="shared" si="86"/>
        <v>132</v>
      </c>
      <c r="CR27" s="24">
        <f t="shared" si="86"/>
        <v>132</v>
      </c>
      <c r="CS27" s="24">
        <f t="shared" si="86"/>
        <v>132</v>
      </c>
      <c r="CT27" s="24">
        <f t="shared" si="86"/>
        <v>132</v>
      </c>
      <c r="CU27" s="24">
        <f t="shared" ref="CU27:DZ27" si="87">CST_RENT_FROZ*CU$20</f>
        <v>138.00000000000003</v>
      </c>
      <c r="CV27" s="24">
        <f t="shared" si="87"/>
        <v>138.00000000000003</v>
      </c>
      <c r="CW27" s="24">
        <f t="shared" si="87"/>
        <v>138.00000000000003</v>
      </c>
      <c r="CX27" s="24">
        <f t="shared" si="87"/>
        <v>138.00000000000003</v>
      </c>
      <c r="CY27" s="24">
        <f t="shared" si="87"/>
        <v>138.00000000000003</v>
      </c>
      <c r="CZ27" s="24">
        <f t="shared" si="87"/>
        <v>138.00000000000003</v>
      </c>
      <c r="DA27" s="24">
        <f t="shared" si="87"/>
        <v>138.00000000000003</v>
      </c>
      <c r="DB27" s="24">
        <f t="shared" si="87"/>
        <v>138.00000000000003</v>
      </c>
      <c r="DC27" s="24">
        <f t="shared" si="87"/>
        <v>138.00000000000003</v>
      </c>
      <c r="DD27" s="24">
        <f t="shared" si="87"/>
        <v>138.00000000000003</v>
      </c>
      <c r="DE27" s="24">
        <f t="shared" si="87"/>
        <v>138.00000000000003</v>
      </c>
      <c r="DF27" s="24">
        <f t="shared" si="87"/>
        <v>138.00000000000003</v>
      </c>
      <c r="DG27" s="24">
        <f t="shared" si="87"/>
        <v>138.00000000000003</v>
      </c>
      <c r="DH27" s="24">
        <f t="shared" si="87"/>
        <v>138.00000000000003</v>
      </c>
      <c r="DI27" s="24">
        <f t="shared" si="87"/>
        <v>138.00000000000003</v>
      </c>
      <c r="DJ27" s="24">
        <f t="shared" si="87"/>
        <v>138.00000000000003</v>
      </c>
      <c r="DK27" s="24">
        <f t="shared" si="87"/>
        <v>138.00000000000003</v>
      </c>
      <c r="DL27" s="24">
        <f t="shared" si="87"/>
        <v>138.00000000000003</v>
      </c>
      <c r="DM27" s="24">
        <f t="shared" si="87"/>
        <v>138.00000000000003</v>
      </c>
      <c r="DN27" s="24">
        <f t="shared" si="87"/>
        <v>138.00000000000003</v>
      </c>
      <c r="DO27" s="24">
        <f t="shared" si="87"/>
        <v>138.00000000000003</v>
      </c>
      <c r="DP27" s="24">
        <f t="shared" si="87"/>
        <v>138.00000000000003</v>
      </c>
      <c r="DQ27" s="24">
        <f t="shared" si="87"/>
        <v>138.00000000000003</v>
      </c>
      <c r="DR27" s="24">
        <f t="shared" si="87"/>
        <v>138.00000000000003</v>
      </c>
      <c r="DS27" s="24">
        <f t="shared" si="87"/>
        <v>144.00000000000003</v>
      </c>
      <c r="DT27" s="24">
        <f t="shared" si="87"/>
        <v>144.00000000000003</v>
      </c>
      <c r="DU27" s="24">
        <f t="shared" si="87"/>
        <v>144.00000000000003</v>
      </c>
      <c r="DV27" s="24">
        <f t="shared" si="87"/>
        <v>144.00000000000003</v>
      </c>
      <c r="DW27" s="24">
        <f t="shared" si="87"/>
        <v>144.00000000000003</v>
      </c>
      <c r="DX27" s="24">
        <f t="shared" si="87"/>
        <v>144.00000000000003</v>
      </c>
      <c r="DY27" s="24">
        <f t="shared" si="87"/>
        <v>144.00000000000003</v>
      </c>
      <c r="DZ27" s="24">
        <f t="shared" si="87"/>
        <v>144.00000000000003</v>
      </c>
      <c r="EA27" s="24">
        <f t="shared" ref="EA27:FF27" si="88">CST_RENT_FROZ*EA$20</f>
        <v>144.00000000000003</v>
      </c>
      <c r="EB27" s="24">
        <f t="shared" si="88"/>
        <v>144.00000000000003</v>
      </c>
      <c r="EC27" s="24">
        <f t="shared" si="88"/>
        <v>144.00000000000003</v>
      </c>
      <c r="ED27" s="24">
        <f t="shared" si="88"/>
        <v>144.00000000000003</v>
      </c>
      <c r="EE27" s="24">
        <f t="shared" si="88"/>
        <v>144.00000000000003</v>
      </c>
      <c r="EF27" s="24">
        <f t="shared" si="88"/>
        <v>144.00000000000003</v>
      </c>
      <c r="EG27" s="24">
        <f t="shared" si="88"/>
        <v>144.00000000000003</v>
      </c>
      <c r="EH27" s="24">
        <f t="shared" si="88"/>
        <v>144.00000000000003</v>
      </c>
      <c r="EI27" s="24">
        <f t="shared" si="88"/>
        <v>144.00000000000003</v>
      </c>
      <c r="EJ27" s="24">
        <f t="shared" si="88"/>
        <v>144.00000000000003</v>
      </c>
      <c r="EK27" s="24">
        <f t="shared" si="88"/>
        <v>144.00000000000003</v>
      </c>
      <c r="EL27" s="24">
        <f t="shared" si="88"/>
        <v>144.00000000000003</v>
      </c>
      <c r="EM27" s="24">
        <f t="shared" si="88"/>
        <v>144.00000000000003</v>
      </c>
      <c r="EN27" s="24">
        <f t="shared" si="88"/>
        <v>144.00000000000003</v>
      </c>
      <c r="EO27" s="24">
        <f t="shared" si="88"/>
        <v>144.00000000000003</v>
      </c>
      <c r="EP27" s="24">
        <f t="shared" si="88"/>
        <v>144.00000000000003</v>
      </c>
      <c r="EQ27" s="24">
        <f t="shared" si="88"/>
        <v>150.00000000000003</v>
      </c>
      <c r="ER27" s="24">
        <f t="shared" si="88"/>
        <v>150.00000000000003</v>
      </c>
      <c r="ES27" s="24">
        <f t="shared" si="88"/>
        <v>150.00000000000003</v>
      </c>
      <c r="ET27" s="24">
        <f t="shared" si="88"/>
        <v>150.00000000000003</v>
      </c>
      <c r="EU27" s="24">
        <f t="shared" si="88"/>
        <v>150.00000000000003</v>
      </c>
      <c r="EV27" s="24">
        <f t="shared" si="88"/>
        <v>150.00000000000003</v>
      </c>
      <c r="EW27" s="24">
        <f t="shared" si="88"/>
        <v>150.00000000000003</v>
      </c>
      <c r="EX27" s="24">
        <f t="shared" si="88"/>
        <v>150.00000000000003</v>
      </c>
      <c r="EY27" s="24">
        <f t="shared" si="88"/>
        <v>150.00000000000003</v>
      </c>
      <c r="EZ27" s="24">
        <f t="shared" si="88"/>
        <v>150.00000000000003</v>
      </c>
      <c r="FA27" s="24">
        <f t="shared" si="88"/>
        <v>150.00000000000003</v>
      </c>
      <c r="FB27" s="24">
        <f t="shared" si="88"/>
        <v>150.00000000000003</v>
      </c>
      <c r="FC27" s="24">
        <f t="shared" si="88"/>
        <v>150.00000000000003</v>
      </c>
      <c r="FD27" s="24">
        <f t="shared" si="88"/>
        <v>150.00000000000003</v>
      </c>
      <c r="FE27" s="24">
        <f t="shared" si="88"/>
        <v>150.00000000000003</v>
      </c>
      <c r="FF27" s="24">
        <f t="shared" si="88"/>
        <v>150.00000000000003</v>
      </c>
      <c r="FG27" s="24">
        <f t="shared" ref="FG27:HR27" si="89">CST_RENT_FROZ*FG$20</f>
        <v>150.00000000000003</v>
      </c>
      <c r="FH27" s="24">
        <f t="shared" si="89"/>
        <v>150.00000000000003</v>
      </c>
      <c r="FI27" s="24">
        <f t="shared" si="89"/>
        <v>150.00000000000003</v>
      </c>
      <c r="FJ27" s="24">
        <f t="shared" si="89"/>
        <v>150.00000000000003</v>
      </c>
      <c r="FK27" s="24">
        <f t="shared" si="89"/>
        <v>150.00000000000003</v>
      </c>
      <c r="FL27" s="24">
        <f t="shared" si="89"/>
        <v>150.00000000000003</v>
      </c>
      <c r="FM27" s="24">
        <f t="shared" si="89"/>
        <v>150.00000000000003</v>
      </c>
      <c r="FN27" s="24">
        <f t="shared" si="89"/>
        <v>150.00000000000003</v>
      </c>
      <c r="FO27" s="24">
        <f t="shared" si="89"/>
        <v>156.00000000000003</v>
      </c>
      <c r="FP27" s="24">
        <f t="shared" si="89"/>
        <v>156.00000000000003</v>
      </c>
      <c r="FQ27" s="24">
        <f t="shared" si="89"/>
        <v>156.00000000000003</v>
      </c>
      <c r="FR27" s="24">
        <f t="shared" si="89"/>
        <v>156.00000000000003</v>
      </c>
      <c r="FS27" s="24">
        <f t="shared" si="89"/>
        <v>156.00000000000003</v>
      </c>
      <c r="FT27" s="24">
        <f t="shared" si="89"/>
        <v>156.00000000000003</v>
      </c>
      <c r="FU27" s="24">
        <f t="shared" si="89"/>
        <v>156.00000000000003</v>
      </c>
      <c r="FV27" s="24">
        <f t="shared" si="89"/>
        <v>156.00000000000003</v>
      </c>
      <c r="FW27" s="24">
        <f t="shared" si="89"/>
        <v>156.00000000000003</v>
      </c>
      <c r="FX27" s="24">
        <f t="shared" si="89"/>
        <v>156.00000000000003</v>
      </c>
      <c r="FY27" s="24">
        <f t="shared" si="89"/>
        <v>156.00000000000003</v>
      </c>
      <c r="FZ27" s="24">
        <f t="shared" si="89"/>
        <v>156.00000000000003</v>
      </c>
      <c r="GA27" s="24">
        <f t="shared" si="89"/>
        <v>156.00000000000003</v>
      </c>
      <c r="GB27" s="24">
        <f t="shared" si="89"/>
        <v>156.00000000000003</v>
      </c>
      <c r="GC27" s="24">
        <f t="shared" si="89"/>
        <v>156.00000000000003</v>
      </c>
      <c r="GD27" s="24">
        <f t="shared" si="89"/>
        <v>156.00000000000003</v>
      </c>
      <c r="GE27" s="24">
        <f t="shared" si="89"/>
        <v>156.00000000000003</v>
      </c>
      <c r="GF27" s="24">
        <f t="shared" si="89"/>
        <v>156.00000000000003</v>
      </c>
      <c r="GG27" s="24">
        <f t="shared" si="89"/>
        <v>156.00000000000003</v>
      </c>
      <c r="GH27" s="24">
        <f t="shared" si="89"/>
        <v>156.00000000000003</v>
      </c>
      <c r="GI27" s="24">
        <f t="shared" si="89"/>
        <v>156.00000000000003</v>
      </c>
      <c r="GJ27" s="24">
        <f t="shared" si="89"/>
        <v>156.00000000000003</v>
      </c>
      <c r="GK27" s="24">
        <f t="shared" si="89"/>
        <v>156.00000000000003</v>
      </c>
      <c r="GL27" s="24">
        <f t="shared" si="89"/>
        <v>156.00000000000003</v>
      </c>
      <c r="GM27" s="24">
        <f t="shared" si="89"/>
        <v>162.00000000000003</v>
      </c>
      <c r="GN27" s="24">
        <f t="shared" si="89"/>
        <v>162.00000000000003</v>
      </c>
      <c r="GO27" s="24">
        <f t="shared" si="89"/>
        <v>162.00000000000003</v>
      </c>
      <c r="GP27" s="24">
        <f t="shared" si="89"/>
        <v>162.00000000000003</v>
      </c>
      <c r="GQ27" s="24">
        <f t="shared" si="89"/>
        <v>162.00000000000003</v>
      </c>
      <c r="GR27" s="24">
        <f t="shared" si="89"/>
        <v>162.00000000000003</v>
      </c>
      <c r="GS27" s="24">
        <f t="shared" si="89"/>
        <v>162.00000000000003</v>
      </c>
      <c r="GT27" s="24">
        <f t="shared" si="89"/>
        <v>162.00000000000003</v>
      </c>
      <c r="GU27" s="24">
        <f t="shared" si="89"/>
        <v>162.00000000000003</v>
      </c>
      <c r="GV27" s="24">
        <f t="shared" si="89"/>
        <v>162.00000000000003</v>
      </c>
      <c r="GW27" s="24">
        <f t="shared" si="89"/>
        <v>162.00000000000003</v>
      </c>
      <c r="GX27" s="24">
        <f t="shared" si="89"/>
        <v>162.00000000000003</v>
      </c>
      <c r="GY27" s="24">
        <f t="shared" si="89"/>
        <v>162.00000000000003</v>
      </c>
      <c r="GZ27" s="24">
        <f t="shared" si="89"/>
        <v>162.00000000000003</v>
      </c>
      <c r="HA27" s="24">
        <f t="shared" si="89"/>
        <v>162.00000000000003</v>
      </c>
      <c r="HB27" s="24">
        <f t="shared" si="89"/>
        <v>162.00000000000003</v>
      </c>
      <c r="HC27" s="24">
        <f t="shared" si="89"/>
        <v>162.00000000000003</v>
      </c>
      <c r="HD27" s="24">
        <f t="shared" si="89"/>
        <v>162.00000000000003</v>
      </c>
      <c r="HE27" s="24">
        <f t="shared" si="89"/>
        <v>162.00000000000003</v>
      </c>
      <c r="HF27" s="24">
        <f t="shared" si="89"/>
        <v>162.00000000000003</v>
      </c>
      <c r="HG27" s="24">
        <f t="shared" si="89"/>
        <v>162.00000000000003</v>
      </c>
      <c r="HH27" s="24">
        <f t="shared" si="89"/>
        <v>162.00000000000003</v>
      </c>
      <c r="HI27" s="24">
        <f t="shared" si="89"/>
        <v>162.00000000000003</v>
      </c>
      <c r="HJ27" s="24">
        <f t="shared" si="89"/>
        <v>162.00000000000003</v>
      </c>
      <c r="HK27" s="24">
        <f t="shared" si="89"/>
        <v>168.00000000000006</v>
      </c>
      <c r="HL27" s="24">
        <f t="shared" si="89"/>
        <v>168.00000000000006</v>
      </c>
      <c r="HM27" s="24">
        <f t="shared" si="89"/>
        <v>168.00000000000006</v>
      </c>
      <c r="HN27" s="24">
        <f t="shared" si="89"/>
        <v>168.00000000000006</v>
      </c>
      <c r="HO27" s="24">
        <f t="shared" si="89"/>
        <v>168.00000000000006</v>
      </c>
      <c r="HP27" s="24">
        <f t="shared" si="89"/>
        <v>168.00000000000006</v>
      </c>
      <c r="HQ27" s="24">
        <f t="shared" si="89"/>
        <v>168.00000000000006</v>
      </c>
      <c r="HR27" s="24">
        <f t="shared" si="89"/>
        <v>168.00000000000006</v>
      </c>
      <c r="HS27" s="24">
        <f t="shared" ref="HS27:IH27" si="90">CST_RENT_FROZ*HS$20</f>
        <v>168.00000000000006</v>
      </c>
      <c r="HT27" s="24">
        <f t="shared" si="90"/>
        <v>168.00000000000006</v>
      </c>
      <c r="HU27" s="24">
        <f t="shared" si="90"/>
        <v>168.00000000000006</v>
      </c>
      <c r="HV27" s="24">
        <f t="shared" si="90"/>
        <v>168.00000000000006</v>
      </c>
      <c r="HW27" s="24">
        <f t="shared" si="90"/>
        <v>168.00000000000006</v>
      </c>
      <c r="HX27" s="24">
        <f t="shared" si="90"/>
        <v>168.00000000000006</v>
      </c>
      <c r="HY27" s="24">
        <f t="shared" si="90"/>
        <v>168.00000000000006</v>
      </c>
      <c r="HZ27" s="24">
        <f t="shared" si="90"/>
        <v>168.00000000000006</v>
      </c>
      <c r="IA27" s="24">
        <f t="shared" si="90"/>
        <v>168.00000000000006</v>
      </c>
      <c r="IB27" s="24">
        <f t="shared" si="90"/>
        <v>168.00000000000006</v>
      </c>
      <c r="IC27" s="24">
        <f t="shared" si="90"/>
        <v>168.00000000000006</v>
      </c>
      <c r="ID27" s="24">
        <f t="shared" si="90"/>
        <v>168.00000000000006</v>
      </c>
      <c r="IE27" s="24">
        <f t="shared" si="90"/>
        <v>168.00000000000006</v>
      </c>
      <c r="IF27" s="24">
        <f t="shared" si="90"/>
        <v>168.00000000000006</v>
      </c>
      <c r="IG27" s="24">
        <f t="shared" si="90"/>
        <v>168.00000000000006</v>
      </c>
      <c r="IH27" s="24">
        <f t="shared" si="90"/>
        <v>168.00000000000006</v>
      </c>
    </row>
    <row r="28" spans="1:242" x14ac:dyDescent="0.45">
      <c r="A28" s="58" t="s">
        <v>202</v>
      </c>
      <c r="B28" s="61"/>
      <c r="C28" s="24">
        <f t="shared" ref="C28:AH28" si="91">CST_RENT_DRY_M*C$20</f>
        <v>45.625</v>
      </c>
      <c r="D28" s="24">
        <f t="shared" si="91"/>
        <v>45.625</v>
      </c>
      <c r="E28" s="24">
        <f t="shared" si="91"/>
        <v>45.625</v>
      </c>
      <c r="F28" s="24">
        <f t="shared" si="91"/>
        <v>45.625</v>
      </c>
      <c r="G28" s="24">
        <f t="shared" si="91"/>
        <v>45.625</v>
      </c>
      <c r="H28" s="24">
        <f t="shared" si="91"/>
        <v>45.625</v>
      </c>
      <c r="I28" s="24">
        <f t="shared" si="91"/>
        <v>45.625</v>
      </c>
      <c r="J28" s="24">
        <f t="shared" si="91"/>
        <v>45.625</v>
      </c>
      <c r="K28" s="24">
        <f t="shared" si="91"/>
        <v>45.625</v>
      </c>
      <c r="L28" s="24">
        <f t="shared" si="91"/>
        <v>45.625</v>
      </c>
      <c r="M28" s="24">
        <f t="shared" si="91"/>
        <v>45.625</v>
      </c>
      <c r="N28" s="24">
        <f t="shared" si="91"/>
        <v>45.625</v>
      </c>
      <c r="O28" s="24">
        <f t="shared" si="91"/>
        <v>45.625</v>
      </c>
      <c r="P28" s="24">
        <f t="shared" si="91"/>
        <v>45.625</v>
      </c>
      <c r="Q28" s="24">
        <f t="shared" si="91"/>
        <v>45.625</v>
      </c>
      <c r="R28" s="24">
        <f t="shared" si="91"/>
        <v>45.625</v>
      </c>
      <c r="S28" s="24">
        <f t="shared" si="91"/>
        <v>45.625</v>
      </c>
      <c r="T28" s="24">
        <f t="shared" si="91"/>
        <v>45.625</v>
      </c>
      <c r="U28" s="24">
        <f t="shared" si="91"/>
        <v>45.625</v>
      </c>
      <c r="V28" s="24">
        <f t="shared" si="91"/>
        <v>45.625</v>
      </c>
      <c r="W28" s="24">
        <f t="shared" si="91"/>
        <v>45.625</v>
      </c>
      <c r="X28" s="24">
        <f t="shared" si="91"/>
        <v>45.625</v>
      </c>
      <c r="Y28" s="24">
        <f t="shared" si="91"/>
        <v>45.625</v>
      </c>
      <c r="Z28" s="24">
        <f t="shared" si="91"/>
        <v>45.625</v>
      </c>
      <c r="AA28" s="24">
        <f t="shared" si="91"/>
        <v>45.625</v>
      </c>
      <c r="AB28" s="24">
        <f t="shared" si="91"/>
        <v>45.625</v>
      </c>
      <c r="AC28" s="24">
        <f t="shared" si="91"/>
        <v>45.625</v>
      </c>
      <c r="AD28" s="24">
        <f t="shared" si="91"/>
        <v>45.625</v>
      </c>
      <c r="AE28" s="24">
        <f t="shared" si="91"/>
        <v>45.625</v>
      </c>
      <c r="AF28" s="24">
        <f t="shared" si="91"/>
        <v>45.625</v>
      </c>
      <c r="AG28" s="24">
        <f t="shared" si="91"/>
        <v>45.625</v>
      </c>
      <c r="AH28" s="24">
        <f t="shared" si="91"/>
        <v>45.625</v>
      </c>
      <c r="AI28" s="24">
        <f t="shared" ref="AI28:BN28" si="92">CST_RENT_DRY_M*AI$20</f>
        <v>45.625</v>
      </c>
      <c r="AJ28" s="24">
        <f t="shared" si="92"/>
        <v>45.625</v>
      </c>
      <c r="AK28" s="24">
        <f t="shared" si="92"/>
        <v>45.625</v>
      </c>
      <c r="AL28" s="24">
        <f t="shared" si="92"/>
        <v>45.625</v>
      </c>
      <c r="AM28" s="24">
        <f t="shared" si="92"/>
        <v>45.625</v>
      </c>
      <c r="AN28" s="24">
        <f t="shared" si="92"/>
        <v>45.625</v>
      </c>
      <c r="AO28" s="24">
        <f t="shared" si="92"/>
        <v>45.625</v>
      </c>
      <c r="AP28" s="24">
        <f t="shared" si="92"/>
        <v>45.625</v>
      </c>
      <c r="AQ28" s="24">
        <f t="shared" si="92"/>
        <v>45.625</v>
      </c>
      <c r="AR28" s="24">
        <f t="shared" si="92"/>
        <v>45.625</v>
      </c>
      <c r="AS28" s="24">
        <f t="shared" si="92"/>
        <v>45.625</v>
      </c>
      <c r="AT28" s="24">
        <f t="shared" si="92"/>
        <v>45.625</v>
      </c>
      <c r="AU28" s="24">
        <f t="shared" si="92"/>
        <v>45.625</v>
      </c>
      <c r="AV28" s="24">
        <f t="shared" si="92"/>
        <v>45.625</v>
      </c>
      <c r="AW28" s="24">
        <f t="shared" si="92"/>
        <v>45.625</v>
      </c>
      <c r="AX28" s="24">
        <f t="shared" si="92"/>
        <v>45.625</v>
      </c>
      <c r="AY28" s="24">
        <f t="shared" si="92"/>
        <v>47.90625</v>
      </c>
      <c r="AZ28" s="24">
        <f t="shared" si="92"/>
        <v>47.90625</v>
      </c>
      <c r="BA28" s="24">
        <f t="shared" si="92"/>
        <v>47.90625</v>
      </c>
      <c r="BB28" s="24">
        <f t="shared" si="92"/>
        <v>47.90625</v>
      </c>
      <c r="BC28" s="24">
        <f t="shared" si="92"/>
        <v>47.90625</v>
      </c>
      <c r="BD28" s="24">
        <f t="shared" si="92"/>
        <v>47.90625</v>
      </c>
      <c r="BE28" s="24">
        <f t="shared" si="92"/>
        <v>47.90625</v>
      </c>
      <c r="BF28" s="24">
        <f t="shared" si="92"/>
        <v>47.90625</v>
      </c>
      <c r="BG28" s="24">
        <f t="shared" si="92"/>
        <v>47.90625</v>
      </c>
      <c r="BH28" s="24">
        <f t="shared" si="92"/>
        <v>47.90625</v>
      </c>
      <c r="BI28" s="24">
        <f t="shared" si="92"/>
        <v>47.90625</v>
      </c>
      <c r="BJ28" s="24">
        <f t="shared" si="92"/>
        <v>47.90625</v>
      </c>
      <c r="BK28" s="24">
        <f t="shared" si="92"/>
        <v>47.90625</v>
      </c>
      <c r="BL28" s="24">
        <f t="shared" si="92"/>
        <v>47.90625</v>
      </c>
      <c r="BM28" s="24">
        <f t="shared" si="92"/>
        <v>47.90625</v>
      </c>
      <c r="BN28" s="24">
        <f t="shared" si="92"/>
        <v>47.90625</v>
      </c>
      <c r="BO28" s="24">
        <f t="shared" ref="BO28:CT28" si="93">CST_RENT_DRY_M*BO$20</f>
        <v>47.90625</v>
      </c>
      <c r="BP28" s="24">
        <f t="shared" si="93"/>
        <v>47.90625</v>
      </c>
      <c r="BQ28" s="24">
        <f t="shared" si="93"/>
        <v>47.90625</v>
      </c>
      <c r="BR28" s="24">
        <f t="shared" si="93"/>
        <v>47.90625</v>
      </c>
      <c r="BS28" s="24">
        <f t="shared" si="93"/>
        <v>47.90625</v>
      </c>
      <c r="BT28" s="24">
        <f t="shared" si="93"/>
        <v>47.90625</v>
      </c>
      <c r="BU28" s="24">
        <f t="shared" si="93"/>
        <v>47.90625</v>
      </c>
      <c r="BV28" s="24">
        <f t="shared" si="93"/>
        <v>47.90625</v>
      </c>
      <c r="BW28" s="24">
        <f t="shared" si="93"/>
        <v>50.187500000000007</v>
      </c>
      <c r="BX28" s="24">
        <f t="shared" si="93"/>
        <v>50.187500000000007</v>
      </c>
      <c r="BY28" s="24">
        <f t="shared" si="93"/>
        <v>50.187500000000007</v>
      </c>
      <c r="BZ28" s="24">
        <f t="shared" si="93"/>
        <v>50.187500000000007</v>
      </c>
      <c r="CA28" s="24">
        <f t="shared" si="93"/>
        <v>50.187500000000007</v>
      </c>
      <c r="CB28" s="24">
        <f t="shared" si="93"/>
        <v>50.187500000000007</v>
      </c>
      <c r="CC28" s="24">
        <f t="shared" si="93"/>
        <v>50.187500000000007</v>
      </c>
      <c r="CD28" s="24">
        <f t="shared" si="93"/>
        <v>50.187500000000007</v>
      </c>
      <c r="CE28" s="24">
        <f t="shared" si="93"/>
        <v>50.187500000000007</v>
      </c>
      <c r="CF28" s="24">
        <f t="shared" si="93"/>
        <v>50.187500000000007</v>
      </c>
      <c r="CG28" s="24">
        <f t="shared" si="93"/>
        <v>50.187500000000007</v>
      </c>
      <c r="CH28" s="24">
        <f t="shared" si="93"/>
        <v>50.187500000000007</v>
      </c>
      <c r="CI28" s="24">
        <f t="shared" si="93"/>
        <v>50.187500000000007</v>
      </c>
      <c r="CJ28" s="24">
        <f t="shared" si="93"/>
        <v>50.187500000000007</v>
      </c>
      <c r="CK28" s="24">
        <f t="shared" si="93"/>
        <v>50.187500000000007</v>
      </c>
      <c r="CL28" s="24">
        <f t="shared" si="93"/>
        <v>50.187500000000007</v>
      </c>
      <c r="CM28" s="24">
        <f t="shared" si="93"/>
        <v>50.187500000000007</v>
      </c>
      <c r="CN28" s="24">
        <f t="shared" si="93"/>
        <v>50.187500000000007</v>
      </c>
      <c r="CO28" s="24">
        <f t="shared" si="93"/>
        <v>50.187500000000007</v>
      </c>
      <c r="CP28" s="24">
        <f t="shared" si="93"/>
        <v>50.187500000000007</v>
      </c>
      <c r="CQ28" s="24">
        <f t="shared" si="93"/>
        <v>50.187500000000007</v>
      </c>
      <c r="CR28" s="24">
        <f t="shared" si="93"/>
        <v>50.187500000000007</v>
      </c>
      <c r="CS28" s="24">
        <f t="shared" si="93"/>
        <v>50.187500000000007</v>
      </c>
      <c r="CT28" s="24">
        <f t="shared" si="93"/>
        <v>50.187500000000007</v>
      </c>
      <c r="CU28" s="24">
        <f t="shared" ref="CU28:DZ28" si="94">CST_RENT_DRY_M*CU$20</f>
        <v>52.468750000000007</v>
      </c>
      <c r="CV28" s="24">
        <f t="shared" si="94"/>
        <v>52.468750000000007</v>
      </c>
      <c r="CW28" s="24">
        <f t="shared" si="94"/>
        <v>52.468750000000007</v>
      </c>
      <c r="CX28" s="24">
        <f t="shared" si="94"/>
        <v>52.468750000000007</v>
      </c>
      <c r="CY28" s="24">
        <f t="shared" si="94"/>
        <v>52.468750000000007</v>
      </c>
      <c r="CZ28" s="24">
        <f t="shared" si="94"/>
        <v>52.468750000000007</v>
      </c>
      <c r="DA28" s="24">
        <f t="shared" si="94"/>
        <v>52.468750000000007</v>
      </c>
      <c r="DB28" s="24">
        <f t="shared" si="94"/>
        <v>52.468750000000007</v>
      </c>
      <c r="DC28" s="24">
        <f t="shared" si="94"/>
        <v>52.468750000000007</v>
      </c>
      <c r="DD28" s="24">
        <f t="shared" si="94"/>
        <v>52.468750000000007</v>
      </c>
      <c r="DE28" s="24">
        <f t="shared" si="94"/>
        <v>52.468750000000007</v>
      </c>
      <c r="DF28" s="24">
        <f t="shared" si="94"/>
        <v>52.468750000000007</v>
      </c>
      <c r="DG28" s="24">
        <f t="shared" si="94"/>
        <v>52.468750000000007</v>
      </c>
      <c r="DH28" s="24">
        <f t="shared" si="94"/>
        <v>52.468750000000007</v>
      </c>
      <c r="DI28" s="24">
        <f t="shared" si="94"/>
        <v>52.468750000000007</v>
      </c>
      <c r="DJ28" s="24">
        <f t="shared" si="94"/>
        <v>52.468750000000007</v>
      </c>
      <c r="DK28" s="24">
        <f t="shared" si="94"/>
        <v>52.468750000000007</v>
      </c>
      <c r="DL28" s="24">
        <f t="shared" si="94"/>
        <v>52.468750000000007</v>
      </c>
      <c r="DM28" s="24">
        <f t="shared" si="94"/>
        <v>52.468750000000007</v>
      </c>
      <c r="DN28" s="24">
        <f t="shared" si="94"/>
        <v>52.468750000000007</v>
      </c>
      <c r="DO28" s="24">
        <f t="shared" si="94"/>
        <v>52.468750000000007</v>
      </c>
      <c r="DP28" s="24">
        <f t="shared" si="94"/>
        <v>52.468750000000007</v>
      </c>
      <c r="DQ28" s="24">
        <f t="shared" si="94"/>
        <v>52.468750000000007</v>
      </c>
      <c r="DR28" s="24">
        <f t="shared" si="94"/>
        <v>52.468750000000007</v>
      </c>
      <c r="DS28" s="24">
        <f t="shared" si="94"/>
        <v>54.750000000000007</v>
      </c>
      <c r="DT28" s="24">
        <f t="shared" si="94"/>
        <v>54.750000000000007</v>
      </c>
      <c r="DU28" s="24">
        <f t="shared" si="94"/>
        <v>54.750000000000007</v>
      </c>
      <c r="DV28" s="24">
        <f t="shared" si="94"/>
        <v>54.750000000000007</v>
      </c>
      <c r="DW28" s="24">
        <f t="shared" si="94"/>
        <v>54.750000000000007</v>
      </c>
      <c r="DX28" s="24">
        <f t="shared" si="94"/>
        <v>54.750000000000007</v>
      </c>
      <c r="DY28" s="24">
        <f t="shared" si="94"/>
        <v>54.750000000000007</v>
      </c>
      <c r="DZ28" s="24">
        <f t="shared" si="94"/>
        <v>54.750000000000007</v>
      </c>
      <c r="EA28" s="24">
        <f t="shared" ref="EA28:FF28" si="95">CST_RENT_DRY_M*EA$20</f>
        <v>54.750000000000007</v>
      </c>
      <c r="EB28" s="24">
        <f t="shared" si="95"/>
        <v>54.750000000000007</v>
      </c>
      <c r="EC28" s="24">
        <f t="shared" si="95"/>
        <v>54.750000000000007</v>
      </c>
      <c r="ED28" s="24">
        <f t="shared" si="95"/>
        <v>54.750000000000007</v>
      </c>
      <c r="EE28" s="24">
        <f t="shared" si="95"/>
        <v>54.750000000000007</v>
      </c>
      <c r="EF28" s="24">
        <f t="shared" si="95"/>
        <v>54.750000000000007</v>
      </c>
      <c r="EG28" s="24">
        <f t="shared" si="95"/>
        <v>54.750000000000007</v>
      </c>
      <c r="EH28" s="24">
        <f t="shared" si="95"/>
        <v>54.750000000000007</v>
      </c>
      <c r="EI28" s="24">
        <f t="shared" si="95"/>
        <v>54.750000000000007</v>
      </c>
      <c r="EJ28" s="24">
        <f t="shared" si="95"/>
        <v>54.750000000000007</v>
      </c>
      <c r="EK28" s="24">
        <f t="shared" si="95"/>
        <v>54.750000000000007</v>
      </c>
      <c r="EL28" s="24">
        <f t="shared" si="95"/>
        <v>54.750000000000007</v>
      </c>
      <c r="EM28" s="24">
        <f t="shared" si="95"/>
        <v>54.750000000000007</v>
      </c>
      <c r="EN28" s="24">
        <f t="shared" si="95"/>
        <v>54.750000000000007</v>
      </c>
      <c r="EO28" s="24">
        <f t="shared" si="95"/>
        <v>54.750000000000007</v>
      </c>
      <c r="EP28" s="24">
        <f t="shared" si="95"/>
        <v>54.750000000000007</v>
      </c>
      <c r="EQ28" s="24">
        <f t="shared" si="95"/>
        <v>57.031250000000007</v>
      </c>
      <c r="ER28" s="24">
        <f t="shared" si="95"/>
        <v>57.031250000000007</v>
      </c>
      <c r="ES28" s="24">
        <f t="shared" si="95"/>
        <v>57.031250000000007</v>
      </c>
      <c r="ET28" s="24">
        <f t="shared" si="95"/>
        <v>57.031250000000007</v>
      </c>
      <c r="EU28" s="24">
        <f t="shared" si="95"/>
        <v>57.031250000000007</v>
      </c>
      <c r="EV28" s="24">
        <f t="shared" si="95"/>
        <v>57.031250000000007</v>
      </c>
      <c r="EW28" s="24">
        <f t="shared" si="95"/>
        <v>57.031250000000007</v>
      </c>
      <c r="EX28" s="24">
        <f t="shared" si="95"/>
        <v>57.031250000000007</v>
      </c>
      <c r="EY28" s="24">
        <f t="shared" si="95"/>
        <v>57.031250000000007</v>
      </c>
      <c r="EZ28" s="24">
        <f t="shared" si="95"/>
        <v>57.031250000000007</v>
      </c>
      <c r="FA28" s="24">
        <f t="shared" si="95"/>
        <v>57.031250000000007</v>
      </c>
      <c r="FB28" s="24">
        <f t="shared" si="95"/>
        <v>57.031250000000007</v>
      </c>
      <c r="FC28" s="24">
        <f t="shared" si="95"/>
        <v>57.031250000000007</v>
      </c>
      <c r="FD28" s="24">
        <f t="shared" si="95"/>
        <v>57.031250000000007</v>
      </c>
      <c r="FE28" s="24">
        <f t="shared" si="95"/>
        <v>57.031250000000007</v>
      </c>
      <c r="FF28" s="24">
        <f t="shared" si="95"/>
        <v>57.031250000000007</v>
      </c>
      <c r="FG28" s="24">
        <f t="shared" ref="FG28:HR28" si="96">CST_RENT_DRY_M*FG$20</f>
        <v>57.031250000000007</v>
      </c>
      <c r="FH28" s="24">
        <f t="shared" si="96"/>
        <v>57.031250000000007</v>
      </c>
      <c r="FI28" s="24">
        <f t="shared" si="96"/>
        <v>57.031250000000007</v>
      </c>
      <c r="FJ28" s="24">
        <f t="shared" si="96"/>
        <v>57.031250000000007</v>
      </c>
      <c r="FK28" s="24">
        <f t="shared" si="96"/>
        <v>57.031250000000007</v>
      </c>
      <c r="FL28" s="24">
        <f t="shared" si="96"/>
        <v>57.031250000000007</v>
      </c>
      <c r="FM28" s="24">
        <f t="shared" si="96"/>
        <v>57.031250000000007</v>
      </c>
      <c r="FN28" s="24">
        <f t="shared" si="96"/>
        <v>57.031250000000007</v>
      </c>
      <c r="FO28" s="24">
        <f t="shared" si="96"/>
        <v>59.312500000000014</v>
      </c>
      <c r="FP28" s="24">
        <f t="shared" si="96"/>
        <v>59.312500000000014</v>
      </c>
      <c r="FQ28" s="24">
        <f t="shared" si="96"/>
        <v>59.312500000000014</v>
      </c>
      <c r="FR28" s="24">
        <f t="shared" si="96"/>
        <v>59.312500000000014</v>
      </c>
      <c r="FS28" s="24">
        <f t="shared" si="96"/>
        <v>59.312500000000014</v>
      </c>
      <c r="FT28" s="24">
        <f t="shared" si="96"/>
        <v>59.312500000000014</v>
      </c>
      <c r="FU28" s="24">
        <f t="shared" si="96"/>
        <v>59.312500000000014</v>
      </c>
      <c r="FV28" s="24">
        <f t="shared" si="96"/>
        <v>59.312500000000014</v>
      </c>
      <c r="FW28" s="24">
        <f t="shared" si="96"/>
        <v>59.312500000000014</v>
      </c>
      <c r="FX28" s="24">
        <f t="shared" si="96"/>
        <v>59.312500000000014</v>
      </c>
      <c r="FY28" s="24">
        <f t="shared" si="96"/>
        <v>59.312500000000014</v>
      </c>
      <c r="FZ28" s="24">
        <f t="shared" si="96"/>
        <v>59.312500000000014</v>
      </c>
      <c r="GA28" s="24">
        <f t="shared" si="96"/>
        <v>59.312500000000014</v>
      </c>
      <c r="GB28" s="24">
        <f t="shared" si="96"/>
        <v>59.312500000000014</v>
      </c>
      <c r="GC28" s="24">
        <f t="shared" si="96"/>
        <v>59.312500000000014</v>
      </c>
      <c r="GD28" s="24">
        <f t="shared" si="96"/>
        <v>59.312500000000014</v>
      </c>
      <c r="GE28" s="24">
        <f t="shared" si="96"/>
        <v>59.312500000000014</v>
      </c>
      <c r="GF28" s="24">
        <f t="shared" si="96"/>
        <v>59.312500000000014</v>
      </c>
      <c r="GG28" s="24">
        <f t="shared" si="96"/>
        <v>59.312500000000014</v>
      </c>
      <c r="GH28" s="24">
        <f t="shared" si="96"/>
        <v>59.312500000000014</v>
      </c>
      <c r="GI28" s="24">
        <f t="shared" si="96"/>
        <v>59.312500000000014</v>
      </c>
      <c r="GJ28" s="24">
        <f t="shared" si="96"/>
        <v>59.312500000000014</v>
      </c>
      <c r="GK28" s="24">
        <f t="shared" si="96"/>
        <v>59.312500000000014</v>
      </c>
      <c r="GL28" s="24">
        <f t="shared" si="96"/>
        <v>59.312500000000014</v>
      </c>
      <c r="GM28" s="24">
        <f t="shared" si="96"/>
        <v>61.593750000000014</v>
      </c>
      <c r="GN28" s="24">
        <f t="shared" si="96"/>
        <v>61.593750000000014</v>
      </c>
      <c r="GO28" s="24">
        <f t="shared" si="96"/>
        <v>61.593750000000014</v>
      </c>
      <c r="GP28" s="24">
        <f t="shared" si="96"/>
        <v>61.593750000000014</v>
      </c>
      <c r="GQ28" s="24">
        <f t="shared" si="96"/>
        <v>61.593750000000014</v>
      </c>
      <c r="GR28" s="24">
        <f t="shared" si="96"/>
        <v>61.593750000000014</v>
      </c>
      <c r="GS28" s="24">
        <f t="shared" si="96"/>
        <v>61.593750000000014</v>
      </c>
      <c r="GT28" s="24">
        <f t="shared" si="96"/>
        <v>61.593750000000014</v>
      </c>
      <c r="GU28" s="24">
        <f t="shared" si="96"/>
        <v>61.593750000000014</v>
      </c>
      <c r="GV28" s="24">
        <f t="shared" si="96"/>
        <v>61.593750000000014</v>
      </c>
      <c r="GW28" s="24">
        <f t="shared" si="96"/>
        <v>61.593750000000014</v>
      </c>
      <c r="GX28" s="24">
        <f t="shared" si="96"/>
        <v>61.593750000000014</v>
      </c>
      <c r="GY28" s="24">
        <f t="shared" si="96"/>
        <v>61.593750000000014</v>
      </c>
      <c r="GZ28" s="24">
        <f t="shared" si="96"/>
        <v>61.593750000000014</v>
      </c>
      <c r="HA28" s="24">
        <f t="shared" si="96"/>
        <v>61.593750000000014</v>
      </c>
      <c r="HB28" s="24">
        <f t="shared" si="96"/>
        <v>61.593750000000014</v>
      </c>
      <c r="HC28" s="24">
        <f t="shared" si="96"/>
        <v>61.593750000000014</v>
      </c>
      <c r="HD28" s="24">
        <f t="shared" si="96"/>
        <v>61.593750000000014</v>
      </c>
      <c r="HE28" s="24">
        <f t="shared" si="96"/>
        <v>61.593750000000014</v>
      </c>
      <c r="HF28" s="24">
        <f t="shared" si="96"/>
        <v>61.593750000000014</v>
      </c>
      <c r="HG28" s="24">
        <f t="shared" si="96"/>
        <v>61.593750000000014</v>
      </c>
      <c r="HH28" s="24">
        <f t="shared" si="96"/>
        <v>61.593750000000014</v>
      </c>
      <c r="HI28" s="24">
        <f t="shared" si="96"/>
        <v>61.593750000000014</v>
      </c>
      <c r="HJ28" s="24">
        <f t="shared" si="96"/>
        <v>61.593750000000014</v>
      </c>
      <c r="HK28" s="24">
        <f t="shared" si="96"/>
        <v>63.875000000000014</v>
      </c>
      <c r="HL28" s="24">
        <f t="shared" si="96"/>
        <v>63.875000000000014</v>
      </c>
      <c r="HM28" s="24">
        <f t="shared" si="96"/>
        <v>63.875000000000014</v>
      </c>
      <c r="HN28" s="24">
        <f t="shared" si="96"/>
        <v>63.875000000000014</v>
      </c>
      <c r="HO28" s="24">
        <f t="shared" si="96"/>
        <v>63.875000000000014</v>
      </c>
      <c r="HP28" s="24">
        <f t="shared" si="96"/>
        <v>63.875000000000014</v>
      </c>
      <c r="HQ28" s="24">
        <f t="shared" si="96"/>
        <v>63.875000000000014</v>
      </c>
      <c r="HR28" s="24">
        <f t="shared" si="96"/>
        <v>63.875000000000014</v>
      </c>
      <c r="HS28" s="24">
        <f t="shared" ref="HS28:IH28" si="97">CST_RENT_DRY_M*HS$20</f>
        <v>63.875000000000014</v>
      </c>
      <c r="HT28" s="24">
        <f t="shared" si="97"/>
        <v>63.875000000000014</v>
      </c>
      <c r="HU28" s="24">
        <f t="shared" si="97"/>
        <v>63.875000000000014</v>
      </c>
      <c r="HV28" s="24">
        <f t="shared" si="97"/>
        <v>63.875000000000014</v>
      </c>
      <c r="HW28" s="24">
        <f t="shared" si="97"/>
        <v>63.875000000000014</v>
      </c>
      <c r="HX28" s="24">
        <f t="shared" si="97"/>
        <v>63.875000000000014</v>
      </c>
      <c r="HY28" s="24">
        <f t="shared" si="97"/>
        <v>63.875000000000014</v>
      </c>
      <c r="HZ28" s="24">
        <f t="shared" si="97"/>
        <v>63.875000000000014</v>
      </c>
      <c r="IA28" s="24">
        <f t="shared" si="97"/>
        <v>63.875000000000014</v>
      </c>
      <c r="IB28" s="24">
        <f t="shared" si="97"/>
        <v>63.875000000000014</v>
      </c>
      <c r="IC28" s="24">
        <f t="shared" si="97"/>
        <v>63.875000000000014</v>
      </c>
      <c r="ID28" s="24">
        <f t="shared" si="97"/>
        <v>63.875000000000014</v>
      </c>
      <c r="IE28" s="24">
        <f t="shared" si="97"/>
        <v>63.875000000000014</v>
      </c>
      <c r="IF28" s="24">
        <f t="shared" si="97"/>
        <v>63.875000000000014</v>
      </c>
      <c r="IG28" s="24">
        <f t="shared" si="97"/>
        <v>63.875000000000014</v>
      </c>
      <c r="IH28" s="24">
        <f t="shared" si="97"/>
        <v>63.875000000000014</v>
      </c>
    </row>
    <row r="29" spans="1:242" x14ac:dyDescent="0.45">
      <c r="A29" s="58" t="s">
        <v>204</v>
      </c>
      <c r="B29" s="61"/>
      <c r="C29" s="24">
        <f t="shared" ref="C29:AH29" si="98">CST_RENT_AC_M*C$20</f>
        <v>63.875</v>
      </c>
      <c r="D29" s="24">
        <f t="shared" si="98"/>
        <v>63.875</v>
      </c>
      <c r="E29" s="24">
        <f t="shared" si="98"/>
        <v>63.875</v>
      </c>
      <c r="F29" s="24">
        <f t="shared" si="98"/>
        <v>63.875</v>
      </c>
      <c r="G29" s="24">
        <f t="shared" si="98"/>
        <v>63.875</v>
      </c>
      <c r="H29" s="24">
        <f t="shared" si="98"/>
        <v>63.875</v>
      </c>
      <c r="I29" s="24">
        <f t="shared" si="98"/>
        <v>63.875</v>
      </c>
      <c r="J29" s="24">
        <f t="shared" si="98"/>
        <v>63.875</v>
      </c>
      <c r="K29" s="24">
        <f t="shared" si="98"/>
        <v>63.875</v>
      </c>
      <c r="L29" s="24">
        <f t="shared" si="98"/>
        <v>63.875</v>
      </c>
      <c r="M29" s="24">
        <f t="shared" si="98"/>
        <v>63.875</v>
      </c>
      <c r="N29" s="24">
        <f t="shared" si="98"/>
        <v>63.875</v>
      </c>
      <c r="O29" s="24">
        <f t="shared" si="98"/>
        <v>63.875</v>
      </c>
      <c r="P29" s="24">
        <f t="shared" si="98"/>
        <v>63.875</v>
      </c>
      <c r="Q29" s="24">
        <f t="shared" si="98"/>
        <v>63.875</v>
      </c>
      <c r="R29" s="24">
        <f t="shared" si="98"/>
        <v>63.875</v>
      </c>
      <c r="S29" s="24">
        <f t="shared" si="98"/>
        <v>63.875</v>
      </c>
      <c r="T29" s="24">
        <f t="shared" si="98"/>
        <v>63.875</v>
      </c>
      <c r="U29" s="24">
        <f t="shared" si="98"/>
        <v>63.875</v>
      </c>
      <c r="V29" s="24">
        <f t="shared" si="98"/>
        <v>63.875</v>
      </c>
      <c r="W29" s="24">
        <f t="shared" si="98"/>
        <v>63.875</v>
      </c>
      <c r="X29" s="24">
        <f t="shared" si="98"/>
        <v>63.875</v>
      </c>
      <c r="Y29" s="24">
        <f t="shared" si="98"/>
        <v>63.875</v>
      </c>
      <c r="Z29" s="24">
        <f t="shared" si="98"/>
        <v>63.875</v>
      </c>
      <c r="AA29" s="24">
        <f t="shared" si="98"/>
        <v>63.875</v>
      </c>
      <c r="AB29" s="24">
        <f t="shared" si="98"/>
        <v>63.875</v>
      </c>
      <c r="AC29" s="24">
        <f t="shared" si="98"/>
        <v>63.875</v>
      </c>
      <c r="AD29" s="24">
        <f t="shared" si="98"/>
        <v>63.875</v>
      </c>
      <c r="AE29" s="24">
        <f t="shared" si="98"/>
        <v>63.875</v>
      </c>
      <c r="AF29" s="24">
        <f t="shared" si="98"/>
        <v>63.875</v>
      </c>
      <c r="AG29" s="24">
        <f t="shared" si="98"/>
        <v>63.875</v>
      </c>
      <c r="AH29" s="24">
        <f t="shared" si="98"/>
        <v>63.875</v>
      </c>
      <c r="AI29" s="24">
        <f t="shared" ref="AI29:BN29" si="99">CST_RENT_AC_M*AI$20</f>
        <v>63.875</v>
      </c>
      <c r="AJ29" s="24">
        <f t="shared" si="99"/>
        <v>63.875</v>
      </c>
      <c r="AK29" s="24">
        <f t="shared" si="99"/>
        <v>63.875</v>
      </c>
      <c r="AL29" s="24">
        <f t="shared" si="99"/>
        <v>63.875</v>
      </c>
      <c r="AM29" s="24">
        <f t="shared" si="99"/>
        <v>63.875</v>
      </c>
      <c r="AN29" s="24">
        <f t="shared" si="99"/>
        <v>63.875</v>
      </c>
      <c r="AO29" s="24">
        <f t="shared" si="99"/>
        <v>63.875</v>
      </c>
      <c r="AP29" s="24">
        <f t="shared" si="99"/>
        <v>63.875</v>
      </c>
      <c r="AQ29" s="24">
        <f t="shared" si="99"/>
        <v>63.875</v>
      </c>
      <c r="AR29" s="24">
        <f t="shared" si="99"/>
        <v>63.875</v>
      </c>
      <c r="AS29" s="24">
        <f t="shared" si="99"/>
        <v>63.875</v>
      </c>
      <c r="AT29" s="24">
        <f t="shared" si="99"/>
        <v>63.875</v>
      </c>
      <c r="AU29" s="24">
        <f t="shared" si="99"/>
        <v>63.875</v>
      </c>
      <c r="AV29" s="24">
        <f t="shared" si="99"/>
        <v>63.875</v>
      </c>
      <c r="AW29" s="24">
        <f t="shared" si="99"/>
        <v>63.875</v>
      </c>
      <c r="AX29" s="24">
        <f t="shared" si="99"/>
        <v>63.875</v>
      </c>
      <c r="AY29" s="24">
        <f t="shared" si="99"/>
        <v>67.068750000000009</v>
      </c>
      <c r="AZ29" s="24">
        <f t="shared" si="99"/>
        <v>67.068750000000009</v>
      </c>
      <c r="BA29" s="24">
        <f t="shared" si="99"/>
        <v>67.068750000000009</v>
      </c>
      <c r="BB29" s="24">
        <f t="shared" si="99"/>
        <v>67.068750000000009</v>
      </c>
      <c r="BC29" s="24">
        <f t="shared" si="99"/>
        <v>67.068750000000009</v>
      </c>
      <c r="BD29" s="24">
        <f t="shared" si="99"/>
        <v>67.068750000000009</v>
      </c>
      <c r="BE29" s="24">
        <f t="shared" si="99"/>
        <v>67.068750000000009</v>
      </c>
      <c r="BF29" s="24">
        <f t="shared" si="99"/>
        <v>67.068750000000009</v>
      </c>
      <c r="BG29" s="24">
        <f t="shared" si="99"/>
        <v>67.068750000000009</v>
      </c>
      <c r="BH29" s="24">
        <f t="shared" si="99"/>
        <v>67.068750000000009</v>
      </c>
      <c r="BI29" s="24">
        <f t="shared" si="99"/>
        <v>67.068750000000009</v>
      </c>
      <c r="BJ29" s="24">
        <f t="shared" si="99"/>
        <v>67.068750000000009</v>
      </c>
      <c r="BK29" s="24">
        <f t="shared" si="99"/>
        <v>67.068750000000009</v>
      </c>
      <c r="BL29" s="24">
        <f t="shared" si="99"/>
        <v>67.068750000000009</v>
      </c>
      <c r="BM29" s="24">
        <f t="shared" si="99"/>
        <v>67.068750000000009</v>
      </c>
      <c r="BN29" s="24">
        <f t="shared" si="99"/>
        <v>67.068750000000009</v>
      </c>
      <c r="BO29" s="24">
        <f t="shared" ref="BO29:CT29" si="100">CST_RENT_AC_M*BO$20</f>
        <v>67.068750000000009</v>
      </c>
      <c r="BP29" s="24">
        <f t="shared" si="100"/>
        <v>67.068750000000009</v>
      </c>
      <c r="BQ29" s="24">
        <f t="shared" si="100"/>
        <v>67.068750000000009</v>
      </c>
      <c r="BR29" s="24">
        <f t="shared" si="100"/>
        <v>67.068750000000009</v>
      </c>
      <c r="BS29" s="24">
        <f t="shared" si="100"/>
        <v>67.068750000000009</v>
      </c>
      <c r="BT29" s="24">
        <f t="shared" si="100"/>
        <v>67.068750000000009</v>
      </c>
      <c r="BU29" s="24">
        <f t="shared" si="100"/>
        <v>67.068750000000009</v>
      </c>
      <c r="BV29" s="24">
        <f t="shared" si="100"/>
        <v>67.068750000000009</v>
      </c>
      <c r="BW29" s="24">
        <f t="shared" si="100"/>
        <v>70.262500000000003</v>
      </c>
      <c r="BX29" s="24">
        <f t="shared" si="100"/>
        <v>70.262500000000003</v>
      </c>
      <c r="BY29" s="24">
        <f t="shared" si="100"/>
        <v>70.262500000000003</v>
      </c>
      <c r="BZ29" s="24">
        <f t="shared" si="100"/>
        <v>70.262500000000003</v>
      </c>
      <c r="CA29" s="24">
        <f t="shared" si="100"/>
        <v>70.262500000000003</v>
      </c>
      <c r="CB29" s="24">
        <f t="shared" si="100"/>
        <v>70.262500000000003</v>
      </c>
      <c r="CC29" s="24">
        <f t="shared" si="100"/>
        <v>70.262500000000003</v>
      </c>
      <c r="CD29" s="24">
        <f t="shared" si="100"/>
        <v>70.262500000000003</v>
      </c>
      <c r="CE29" s="24">
        <f t="shared" si="100"/>
        <v>70.262500000000003</v>
      </c>
      <c r="CF29" s="24">
        <f t="shared" si="100"/>
        <v>70.262500000000003</v>
      </c>
      <c r="CG29" s="24">
        <f t="shared" si="100"/>
        <v>70.262500000000003</v>
      </c>
      <c r="CH29" s="24">
        <f t="shared" si="100"/>
        <v>70.262500000000003</v>
      </c>
      <c r="CI29" s="24">
        <f t="shared" si="100"/>
        <v>70.262500000000003</v>
      </c>
      <c r="CJ29" s="24">
        <f t="shared" si="100"/>
        <v>70.262500000000003</v>
      </c>
      <c r="CK29" s="24">
        <f t="shared" si="100"/>
        <v>70.262500000000003</v>
      </c>
      <c r="CL29" s="24">
        <f t="shared" si="100"/>
        <v>70.262500000000003</v>
      </c>
      <c r="CM29" s="24">
        <f t="shared" si="100"/>
        <v>70.262500000000003</v>
      </c>
      <c r="CN29" s="24">
        <f t="shared" si="100"/>
        <v>70.262500000000003</v>
      </c>
      <c r="CO29" s="24">
        <f t="shared" si="100"/>
        <v>70.262500000000003</v>
      </c>
      <c r="CP29" s="24">
        <f t="shared" si="100"/>
        <v>70.262500000000003</v>
      </c>
      <c r="CQ29" s="24">
        <f t="shared" si="100"/>
        <v>70.262500000000003</v>
      </c>
      <c r="CR29" s="24">
        <f t="shared" si="100"/>
        <v>70.262500000000003</v>
      </c>
      <c r="CS29" s="24">
        <f t="shared" si="100"/>
        <v>70.262500000000003</v>
      </c>
      <c r="CT29" s="24">
        <f t="shared" si="100"/>
        <v>70.262500000000003</v>
      </c>
      <c r="CU29" s="24">
        <f t="shared" ref="CU29:DZ29" si="101">CST_RENT_AC_M*CU$20</f>
        <v>73.456250000000011</v>
      </c>
      <c r="CV29" s="24">
        <f t="shared" si="101"/>
        <v>73.456250000000011</v>
      </c>
      <c r="CW29" s="24">
        <f t="shared" si="101"/>
        <v>73.456250000000011</v>
      </c>
      <c r="CX29" s="24">
        <f t="shared" si="101"/>
        <v>73.456250000000011</v>
      </c>
      <c r="CY29" s="24">
        <f t="shared" si="101"/>
        <v>73.456250000000011</v>
      </c>
      <c r="CZ29" s="24">
        <f t="shared" si="101"/>
        <v>73.456250000000011</v>
      </c>
      <c r="DA29" s="24">
        <f t="shared" si="101"/>
        <v>73.456250000000011</v>
      </c>
      <c r="DB29" s="24">
        <f t="shared" si="101"/>
        <v>73.456250000000011</v>
      </c>
      <c r="DC29" s="24">
        <f t="shared" si="101"/>
        <v>73.456250000000011</v>
      </c>
      <c r="DD29" s="24">
        <f t="shared" si="101"/>
        <v>73.456250000000011</v>
      </c>
      <c r="DE29" s="24">
        <f t="shared" si="101"/>
        <v>73.456250000000011</v>
      </c>
      <c r="DF29" s="24">
        <f t="shared" si="101"/>
        <v>73.456250000000011</v>
      </c>
      <c r="DG29" s="24">
        <f t="shared" si="101"/>
        <v>73.456250000000011</v>
      </c>
      <c r="DH29" s="24">
        <f t="shared" si="101"/>
        <v>73.456250000000011</v>
      </c>
      <c r="DI29" s="24">
        <f t="shared" si="101"/>
        <v>73.456250000000011</v>
      </c>
      <c r="DJ29" s="24">
        <f t="shared" si="101"/>
        <v>73.456250000000011</v>
      </c>
      <c r="DK29" s="24">
        <f t="shared" si="101"/>
        <v>73.456250000000011</v>
      </c>
      <c r="DL29" s="24">
        <f t="shared" si="101"/>
        <v>73.456250000000011</v>
      </c>
      <c r="DM29" s="24">
        <f t="shared" si="101"/>
        <v>73.456250000000011</v>
      </c>
      <c r="DN29" s="24">
        <f t="shared" si="101"/>
        <v>73.456250000000011</v>
      </c>
      <c r="DO29" s="24">
        <f t="shared" si="101"/>
        <v>73.456250000000011</v>
      </c>
      <c r="DP29" s="24">
        <f t="shared" si="101"/>
        <v>73.456250000000011</v>
      </c>
      <c r="DQ29" s="24">
        <f t="shared" si="101"/>
        <v>73.456250000000011</v>
      </c>
      <c r="DR29" s="24">
        <f t="shared" si="101"/>
        <v>73.456250000000011</v>
      </c>
      <c r="DS29" s="24">
        <f t="shared" si="101"/>
        <v>76.650000000000006</v>
      </c>
      <c r="DT29" s="24">
        <f t="shared" si="101"/>
        <v>76.650000000000006</v>
      </c>
      <c r="DU29" s="24">
        <f t="shared" si="101"/>
        <v>76.650000000000006</v>
      </c>
      <c r="DV29" s="24">
        <f t="shared" si="101"/>
        <v>76.650000000000006</v>
      </c>
      <c r="DW29" s="24">
        <f t="shared" si="101"/>
        <v>76.650000000000006</v>
      </c>
      <c r="DX29" s="24">
        <f t="shared" si="101"/>
        <v>76.650000000000006</v>
      </c>
      <c r="DY29" s="24">
        <f t="shared" si="101"/>
        <v>76.650000000000006</v>
      </c>
      <c r="DZ29" s="24">
        <f t="shared" si="101"/>
        <v>76.650000000000006</v>
      </c>
      <c r="EA29" s="24">
        <f t="shared" ref="EA29:FF29" si="102">CST_RENT_AC_M*EA$20</f>
        <v>76.650000000000006</v>
      </c>
      <c r="EB29" s="24">
        <f t="shared" si="102"/>
        <v>76.650000000000006</v>
      </c>
      <c r="EC29" s="24">
        <f t="shared" si="102"/>
        <v>76.650000000000006</v>
      </c>
      <c r="ED29" s="24">
        <f t="shared" si="102"/>
        <v>76.650000000000006</v>
      </c>
      <c r="EE29" s="24">
        <f t="shared" si="102"/>
        <v>76.650000000000006</v>
      </c>
      <c r="EF29" s="24">
        <f t="shared" si="102"/>
        <v>76.650000000000006</v>
      </c>
      <c r="EG29" s="24">
        <f t="shared" si="102"/>
        <v>76.650000000000006</v>
      </c>
      <c r="EH29" s="24">
        <f t="shared" si="102"/>
        <v>76.650000000000006</v>
      </c>
      <c r="EI29" s="24">
        <f t="shared" si="102"/>
        <v>76.650000000000006</v>
      </c>
      <c r="EJ29" s="24">
        <f t="shared" si="102"/>
        <v>76.650000000000006</v>
      </c>
      <c r="EK29" s="24">
        <f t="shared" si="102"/>
        <v>76.650000000000006</v>
      </c>
      <c r="EL29" s="24">
        <f t="shared" si="102"/>
        <v>76.650000000000006</v>
      </c>
      <c r="EM29" s="24">
        <f t="shared" si="102"/>
        <v>76.650000000000006</v>
      </c>
      <c r="EN29" s="24">
        <f t="shared" si="102"/>
        <v>76.650000000000006</v>
      </c>
      <c r="EO29" s="24">
        <f t="shared" si="102"/>
        <v>76.650000000000006</v>
      </c>
      <c r="EP29" s="24">
        <f t="shared" si="102"/>
        <v>76.650000000000006</v>
      </c>
      <c r="EQ29" s="24">
        <f t="shared" si="102"/>
        <v>79.843750000000014</v>
      </c>
      <c r="ER29" s="24">
        <f t="shared" si="102"/>
        <v>79.843750000000014</v>
      </c>
      <c r="ES29" s="24">
        <f t="shared" si="102"/>
        <v>79.843750000000014</v>
      </c>
      <c r="ET29" s="24">
        <f t="shared" si="102"/>
        <v>79.843750000000014</v>
      </c>
      <c r="EU29" s="24">
        <f t="shared" si="102"/>
        <v>79.843750000000014</v>
      </c>
      <c r="EV29" s="24">
        <f t="shared" si="102"/>
        <v>79.843750000000014</v>
      </c>
      <c r="EW29" s="24">
        <f t="shared" si="102"/>
        <v>79.843750000000014</v>
      </c>
      <c r="EX29" s="24">
        <f t="shared" si="102"/>
        <v>79.843750000000014</v>
      </c>
      <c r="EY29" s="24">
        <f t="shared" si="102"/>
        <v>79.843750000000014</v>
      </c>
      <c r="EZ29" s="24">
        <f t="shared" si="102"/>
        <v>79.843750000000014</v>
      </c>
      <c r="FA29" s="24">
        <f t="shared" si="102"/>
        <v>79.843750000000014</v>
      </c>
      <c r="FB29" s="24">
        <f t="shared" si="102"/>
        <v>79.843750000000014</v>
      </c>
      <c r="FC29" s="24">
        <f t="shared" si="102"/>
        <v>79.843750000000014</v>
      </c>
      <c r="FD29" s="24">
        <f t="shared" si="102"/>
        <v>79.843750000000014</v>
      </c>
      <c r="FE29" s="24">
        <f t="shared" si="102"/>
        <v>79.843750000000014</v>
      </c>
      <c r="FF29" s="24">
        <f t="shared" si="102"/>
        <v>79.843750000000014</v>
      </c>
      <c r="FG29" s="24">
        <f t="shared" ref="FG29:HR29" si="103">CST_RENT_AC_M*FG$20</f>
        <v>79.843750000000014</v>
      </c>
      <c r="FH29" s="24">
        <f t="shared" si="103"/>
        <v>79.843750000000014</v>
      </c>
      <c r="FI29" s="24">
        <f t="shared" si="103"/>
        <v>79.843750000000014</v>
      </c>
      <c r="FJ29" s="24">
        <f t="shared" si="103"/>
        <v>79.843750000000014</v>
      </c>
      <c r="FK29" s="24">
        <f t="shared" si="103"/>
        <v>79.843750000000014</v>
      </c>
      <c r="FL29" s="24">
        <f t="shared" si="103"/>
        <v>79.843750000000014</v>
      </c>
      <c r="FM29" s="24">
        <f t="shared" si="103"/>
        <v>79.843750000000014</v>
      </c>
      <c r="FN29" s="24">
        <f t="shared" si="103"/>
        <v>79.843750000000014</v>
      </c>
      <c r="FO29" s="24">
        <f t="shared" si="103"/>
        <v>83.037500000000023</v>
      </c>
      <c r="FP29" s="24">
        <f t="shared" si="103"/>
        <v>83.037500000000023</v>
      </c>
      <c r="FQ29" s="24">
        <f t="shared" si="103"/>
        <v>83.037500000000023</v>
      </c>
      <c r="FR29" s="24">
        <f t="shared" si="103"/>
        <v>83.037500000000023</v>
      </c>
      <c r="FS29" s="24">
        <f t="shared" si="103"/>
        <v>83.037500000000023</v>
      </c>
      <c r="FT29" s="24">
        <f t="shared" si="103"/>
        <v>83.037500000000023</v>
      </c>
      <c r="FU29" s="24">
        <f t="shared" si="103"/>
        <v>83.037500000000023</v>
      </c>
      <c r="FV29" s="24">
        <f t="shared" si="103"/>
        <v>83.037500000000023</v>
      </c>
      <c r="FW29" s="24">
        <f t="shared" si="103"/>
        <v>83.037500000000023</v>
      </c>
      <c r="FX29" s="24">
        <f t="shared" si="103"/>
        <v>83.037500000000023</v>
      </c>
      <c r="FY29" s="24">
        <f t="shared" si="103"/>
        <v>83.037500000000023</v>
      </c>
      <c r="FZ29" s="24">
        <f t="shared" si="103"/>
        <v>83.037500000000023</v>
      </c>
      <c r="GA29" s="24">
        <f t="shared" si="103"/>
        <v>83.037500000000023</v>
      </c>
      <c r="GB29" s="24">
        <f t="shared" si="103"/>
        <v>83.037500000000023</v>
      </c>
      <c r="GC29" s="24">
        <f t="shared" si="103"/>
        <v>83.037500000000023</v>
      </c>
      <c r="GD29" s="24">
        <f t="shared" si="103"/>
        <v>83.037500000000023</v>
      </c>
      <c r="GE29" s="24">
        <f t="shared" si="103"/>
        <v>83.037500000000023</v>
      </c>
      <c r="GF29" s="24">
        <f t="shared" si="103"/>
        <v>83.037500000000023</v>
      </c>
      <c r="GG29" s="24">
        <f t="shared" si="103"/>
        <v>83.037500000000023</v>
      </c>
      <c r="GH29" s="24">
        <f t="shared" si="103"/>
        <v>83.037500000000023</v>
      </c>
      <c r="GI29" s="24">
        <f t="shared" si="103"/>
        <v>83.037500000000023</v>
      </c>
      <c r="GJ29" s="24">
        <f t="shared" si="103"/>
        <v>83.037500000000023</v>
      </c>
      <c r="GK29" s="24">
        <f t="shared" si="103"/>
        <v>83.037500000000023</v>
      </c>
      <c r="GL29" s="24">
        <f t="shared" si="103"/>
        <v>83.037500000000023</v>
      </c>
      <c r="GM29" s="24">
        <f t="shared" si="103"/>
        <v>86.231250000000017</v>
      </c>
      <c r="GN29" s="24">
        <f t="shared" si="103"/>
        <v>86.231250000000017</v>
      </c>
      <c r="GO29" s="24">
        <f t="shared" si="103"/>
        <v>86.231250000000017</v>
      </c>
      <c r="GP29" s="24">
        <f t="shared" si="103"/>
        <v>86.231250000000017</v>
      </c>
      <c r="GQ29" s="24">
        <f t="shared" si="103"/>
        <v>86.231250000000017</v>
      </c>
      <c r="GR29" s="24">
        <f t="shared" si="103"/>
        <v>86.231250000000017</v>
      </c>
      <c r="GS29" s="24">
        <f t="shared" si="103"/>
        <v>86.231250000000017</v>
      </c>
      <c r="GT29" s="24">
        <f t="shared" si="103"/>
        <v>86.231250000000017</v>
      </c>
      <c r="GU29" s="24">
        <f t="shared" si="103"/>
        <v>86.231250000000017</v>
      </c>
      <c r="GV29" s="24">
        <f t="shared" si="103"/>
        <v>86.231250000000017</v>
      </c>
      <c r="GW29" s="24">
        <f t="shared" si="103"/>
        <v>86.231250000000017</v>
      </c>
      <c r="GX29" s="24">
        <f t="shared" si="103"/>
        <v>86.231250000000017</v>
      </c>
      <c r="GY29" s="24">
        <f t="shared" si="103"/>
        <v>86.231250000000017</v>
      </c>
      <c r="GZ29" s="24">
        <f t="shared" si="103"/>
        <v>86.231250000000017</v>
      </c>
      <c r="HA29" s="24">
        <f t="shared" si="103"/>
        <v>86.231250000000017</v>
      </c>
      <c r="HB29" s="24">
        <f t="shared" si="103"/>
        <v>86.231250000000017</v>
      </c>
      <c r="HC29" s="24">
        <f t="shared" si="103"/>
        <v>86.231250000000017</v>
      </c>
      <c r="HD29" s="24">
        <f t="shared" si="103"/>
        <v>86.231250000000017</v>
      </c>
      <c r="HE29" s="24">
        <f t="shared" si="103"/>
        <v>86.231250000000017</v>
      </c>
      <c r="HF29" s="24">
        <f t="shared" si="103"/>
        <v>86.231250000000017</v>
      </c>
      <c r="HG29" s="24">
        <f t="shared" si="103"/>
        <v>86.231250000000017</v>
      </c>
      <c r="HH29" s="24">
        <f t="shared" si="103"/>
        <v>86.231250000000017</v>
      </c>
      <c r="HI29" s="24">
        <f t="shared" si="103"/>
        <v>86.231250000000017</v>
      </c>
      <c r="HJ29" s="24">
        <f t="shared" si="103"/>
        <v>86.231250000000017</v>
      </c>
      <c r="HK29" s="24">
        <f t="shared" si="103"/>
        <v>89.425000000000026</v>
      </c>
      <c r="HL29" s="24">
        <f t="shared" si="103"/>
        <v>89.425000000000026</v>
      </c>
      <c r="HM29" s="24">
        <f t="shared" si="103"/>
        <v>89.425000000000026</v>
      </c>
      <c r="HN29" s="24">
        <f t="shared" si="103"/>
        <v>89.425000000000026</v>
      </c>
      <c r="HO29" s="24">
        <f t="shared" si="103"/>
        <v>89.425000000000026</v>
      </c>
      <c r="HP29" s="24">
        <f t="shared" si="103"/>
        <v>89.425000000000026</v>
      </c>
      <c r="HQ29" s="24">
        <f t="shared" si="103"/>
        <v>89.425000000000026</v>
      </c>
      <c r="HR29" s="24">
        <f t="shared" si="103"/>
        <v>89.425000000000026</v>
      </c>
      <c r="HS29" s="24">
        <f t="shared" ref="HS29:IH29" si="104">CST_RENT_AC_M*HS$20</f>
        <v>89.425000000000026</v>
      </c>
      <c r="HT29" s="24">
        <f t="shared" si="104"/>
        <v>89.425000000000026</v>
      </c>
      <c r="HU29" s="24">
        <f t="shared" si="104"/>
        <v>89.425000000000026</v>
      </c>
      <c r="HV29" s="24">
        <f t="shared" si="104"/>
        <v>89.425000000000026</v>
      </c>
      <c r="HW29" s="24">
        <f t="shared" si="104"/>
        <v>89.425000000000026</v>
      </c>
      <c r="HX29" s="24">
        <f t="shared" si="104"/>
        <v>89.425000000000026</v>
      </c>
      <c r="HY29" s="24">
        <f t="shared" si="104"/>
        <v>89.425000000000026</v>
      </c>
      <c r="HZ29" s="24">
        <f t="shared" si="104"/>
        <v>89.425000000000026</v>
      </c>
      <c r="IA29" s="24">
        <f t="shared" si="104"/>
        <v>89.425000000000026</v>
      </c>
      <c r="IB29" s="24">
        <f t="shared" si="104"/>
        <v>89.425000000000026</v>
      </c>
      <c r="IC29" s="24">
        <f t="shared" si="104"/>
        <v>89.425000000000026</v>
      </c>
      <c r="ID29" s="24">
        <f t="shared" si="104"/>
        <v>89.425000000000026</v>
      </c>
      <c r="IE29" s="24">
        <f t="shared" si="104"/>
        <v>89.425000000000026</v>
      </c>
      <c r="IF29" s="24">
        <f t="shared" si="104"/>
        <v>89.425000000000026</v>
      </c>
      <c r="IG29" s="24">
        <f t="shared" si="104"/>
        <v>89.425000000000026</v>
      </c>
      <c r="IH29" s="24">
        <f t="shared" si="104"/>
        <v>89.425000000000026</v>
      </c>
    </row>
    <row r="30" spans="1:242" x14ac:dyDescent="0.45">
      <c r="A30" s="58" t="s">
        <v>205</v>
      </c>
      <c r="B30" s="61"/>
      <c r="C30" s="24">
        <f t="shared" ref="C30:AH30" si="105">CST_RENT_CHILL_M*C$20</f>
        <v>120</v>
      </c>
      <c r="D30" s="24">
        <f t="shared" si="105"/>
        <v>120</v>
      </c>
      <c r="E30" s="24">
        <f t="shared" si="105"/>
        <v>120</v>
      </c>
      <c r="F30" s="24">
        <f t="shared" si="105"/>
        <v>120</v>
      </c>
      <c r="G30" s="24">
        <f t="shared" si="105"/>
        <v>120</v>
      </c>
      <c r="H30" s="24">
        <f t="shared" si="105"/>
        <v>120</v>
      </c>
      <c r="I30" s="24">
        <f t="shared" si="105"/>
        <v>120</v>
      </c>
      <c r="J30" s="24">
        <f t="shared" si="105"/>
        <v>120</v>
      </c>
      <c r="K30" s="24">
        <f t="shared" si="105"/>
        <v>120</v>
      </c>
      <c r="L30" s="24">
        <f t="shared" si="105"/>
        <v>120</v>
      </c>
      <c r="M30" s="24">
        <f t="shared" si="105"/>
        <v>120</v>
      </c>
      <c r="N30" s="24">
        <f t="shared" si="105"/>
        <v>120</v>
      </c>
      <c r="O30" s="24">
        <f t="shared" si="105"/>
        <v>120</v>
      </c>
      <c r="P30" s="24">
        <f t="shared" si="105"/>
        <v>120</v>
      </c>
      <c r="Q30" s="24">
        <f t="shared" si="105"/>
        <v>120</v>
      </c>
      <c r="R30" s="24">
        <f t="shared" si="105"/>
        <v>120</v>
      </c>
      <c r="S30" s="24">
        <f t="shared" si="105"/>
        <v>120</v>
      </c>
      <c r="T30" s="24">
        <f t="shared" si="105"/>
        <v>120</v>
      </c>
      <c r="U30" s="24">
        <f t="shared" si="105"/>
        <v>120</v>
      </c>
      <c r="V30" s="24">
        <f t="shared" si="105"/>
        <v>120</v>
      </c>
      <c r="W30" s="24">
        <f t="shared" si="105"/>
        <v>120</v>
      </c>
      <c r="X30" s="24">
        <f t="shared" si="105"/>
        <v>120</v>
      </c>
      <c r="Y30" s="24">
        <f t="shared" si="105"/>
        <v>120</v>
      </c>
      <c r="Z30" s="24">
        <f t="shared" si="105"/>
        <v>120</v>
      </c>
      <c r="AA30" s="24">
        <f t="shared" si="105"/>
        <v>120</v>
      </c>
      <c r="AB30" s="24">
        <f t="shared" si="105"/>
        <v>120</v>
      </c>
      <c r="AC30" s="24">
        <f t="shared" si="105"/>
        <v>120</v>
      </c>
      <c r="AD30" s="24">
        <f t="shared" si="105"/>
        <v>120</v>
      </c>
      <c r="AE30" s="24">
        <f t="shared" si="105"/>
        <v>120</v>
      </c>
      <c r="AF30" s="24">
        <f t="shared" si="105"/>
        <v>120</v>
      </c>
      <c r="AG30" s="24">
        <f t="shared" si="105"/>
        <v>120</v>
      </c>
      <c r="AH30" s="24">
        <f t="shared" si="105"/>
        <v>120</v>
      </c>
      <c r="AI30" s="24">
        <f t="shared" ref="AI30:BN30" si="106">CST_RENT_CHILL_M*AI$20</f>
        <v>120</v>
      </c>
      <c r="AJ30" s="24">
        <f t="shared" si="106"/>
        <v>120</v>
      </c>
      <c r="AK30" s="24">
        <f t="shared" si="106"/>
        <v>120</v>
      </c>
      <c r="AL30" s="24">
        <f t="shared" si="106"/>
        <v>120</v>
      </c>
      <c r="AM30" s="24">
        <f t="shared" si="106"/>
        <v>120</v>
      </c>
      <c r="AN30" s="24">
        <f t="shared" si="106"/>
        <v>120</v>
      </c>
      <c r="AO30" s="24">
        <f t="shared" si="106"/>
        <v>120</v>
      </c>
      <c r="AP30" s="24">
        <f t="shared" si="106"/>
        <v>120</v>
      </c>
      <c r="AQ30" s="24">
        <f t="shared" si="106"/>
        <v>120</v>
      </c>
      <c r="AR30" s="24">
        <f t="shared" si="106"/>
        <v>120</v>
      </c>
      <c r="AS30" s="24">
        <f t="shared" si="106"/>
        <v>120</v>
      </c>
      <c r="AT30" s="24">
        <f t="shared" si="106"/>
        <v>120</v>
      </c>
      <c r="AU30" s="24">
        <f t="shared" si="106"/>
        <v>120</v>
      </c>
      <c r="AV30" s="24">
        <f t="shared" si="106"/>
        <v>120</v>
      </c>
      <c r="AW30" s="24">
        <f t="shared" si="106"/>
        <v>120</v>
      </c>
      <c r="AX30" s="24">
        <f t="shared" si="106"/>
        <v>120</v>
      </c>
      <c r="AY30" s="24">
        <f t="shared" si="106"/>
        <v>126</v>
      </c>
      <c r="AZ30" s="24">
        <f t="shared" si="106"/>
        <v>126</v>
      </c>
      <c r="BA30" s="24">
        <f t="shared" si="106"/>
        <v>126</v>
      </c>
      <c r="BB30" s="24">
        <f t="shared" si="106"/>
        <v>126</v>
      </c>
      <c r="BC30" s="24">
        <f t="shared" si="106"/>
        <v>126</v>
      </c>
      <c r="BD30" s="24">
        <f t="shared" si="106"/>
        <v>126</v>
      </c>
      <c r="BE30" s="24">
        <f t="shared" si="106"/>
        <v>126</v>
      </c>
      <c r="BF30" s="24">
        <f t="shared" si="106"/>
        <v>126</v>
      </c>
      <c r="BG30" s="24">
        <f t="shared" si="106"/>
        <v>126</v>
      </c>
      <c r="BH30" s="24">
        <f t="shared" si="106"/>
        <v>126</v>
      </c>
      <c r="BI30" s="24">
        <f t="shared" si="106"/>
        <v>126</v>
      </c>
      <c r="BJ30" s="24">
        <f t="shared" si="106"/>
        <v>126</v>
      </c>
      <c r="BK30" s="24">
        <f t="shared" si="106"/>
        <v>126</v>
      </c>
      <c r="BL30" s="24">
        <f t="shared" si="106"/>
        <v>126</v>
      </c>
      <c r="BM30" s="24">
        <f t="shared" si="106"/>
        <v>126</v>
      </c>
      <c r="BN30" s="24">
        <f t="shared" si="106"/>
        <v>126</v>
      </c>
      <c r="BO30" s="24">
        <f t="shared" ref="BO30:CT30" si="107">CST_RENT_CHILL_M*BO$20</f>
        <v>126</v>
      </c>
      <c r="BP30" s="24">
        <f t="shared" si="107"/>
        <v>126</v>
      </c>
      <c r="BQ30" s="24">
        <f t="shared" si="107"/>
        <v>126</v>
      </c>
      <c r="BR30" s="24">
        <f t="shared" si="107"/>
        <v>126</v>
      </c>
      <c r="BS30" s="24">
        <f t="shared" si="107"/>
        <v>126</v>
      </c>
      <c r="BT30" s="24">
        <f t="shared" si="107"/>
        <v>126</v>
      </c>
      <c r="BU30" s="24">
        <f t="shared" si="107"/>
        <v>126</v>
      </c>
      <c r="BV30" s="24">
        <f t="shared" si="107"/>
        <v>126</v>
      </c>
      <c r="BW30" s="24">
        <f t="shared" si="107"/>
        <v>132</v>
      </c>
      <c r="BX30" s="24">
        <f t="shared" si="107"/>
        <v>132</v>
      </c>
      <c r="BY30" s="24">
        <f t="shared" si="107"/>
        <v>132</v>
      </c>
      <c r="BZ30" s="24">
        <f t="shared" si="107"/>
        <v>132</v>
      </c>
      <c r="CA30" s="24">
        <f t="shared" si="107"/>
        <v>132</v>
      </c>
      <c r="CB30" s="24">
        <f t="shared" si="107"/>
        <v>132</v>
      </c>
      <c r="CC30" s="24">
        <f t="shared" si="107"/>
        <v>132</v>
      </c>
      <c r="CD30" s="24">
        <f t="shared" si="107"/>
        <v>132</v>
      </c>
      <c r="CE30" s="24">
        <f t="shared" si="107"/>
        <v>132</v>
      </c>
      <c r="CF30" s="24">
        <f t="shared" si="107"/>
        <v>132</v>
      </c>
      <c r="CG30" s="24">
        <f t="shared" si="107"/>
        <v>132</v>
      </c>
      <c r="CH30" s="24">
        <f t="shared" si="107"/>
        <v>132</v>
      </c>
      <c r="CI30" s="24">
        <f t="shared" si="107"/>
        <v>132</v>
      </c>
      <c r="CJ30" s="24">
        <f t="shared" si="107"/>
        <v>132</v>
      </c>
      <c r="CK30" s="24">
        <f t="shared" si="107"/>
        <v>132</v>
      </c>
      <c r="CL30" s="24">
        <f t="shared" si="107"/>
        <v>132</v>
      </c>
      <c r="CM30" s="24">
        <f t="shared" si="107"/>
        <v>132</v>
      </c>
      <c r="CN30" s="24">
        <f t="shared" si="107"/>
        <v>132</v>
      </c>
      <c r="CO30" s="24">
        <f t="shared" si="107"/>
        <v>132</v>
      </c>
      <c r="CP30" s="24">
        <f t="shared" si="107"/>
        <v>132</v>
      </c>
      <c r="CQ30" s="24">
        <f t="shared" si="107"/>
        <v>132</v>
      </c>
      <c r="CR30" s="24">
        <f t="shared" si="107"/>
        <v>132</v>
      </c>
      <c r="CS30" s="24">
        <f t="shared" si="107"/>
        <v>132</v>
      </c>
      <c r="CT30" s="24">
        <f t="shared" si="107"/>
        <v>132</v>
      </c>
      <c r="CU30" s="24">
        <f t="shared" ref="CU30:DZ30" si="108">CST_RENT_CHILL_M*CU$20</f>
        <v>138.00000000000003</v>
      </c>
      <c r="CV30" s="24">
        <f t="shared" si="108"/>
        <v>138.00000000000003</v>
      </c>
      <c r="CW30" s="24">
        <f t="shared" si="108"/>
        <v>138.00000000000003</v>
      </c>
      <c r="CX30" s="24">
        <f t="shared" si="108"/>
        <v>138.00000000000003</v>
      </c>
      <c r="CY30" s="24">
        <f t="shared" si="108"/>
        <v>138.00000000000003</v>
      </c>
      <c r="CZ30" s="24">
        <f t="shared" si="108"/>
        <v>138.00000000000003</v>
      </c>
      <c r="DA30" s="24">
        <f t="shared" si="108"/>
        <v>138.00000000000003</v>
      </c>
      <c r="DB30" s="24">
        <f t="shared" si="108"/>
        <v>138.00000000000003</v>
      </c>
      <c r="DC30" s="24">
        <f t="shared" si="108"/>
        <v>138.00000000000003</v>
      </c>
      <c r="DD30" s="24">
        <f t="shared" si="108"/>
        <v>138.00000000000003</v>
      </c>
      <c r="DE30" s="24">
        <f t="shared" si="108"/>
        <v>138.00000000000003</v>
      </c>
      <c r="DF30" s="24">
        <f t="shared" si="108"/>
        <v>138.00000000000003</v>
      </c>
      <c r="DG30" s="24">
        <f t="shared" si="108"/>
        <v>138.00000000000003</v>
      </c>
      <c r="DH30" s="24">
        <f t="shared" si="108"/>
        <v>138.00000000000003</v>
      </c>
      <c r="DI30" s="24">
        <f t="shared" si="108"/>
        <v>138.00000000000003</v>
      </c>
      <c r="DJ30" s="24">
        <f t="shared" si="108"/>
        <v>138.00000000000003</v>
      </c>
      <c r="DK30" s="24">
        <f t="shared" si="108"/>
        <v>138.00000000000003</v>
      </c>
      <c r="DL30" s="24">
        <f t="shared" si="108"/>
        <v>138.00000000000003</v>
      </c>
      <c r="DM30" s="24">
        <f t="shared" si="108"/>
        <v>138.00000000000003</v>
      </c>
      <c r="DN30" s="24">
        <f t="shared" si="108"/>
        <v>138.00000000000003</v>
      </c>
      <c r="DO30" s="24">
        <f t="shared" si="108"/>
        <v>138.00000000000003</v>
      </c>
      <c r="DP30" s="24">
        <f t="shared" si="108"/>
        <v>138.00000000000003</v>
      </c>
      <c r="DQ30" s="24">
        <f t="shared" si="108"/>
        <v>138.00000000000003</v>
      </c>
      <c r="DR30" s="24">
        <f t="shared" si="108"/>
        <v>138.00000000000003</v>
      </c>
      <c r="DS30" s="24">
        <f t="shared" si="108"/>
        <v>144.00000000000003</v>
      </c>
      <c r="DT30" s="24">
        <f t="shared" si="108"/>
        <v>144.00000000000003</v>
      </c>
      <c r="DU30" s="24">
        <f t="shared" si="108"/>
        <v>144.00000000000003</v>
      </c>
      <c r="DV30" s="24">
        <f t="shared" si="108"/>
        <v>144.00000000000003</v>
      </c>
      <c r="DW30" s="24">
        <f t="shared" si="108"/>
        <v>144.00000000000003</v>
      </c>
      <c r="DX30" s="24">
        <f t="shared" si="108"/>
        <v>144.00000000000003</v>
      </c>
      <c r="DY30" s="24">
        <f t="shared" si="108"/>
        <v>144.00000000000003</v>
      </c>
      <c r="DZ30" s="24">
        <f t="shared" si="108"/>
        <v>144.00000000000003</v>
      </c>
      <c r="EA30" s="24">
        <f t="shared" ref="EA30:FF30" si="109">CST_RENT_CHILL_M*EA$20</f>
        <v>144.00000000000003</v>
      </c>
      <c r="EB30" s="24">
        <f t="shared" si="109"/>
        <v>144.00000000000003</v>
      </c>
      <c r="EC30" s="24">
        <f t="shared" si="109"/>
        <v>144.00000000000003</v>
      </c>
      <c r="ED30" s="24">
        <f t="shared" si="109"/>
        <v>144.00000000000003</v>
      </c>
      <c r="EE30" s="24">
        <f t="shared" si="109"/>
        <v>144.00000000000003</v>
      </c>
      <c r="EF30" s="24">
        <f t="shared" si="109"/>
        <v>144.00000000000003</v>
      </c>
      <c r="EG30" s="24">
        <f t="shared" si="109"/>
        <v>144.00000000000003</v>
      </c>
      <c r="EH30" s="24">
        <f t="shared" si="109"/>
        <v>144.00000000000003</v>
      </c>
      <c r="EI30" s="24">
        <f t="shared" si="109"/>
        <v>144.00000000000003</v>
      </c>
      <c r="EJ30" s="24">
        <f t="shared" si="109"/>
        <v>144.00000000000003</v>
      </c>
      <c r="EK30" s="24">
        <f t="shared" si="109"/>
        <v>144.00000000000003</v>
      </c>
      <c r="EL30" s="24">
        <f t="shared" si="109"/>
        <v>144.00000000000003</v>
      </c>
      <c r="EM30" s="24">
        <f t="shared" si="109"/>
        <v>144.00000000000003</v>
      </c>
      <c r="EN30" s="24">
        <f t="shared" si="109"/>
        <v>144.00000000000003</v>
      </c>
      <c r="EO30" s="24">
        <f t="shared" si="109"/>
        <v>144.00000000000003</v>
      </c>
      <c r="EP30" s="24">
        <f t="shared" si="109"/>
        <v>144.00000000000003</v>
      </c>
      <c r="EQ30" s="24">
        <f t="shared" si="109"/>
        <v>150.00000000000003</v>
      </c>
      <c r="ER30" s="24">
        <f t="shared" si="109"/>
        <v>150.00000000000003</v>
      </c>
      <c r="ES30" s="24">
        <f t="shared" si="109"/>
        <v>150.00000000000003</v>
      </c>
      <c r="ET30" s="24">
        <f t="shared" si="109"/>
        <v>150.00000000000003</v>
      </c>
      <c r="EU30" s="24">
        <f t="shared" si="109"/>
        <v>150.00000000000003</v>
      </c>
      <c r="EV30" s="24">
        <f t="shared" si="109"/>
        <v>150.00000000000003</v>
      </c>
      <c r="EW30" s="24">
        <f t="shared" si="109"/>
        <v>150.00000000000003</v>
      </c>
      <c r="EX30" s="24">
        <f t="shared" si="109"/>
        <v>150.00000000000003</v>
      </c>
      <c r="EY30" s="24">
        <f t="shared" si="109"/>
        <v>150.00000000000003</v>
      </c>
      <c r="EZ30" s="24">
        <f t="shared" si="109"/>
        <v>150.00000000000003</v>
      </c>
      <c r="FA30" s="24">
        <f t="shared" si="109"/>
        <v>150.00000000000003</v>
      </c>
      <c r="FB30" s="24">
        <f t="shared" si="109"/>
        <v>150.00000000000003</v>
      </c>
      <c r="FC30" s="24">
        <f t="shared" si="109"/>
        <v>150.00000000000003</v>
      </c>
      <c r="FD30" s="24">
        <f t="shared" si="109"/>
        <v>150.00000000000003</v>
      </c>
      <c r="FE30" s="24">
        <f t="shared" si="109"/>
        <v>150.00000000000003</v>
      </c>
      <c r="FF30" s="24">
        <f t="shared" si="109"/>
        <v>150.00000000000003</v>
      </c>
      <c r="FG30" s="24">
        <f t="shared" ref="FG30:HR30" si="110">CST_RENT_CHILL_M*FG$20</f>
        <v>150.00000000000003</v>
      </c>
      <c r="FH30" s="24">
        <f t="shared" si="110"/>
        <v>150.00000000000003</v>
      </c>
      <c r="FI30" s="24">
        <f t="shared" si="110"/>
        <v>150.00000000000003</v>
      </c>
      <c r="FJ30" s="24">
        <f t="shared" si="110"/>
        <v>150.00000000000003</v>
      </c>
      <c r="FK30" s="24">
        <f t="shared" si="110"/>
        <v>150.00000000000003</v>
      </c>
      <c r="FL30" s="24">
        <f t="shared" si="110"/>
        <v>150.00000000000003</v>
      </c>
      <c r="FM30" s="24">
        <f t="shared" si="110"/>
        <v>150.00000000000003</v>
      </c>
      <c r="FN30" s="24">
        <f t="shared" si="110"/>
        <v>150.00000000000003</v>
      </c>
      <c r="FO30" s="24">
        <f t="shared" si="110"/>
        <v>156.00000000000003</v>
      </c>
      <c r="FP30" s="24">
        <f t="shared" si="110"/>
        <v>156.00000000000003</v>
      </c>
      <c r="FQ30" s="24">
        <f t="shared" si="110"/>
        <v>156.00000000000003</v>
      </c>
      <c r="FR30" s="24">
        <f t="shared" si="110"/>
        <v>156.00000000000003</v>
      </c>
      <c r="FS30" s="24">
        <f t="shared" si="110"/>
        <v>156.00000000000003</v>
      </c>
      <c r="FT30" s="24">
        <f t="shared" si="110"/>
        <v>156.00000000000003</v>
      </c>
      <c r="FU30" s="24">
        <f t="shared" si="110"/>
        <v>156.00000000000003</v>
      </c>
      <c r="FV30" s="24">
        <f t="shared" si="110"/>
        <v>156.00000000000003</v>
      </c>
      <c r="FW30" s="24">
        <f t="shared" si="110"/>
        <v>156.00000000000003</v>
      </c>
      <c r="FX30" s="24">
        <f t="shared" si="110"/>
        <v>156.00000000000003</v>
      </c>
      <c r="FY30" s="24">
        <f t="shared" si="110"/>
        <v>156.00000000000003</v>
      </c>
      <c r="FZ30" s="24">
        <f t="shared" si="110"/>
        <v>156.00000000000003</v>
      </c>
      <c r="GA30" s="24">
        <f t="shared" si="110"/>
        <v>156.00000000000003</v>
      </c>
      <c r="GB30" s="24">
        <f t="shared" si="110"/>
        <v>156.00000000000003</v>
      </c>
      <c r="GC30" s="24">
        <f t="shared" si="110"/>
        <v>156.00000000000003</v>
      </c>
      <c r="GD30" s="24">
        <f t="shared" si="110"/>
        <v>156.00000000000003</v>
      </c>
      <c r="GE30" s="24">
        <f t="shared" si="110"/>
        <v>156.00000000000003</v>
      </c>
      <c r="GF30" s="24">
        <f t="shared" si="110"/>
        <v>156.00000000000003</v>
      </c>
      <c r="GG30" s="24">
        <f t="shared" si="110"/>
        <v>156.00000000000003</v>
      </c>
      <c r="GH30" s="24">
        <f t="shared" si="110"/>
        <v>156.00000000000003</v>
      </c>
      <c r="GI30" s="24">
        <f t="shared" si="110"/>
        <v>156.00000000000003</v>
      </c>
      <c r="GJ30" s="24">
        <f t="shared" si="110"/>
        <v>156.00000000000003</v>
      </c>
      <c r="GK30" s="24">
        <f t="shared" si="110"/>
        <v>156.00000000000003</v>
      </c>
      <c r="GL30" s="24">
        <f t="shared" si="110"/>
        <v>156.00000000000003</v>
      </c>
      <c r="GM30" s="24">
        <f t="shared" si="110"/>
        <v>162.00000000000003</v>
      </c>
      <c r="GN30" s="24">
        <f t="shared" si="110"/>
        <v>162.00000000000003</v>
      </c>
      <c r="GO30" s="24">
        <f t="shared" si="110"/>
        <v>162.00000000000003</v>
      </c>
      <c r="GP30" s="24">
        <f t="shared" si="110"/>
        <v>162.00000000000003</v>
      </c>
      <c r="GQ30" s="24">
        <f t="shared" si="110"/>
        <v>162.00000000000003</v>
      </c>
      <c r="GR30" s="24">
        <f t="shared" si="110"/>
        <v>162.00000000000003</v>
      </c>
      <c r="GS30" s="24">
        <f t="shared" si="110"/>
        <v>162.00000000000003</v>
      </c>
      <c r="GT30" s="24">
        <f t="shared" si="110"/>
        <v>162.00000000000003</v>
      </c>
      <c r="GU30" s="24">
        <f t="shared" si="110"/>
        <v>162.00000000000003</v>
      </c>
      <c r="GV30" s="24">
        <f t="shared" si="110"/>
        <v>162.00000000000003</v>
      </c>
      <c r="GW30" s="24">
        <f t="shared" si="110"/>
        <v>162.00000000000003</v>
      </c>
      <c r="GX30" s="24">
        <f t="shared" si="110"/>
        <v>162.00000000000003</v>
      </c>
      <c r="GY30" s="24">
        <f t="shared" si="110"/>
        <v>162.00000000000003</v>
      </c>
      <c r="GZ30" s="24">
        <f t="shared" si="110"/>
        <v>162.00000000000003</v>
      </c>
      <c r="HA30" s="24">
        <f t="shared" si="110"/>
        <v>162.00000000000003</v>
      </c>
      <c r="HB30" s="24">
        <f t="shared" si="110"/>
        <v>162.00000000000003</v>
      </c>
      <c r="HC30" s="24">
        <f t="shared" si="110"/>
        <v>162.00000000000003</v>
      </c>
      <c r="HD30" s="24">
        <f t="shared" si="110"/>
        <v>162.00000000000003</v>
      </c>
      <c r="HE30" s="24">
        <f t="shared" si="110"/>
        <v>162.00000000000003</v>
      </c>
      <c r="HF30" s="24">
        <f t="shared" si="110"/>
        <v>162.00000000000003</v>
      </c>
      <c r="HG30" s="24">
        <f t="shared" si="110"/>
        <v>162.00000000000003</v>
      </c>
      <c r="HH30" s="24">
        <f t="shared" si="110"/>
        <v>162.00000000000003</v>
      </c>
      <c r="HI30" s="24">
        <f t="shared" si="110"/>
        <v>162.00000000000003</v>
      </c>
      <c r="HJ30" s="24">
        <f t="shared" si="110"/>
        <v>162.00000000000003</v>
      </c>
      <c r="HK30" s="24">
        <f t="shared" si="110"/>
        <v>168.00000000000006</v>
      </c>
      <c r="HL30" s="24">
        <f t="shared" si="110"/>
        <v>168.00000000000006</v>
      </c>
      <c r="HM30" s="24">
        <f t="shared" si="110"/>
        <v>168.00000000000006</v>
      </c>
      <c r="HN30" s="24">
        <f t="shared" si="110"/>
        <v>168.00000000000006</v>
      </c>
      <c r="HO30" s="24">
        <f t="shared" si="110"/>
        <v>168.00000000000006</v>
      </c>
      <c r="HP30" s="24">
        <f t="shared" si="110"/>
        <v>168.00000000000006</v>
      </c>
      <c r="HQ30" s="24">
        <f t="shared" si="110"/>
        <v>168.00000000000006</v>
      </c>
      <c r="HR30" s="24">
        <f t="shared" si="110"/>
        <v>168.00000000000006</v>
      </c>
      <c r="HS30" s="24">
        <f t="shared" ref="HS30:IH30" si="111">CST_RENT_CHILL_M*HS$20</f>
        <v>168.00000000000006</v>
      </c>
      <c r="HT30" s="24">
        <f t="shared" si="111"/>
        <v>168.00000000000006</v>
      </c>
      <c r="HU30" s="24">
        <f t="shared" si="111"/>
        <v>168.00000000000006</v>
      </c>
      <c r="HV30" s="24">
        <f t="shared" si="111"/>
        <v>168.00000000000006</v>
      </c>
      <c r="HW30" s="24">
        <f t="shared" si="111"/>
        <v>168.00000000000006</v>
      </c>
      <c r="HX30" s="24">
        <f t="shared" si="111"/>
        <v>168.00000000000006</v>
      </c>
      <c r="HY30" s="24">
        <f t="shared" si="111"/>
        <v>168.00000000000006</v>
      </c>
      <c r="HZ30" s="24">
        <f t="shared" si="111"/>
        <v>168.00000000000006</v>
      </c>
      <c r="IA30" s="24">
        <f t="shared" si="111"/>
        <v>168.00000000000006</v>
      </c>
      <c r="IB30" s="24">
        <f t="shared" si="111"/>
        <v>168.00000000000006</v>
      </c>
      <c r="IC30" s="24">
        <f t="shared" si="111"/>
        <v>168.00000000000006</v>
      </c>
      <c r="ID30" s="24">
        <f t="shared" si="111"/>
        <v>168.00000000000006</v>
      </c>
      <c r="IE30" s="24">
        <f t="shared" si="111"/>
        <v>168.00000000000006</v>
      </c>
      <c r="IF30" s="24">
        <f t="shared" si="111"/>
        <v>168.00000000000006</v>
      </c>
      <c r="IG30" s="24">
        <f t="shared" si="111"/>
        <v>168.00000000000006</v>
      </c>
      <c r="IH30" s="24">
        <f t="shared" si="111"/>
        <v>168.00000000000006</v>
      </c>
    </row>
    <row r="31" spans="1:242" x14ac:dyDescent="0.45">
      <c r="A31" s="58" t="s">
        <v>201</v>
      </c>
      <c r="B31" s="61"/>
      <c r="C31" s="24">
        <f t="shared" ref="C31:AH31" si="112">CST_RENT_FROZEN_M*C$20</f>
        <v>120</v>
      </c>
      <c r="D31" s="24">
        <f t="shared" si="112"/>
        <v>120</v>
      </c>
      <c r="E31" s="24">
        <f t="shared" si="112"/>
        <v>120</v>
      </c>
      <c r="F31" s="24">
        <f t="shared" si="112"/>
        <v>120</v>
      </c>
      <c r="G31" s="24">
        <f t="shared" si="112"/>
        <v>120</v>
      </c>
      <c r="H31" s="24">
        <f t="shared" si="112"/>
        <v>120</v>
      </c>
      <c r="I31" s="24">
        <f t="shared" si="112"/>
        <v>120</v>
      </c>
      <c r="J31" s="24">
        <f t="shared" si="112"/>
        <v>120</v>
      </c>
      <c r="K31" s="24">
        <f t="shared" si="112"/>
        <v>120</v>
      </c>
      <c r="L31" s="24">
        <f t="shared" si="112"/>
        <v>120</v>
      </c>
      <c r="M31" s="24">
        <f t="shared" si="112"/>
        <v>120</v>
      </c>
      <c r="N31" s="24">
        <f t="shared" si="112"/>
        <v>120</v>
      </c>
      <c r="O31" s="24">
        <f t="shared" si="112"/>
        <v>120</v>
      </c>
      <c r="P31" s="24">
        <f t="shared" si="112"/>
        <v>120</v>
      </c>
      <c r="Q31" s="24">
        <f t="shared" si="112"/>
        <v>120</v>
      </c>
      <c r="R31" s="24">
        <f t="shared" si="112"/>
        <v>120</v>
      </c>
      <c r="S31" s="24">
        <f t="shared" si="112"/>
        <v>120</v>
      </c>
      <c r="T31" s="24">
        <f t="shared" si="112"/>
        <v>120</v>
      </c>
      <c r="U31" s="24">
        <f t="shared" si="112"/>
        <v>120</v>
      </c>
      <c r="V31" s="24">
        <f t="shared" si="112"/>
        <v>120</v>
      </c>
      <c r="W31" s="24">
        <f t="shared" si="112"/>
        <v>120</v>
      </c>
      <c r="X31" s="24">
        <f t="shared" si="112"/>
        <v>120</v>
      </c>
      <c r="Y31" s="24">
        <f t="shared" si="112"/>
        <v>120</v>
      </c>
      <c r="Z31" s="24">
        <f t="shared" si="112"/>
        <v>120</v>
      </c>
      <c r="AA31" s="24">
        <f t="shared" si="112"/>
        <v>120</v>
      </c>
      <c r="AB31" s="24">
        <f t="shared" si="112"/>
        <v>120</v>
      </c>
      <c r="AC31" s="24">
        <f t="shared" si="112"/>
        <v>120</v>
      </c>
      <c r="AD31" s="24">
        <f t="shared" si="112"/>
        <v>120</v>
      </c>
      <c r="AE31" s="24">
        <f t="shared" si="112"/>
        <v>120</v>
      </c>
      <c r="AF31" s="24">
        <f t="shared" si="112"/>
        <v>120</v>
      </c>
      <c r="AG31" s="24">
        <f t="shared" si="112"/>
        <v>120</v>
      </c>
      <c r="AH31" s="24">
        <f t="shared" si="112"/>
        <v>120</v>
      </c>
      <c r="AI31" s="24">
        <f t="shared" ref="AI31:BN31" si="113">CST_RENT_FROZEN_M*AI$20</f>
        <v>120</v>
      </c>
      <c r="AJ31" s="24">
        <f t="shared" si="113"/>
        <v>120</v>
      </c>
      <c r="AK31" s="24">
        <f t="shared" si="113"/>
        <v>120</v>
      </c>
      <c r="AL31" s="24">
        <f t="shared" si="113"/>
        <v>120</v>
      </c>
      <c r="AM31" s="24">
        <f t="shared" si="113"/>
        <v>120</v>
      </c>
      <c r="AN31" s="24">
        <f t="shared" si="113"/>
        <v>120</v>
      </c>
      <c r="AO31" s="24">
        <f t="shared" si="113"/>
        <v>120</v>
      </c>
      <c r="AP31" s="24">
        <f t="shared" si="113"/>
        <v>120</v>
      </c>
      <c r="AQ31" s="24">
        <f t="shared" si="113"/>
        <v>120</v>
      </c>
      <c r="AR31" s="24">
        <f t="shared" si="113"/>
        <v>120</v>
      </c>
      <c r="AS31" s="24">
        <f t="shared" si="113"/>
        <v>120</v>
      </c>
      <c r="AT31" s="24">
        <f t="shared" si="113"/>
        <v>120</v>
      </c>
      <c r="AU31" s="24">
        <f t="shared" si="113"/>
        <v>120</v>
      </c>
      <c r="AV31" s="24">
        <f t="shared" si="113"/>
        <v>120</v>
      </c>
      <c r="AW31" s="24">
        <f t="shared" si="113"/>
        <v>120</v>
      </c>
      <c r="AX31" s="24">
        <f t="shared" si="113"/>
        <v>120</v>
      </c>
      <c r="AY31" s="24">
        <f t="shared" si="113"/>
        <v>126</v>
      </c>
      <c r="AZ31" s="24">
        <f t="shared" si="113"/>
        <v>126</v>
      </c>
      <c r="BA31" s="24">
        <f t="shared" si="113"/>
        <v>126</v>
      </c>
      <c r="BB31" s="24">
        <f t="shared" si="113"/>
        <v>126</v>
      </c>
      <c r="BC31" s="24">
        <f t="shared" si="113"/>
        <v>126</v>
      </c>
      <c r="BD31" s="24">
        <f t="shared" si="113"/>
        <v>126</v>
      </c>
      <c r="BE31" s="24">
        <f t="shared" si="113"/>
        <v>126</v>
      </c>
      <c r="BF31" s="24">
        <f t="shared" si="113"/>
        <v>126</v>
      </c>
      <c r="BG31" s="24">
        <f t="shared" si="113"/>
        <v>126</v>
      </c>
      <c r="BH31" s="24">
        <f t="shared" si="113"/>
        <v>126</v>
      </c>
      <c r="BI31" s="24">
        <f t="shared" si="113"/>
        <v>126</v>
      </c>
      <c r="BJ31" s="24">
        <f t="shared" si="113"/>
        <v>126</v>
      </c>
      <c r="BK31" s="24">
        <f t="shared" si="113"/>
        <v>126</v>
      </c>
      <c r="BL31" s="24">
        <f t="shared" si="113"/>
        <v>126</v>
      </c>
      <c r="BM31" s="24">
        <f t="shared" si="113"/>
        <v>126</v>
      </c>
      <c r="BN31" s="24">
        <f t="shared" si="113"/>
        <v>126</v>
      </c>
      <c r="BO31" s="24">
        <f t="shared" ref="BO31:CT31" si="114">CST_RENT_FROZEN_M*BO$20</f>
        <v>126</v>
      </c>
      <c r="BP31" s="24">
        <f t="shared" si="114"/>
        <v>126</v>
      </c>
      <c r="BQ31" s="24">
        <f t="shared" si="114"/>
        <v>126</v>
      </c>
      <c r="BR31" s="24">
        <f t="shared" si="114"/>
        <v>126</v>
      </c>
      <c r="BS31" s="24">
        <f t="shared" si="114"/>
        <v>126</v>
      </c>
      <c r="BT31" s="24">
        <f t="shared" si="114"/>
        <v>126</v>
      </c>
      <c r="BU31" s="24">
        <f t="shared" si="114"/>
        <v>126</v>
      </c>
      <c r="BV31" s="24">
        <f t="shared" si="114"/>
        <v>126</v>
      </c>
      <c r="BW31" s="24">
        <f t="shared" si="114"/>
        <v>132</v>
      </c>
      <c r="BX31" s="24">
        <f t="shared" si="114"/>
        <v>132</v>
      </c>
      <c r="BY31" s="24">
        <f t="shared" si="114"/>
        <v>132</v>
      </c>
      <c r="BZ31" s="24">
        <f t="shared" si="114"/>
        <v>132</v>
      </c>
      <c r="CA31" s="24">
        <f t="shared" si="114"/>
        <v>132</v>
      </c>
      <c r="CB31" s="24">
        <f t="shared" si="114"/>
        <v>132</v>
      </c>
      <c r="CC31" s="24">
        <f t="shared" si="114"/>
        <v>132</v>
      </c>
      <c r="CD31" s="24">
        <f t="shared" si="114"/>
        <v>132</v>
      </c>
      <c r="CE31" s="24">
        <f t="shared" si="114"/>
        <v>132</v>
      </c>
      <c r="CF31" s="24">
        <f t="shared" si="114"/>
        <v>132</v>
      </c>
      <c r="CG31" s="24">
        <f t="shared" si="114"/>
        <v>132</v>
      </c>
      <c r="CH31" s="24">
        <f t="shared" si="114"/>
        <v>132</v>
      </c>
      <c r="CI31" s="24">
        <f t="shared" si="114"/>
        <v>132</v>
      </c>
      <c r="CJ31" s="24">
        <f t="shared" si="114"/>
        <v>132</v>
      </c>
      <c r="CK31" s="24">
        <f t="shared" si="114"/>
        <v>132</v>
      </c>
      <c r="CL31" s="24">
        <f t="shared" si="114"/>
        <v>132</v>
      </c>
      <c r="CM31" s="24">
        <f t="shared" si="114"/>
        <v>132</v>
      </c>
      <c r="CN31" s="24">
        <f t="shared" si="114"/>
        <v>132</v>
      </c>
      <c r="CO31" s="24">
        <f t="shared" si="114"/>
        <v>132</v>
      </c>
      <c r="CP31" s="24">
        <f t="shared" si="114"/>
        <v>132</v>
      </c>
      <c r="CQ31" s="24">
        <f t="shared" si="114"/>
        <v>132</v>
      </c>
      <c r="CR31" s="24">
        <f t="shared" si="114"/>
        <v>132</v>
      </c>
      <c r="CS31" s="24">
        <f t="shared" si="114"/>
        <v>132</v>
      </c>
      <c r="CT31" s="24">
        <f t="shared" si="114"/>
        <v>132</v>
      </c>
      <c r="CU31" s="24">
        <f t="shared" ref="CU31:DZ31" si="115">CST_RENT_FROZEN_M*CU$20</f>
        <v>138.00000000000003</v>
      </c>
      <c r="CV31" s="24">
        <f t="shared" si="115"/>
        <v>138.00000000000003</v>
      </c>
      <c r="CW31" s="24">
        <f t="shared" si="115"/>
        <v>138.00000000000003</v>
      </c>
      <c r="CX31" s="24">
        <f t="shared" si="115"/>
        <v>138.00000000000003</v>
      </c>
      <c r="CY31" s="24">
        <f t="shared" si="115"/>
        <v>138.00000000000003</v>
      </c>
      <c r="CZ31" s="24">
        <f t="shared" si="115"/>
        <v>138.00000000000003</v>
      </c>
      <c r="DA31" s="24">
        <f t="shared" si="115"/>
        <v>138.00000000000003</v>
      </c>
      <c r="DB31" s="24">
        <f t="shared" si="115"/>
        <v>138.00000000000003</v>
      </c>
      <c r="DC31" s="24">
        <f t="shared" si="115"/>
        <v>138.00000000000003</v>
      </c>
      <c r="DD31" s="24">
        <f t="shared" si="115"/>
        <v>138.00000000000003</v>
      </c>
      <c r="DE31" s="24">
        <f t="shared" si="115"/>
        <v>138.00000000000003</v>
      </c>
      <c r="DF31" s="24">
        <f t="shared" si="115"/>
        <v>138.00000000000003</v>
      </c>
      <c r="DG31" s="24">
        <f t="shared" si="115"/>
        <v>138.00000000000003</v>
      </c>
      <c r="DH31" s="24">
        <f t="shared" si="115"/>
        <v>138.00000000000003</v>
      </c>
      <c r="DI31" s="24">
        <f t="shared" si="115"/>
        <v>138.00000000000003</v>
      </c>
      <c r="DJ31" s="24">
        <f t="shared" si="115"/>
        <v>138.00000000000003</v>
      </c>
      <c r="DK31" s="24">
        <f t="shared" si="115"/>
        <v>138.00000000000003</v>
      </c>
      <c r="DL31" s="24">
        <f t="shared" si="115"/>
        <v>138.00000000000003</v>
      </c>
      <c r="DM31" s="24">
        <f t="shared" si="115"/>
        <v>138.00000000000003</v>
      </c>
      <c r="DN31" s="24">
        <f t="shared" si="115"/>
        <v>138.00000000000003</v>
      </c>
      <c r="DO31" s="24">
        <f t="shared" si="115"/>
        <v>138.00000000000003</v>
      </c>
      <c r="DP31" s="24">
        <f t="shared" si="115"/>
        <v>138.00000000000003</v>
      </c>
      <c r="DQ31" s="24">
        <f t="shared" si="115"/>
        <v>138.00000000000003</v>
      </c>
      <c r="DR31" s="24">
        <f t="shared" si="115"/>
        <v>138.00000000000003</v>
      </c>
      <c r="DS31" s="24">
        <f t="shared" si="115"/>
        <v>144.00000000000003</v>
      </c>
      <c r="DT31" s="24">
        <f t="shared" si="115"/>
        <v>144.00000000000003</v>
      </c>
      <c r="DU31" s="24">
        <f t="shared" si="115"/>
        <v>144.00000000000003</v>
      </c>
      <c r="DV31" s="24">
        <f t="shared" si="115"/>
        <v>144.00000000000003</v>
      </c>
      <c r="DW31" s="24">
        <f t="shared" si="115"/>
        <v>144.00000000000003</v>
      </c>
      <c r="DX31" s="24">
        <f t="shared" si="115"/>
        <v>144.00000000000003</v>
      </c>
      <c r="DY31" s="24">
        <f t="shared" si="115"/>
        <v>144.00000000000003</v>
      </c>
      <c r="DZ31" s="24">
        <f t="shared" si="115"/>
        <v>144.00000000000003</v>
      </c>
      <c r="EA31" s="24">
        <f t="shared" ref="EA31:FF31" si="116">CST_RENT_FROZEN_M*EA$20</f>
        <v>144.00000000000003</v>
      </c>
      <c r="EB31" s="24">
        <f t="shared" si="116"/>
        <v>144.00000000000003</v>
      </c>
      <c r="EC31" s="24">
        <f t="shared" si="116"/>
        <v>144.00000000000003</v>
      </c>
      <c r="ED31" s="24">
        <f t="shared" si="116"/>
        <v>144.00000000000003</v>
      </c>
      <c r="EE31" s="24">
        <f t="shared" si="116"/>
        <v>144.00000000000003</v>
      </c>
      <c r="EF31" s="24">
        <f t="shared" si="116"/>
        <v>144.00000000000003</v>
      </c>
      <c r="EG31" s="24">
        <f t="shared" si="116"/>
        <v>144.00000000000003</v>
      </c>
      <c r="EH31" s="24">
        <f t="shared" si="116"/>
        <v>144.00000000000003</v>
      </c>
      <c r="EI31" s="24">
        <f t="shared" si="116"/>
        <v>144.00000000000003</v>
      </c>
      <c r="EJ31" s="24">
        <f t="shared" si="116"/>
        <v>144.00000000000003</v>
      </c>
      <c r="EK31" s="24">
        <f t="shared" si="116"/>
        <v>144.00000000000003</v>
      </c>
      <c r="EL31" s="24">
        <f t="shared" si="116"/>
        <v>144.00000000000003</v>
      </c>
      <c r="EM31" s="24">
        <f t="shared" si="116"/>
        <v>144.00000000000003</v>
      </c>
      <c r="EN31" s="24">
        <f t="shared" si="116"/>
        <v>144.00000000000003</v>
      </c>
      <c r="EO31" s="24">
        <f t="shared" si="116"/>
        <v>144.00000000000003</v>
      </c>
      <c r="EP31" s="24">
        <f t="shared" si="116"/>
        <v>144.00000000000003</v>
      </c>
      <c r="EQ31" s="24">
        <f t="shared" si="116"/>
        <v>150.00000000000003</v>
      </c>
      <c r="ER31" s="24">
        <f t="shared" si="116"/>
        <v>150.00000000000003</v>
      </c>
      <c r="ES31" s="24">
        <f t="shared" si="116"/>
        <v>150.00000000000003</v>
      </c>
      <c r="ET31" s="24">
        <f t="shared" si="116"/>
        <v>150.00000000000003</v>
      </c>
      <c r="EU31" s="24">
        <f t="shared" si="116"/>
        <v>150.00000000000003</v>
      </c>
      <c r="EV31" s="24">
        <f t="shared" si="116"/>
        <v>150.00000000000003</v>
      </c>
      <c r="EW31" s="24">
        <f t="shared" si="116"/>
        <v>150.00000000000003</v>
      </c>
      <c r="EX31" s="24">
        <f t="shared" si="116"/>
        <v>150.00000000000003</v>
      </c>
      <c r="EY31" s="24">
        <f t="shared" si="116"/>
        <v>150.00000000000003</v>
      </c>
      <c r="EZ31" s="24">
        <f t="shared" si="116"/>
        <v>150.00000000000003</v>
      </c>
      <c r="FA31" s="24">
        <f t="shared" si="116"/>
        <v>150.00000000000003</v>
      </c>
      <c r="FB31" s="24">
        <f t="shared" si="116"/>
        <v>150.00000000000003</v>
      </c>
      <c r="FC31" s="24">
        <f t="shared" si="116"/>
        <v>150.00000000000003</v>
      </c>
      <c r="FD31" s="24">
        <f t="shared" si="116"/>
        <v>150.00000000000003</v>
      </c>
      <c r="FE31" s="24">
        <f t="shared" si="116"/>
        <v>150.00000000000003</v>
      </c>
      <c r="FF31" s="24">
        <f t="shared" si="116"/>
        <v>150.00000000000003</v>
      </c>
      <c r="FG31" s="24">
        <f t="shared" ref="FG31:HR31" si="117">CST_RENT_FROZEN_M*FG$20</f>
        <v>150.00000000000003</v>
      </c>
      <c r="FH31" s="24">
        <f t="shared" si="117"/>
        <v>150.00000000000003</v>
      </c>
      <c r="FI31" s="24">
        <f t="shared" si="117"/>
        <v>150.00000000000003</v>
      </c>
      <c r="FJ31" s="24">
        <f t="shared" si="117"/>
        <v>150.00000000000003</v>
      </c>
      <c r="FK31" s="24">
        <f t="shared" si="117"/>
        <v>150.00000000000003</v>
      </c>
      <c r="FL31" s="24">
        <f t="shared" si="117"/>
        <v>150.00000000000003</v>
      </c>
      <c r="FM31" s="24">
        <f t="shared" si="117"/>
        <v>150.00000000000003</v>
      </c>
      <c r="FN31" s="24">
        <f t="shared" si="117"/>
        <v>150.00000000000003</v>
      </c>
      <c r="FO31" s="24">
        <f t="shared" si="117"/>
        <v>156.00000000000003</v>
      </c>
      <c r="FP31" s="24">
        <f t="shared" si="117"/>
        <v>156.00000000000003</v>
      </c>
      <c r="FQ31" s="24">
        <f t="shared" si="117"/>
        <v>156.00000000000003</v>
      </c>
      <c r="FR31" s="24">
        <f t="shared" si="117"/>
        <v>156.00000000000003</v>
      </c>
      <c r="FS31" s="24">
        <f t="shared" si="117"/>
        <v>156.00000000000003</v>
      </c>
      <c r="FT31" s="24">
        <f t="shared" si="117"/>
        <v>156.00000000000003</v>
      </c>
      <c r="FU31" s="24">
        <f t="shared" si="117"/>
        <v>156.00000000000003</v>
      </c>
      <c r="FV31" s="24">
        <f t="shared" si="117"/>
        <v>156.00000000000003</v>
      </c>
      <c r="FW31" s="24">
        <f t="shared" si="117"/>
        <v>156.00000000000003</v>
      </c>
      <c r="FX31" s="24">
        <f t="shared" si="117"/>
        <v>156.00000000000003</v>
      </c>
      <c r="FY31" s="24">
        <f t="shared" si="117"/>
        <v>156.00000000000003</v>
      </c>
      <c r="FZ31" s="24">
        <f t="shared" si="117"/>
        <v>156.00000000000003</v>
      </c>
      <c r="GA31" s="24">
        <f t="shared" si="117"/>
        <v>156.00000000000003</v>
      </c>
      <c r="GB31" s="24">
        <f t="shared" si="117"/>
        <v>156.00000000000003</v>
      </c>
      <c r="GC31" s="24">
        <f t="shared" si="117"/>
        <v>156.00000000000003</v>
      </c>
      <c r="GD31" s="24">
        <f t="shared" si="117"/>
        <v>156.00000000000003</v>
      </c>
      <c r="GE31" s="24">
        <f t="shared" si="117"/>
        <v>156.00000000000003</v>
      </c>
      <c r="GF31" s="24">
        <f t="shared" si="117"/>
        <v>156.00000000000003</v>
      </c>
      <c r="GG31" s="24">
        <f t="shared" si="117"/>
        <v>156.00000000000003</v>
      </c>
      <c r="GH31" s="24">
        <f t="shared" si="117"/>
        <v>156.00000000000003</v>
      </c>
      <c r="GI31" s="24">
        <f t="shared" si="117"/>
        <v>156.00000000000003</v>
      </c>
      <c r="GJ31" s="24">
        <f t="shared" si="117"/>
        <v>156.00000000000003</v>
      </c>
      <c r="GK31" s="24">
        <f t="shared" si="117"/>
        <v>156.00000000000003</v>
      </c>
      <c r="GL31" s="24">
        <f t="shared" si="117"/>
        <v>156.00000000000003</v>
      </c>
      <c r="GM31" s="24">
        <f t="shared" si="117"/>
        <v>162.00000000000003</v>
      </c>
      <c r="GN31" s="24">
        <f t="shared" si="117"/>
        <v>162.00000000000003</v>
      </c>
      <c r="GO31" s="24">
        <f t="shared" si="117"/>
        <v>162.00000000000003</v>
      </c>
      <c r="GP31" s="24">
        <f t="shared" si="117"/>
        <v>162.00000000000003</v>
      </c>
      <c r="GQ31" s="24">
        <f t="shared" si="117"/>
        <v>162.00000000000003</v>
      </c>
      <c r="GR31" s="24">
        <f t="shared" si="117"/>
        <v>162.00000000000003</v>
      </c>
      <c r="GS31" s="24">
        <f t="shared" si="117"/>
        <v>162.00000000000003</v>
      </c>
      <c r="GT31" s="24">
        <f t="shared" si="117"/>
        <v>162.00000000000003</v>
      </c>
      <c r="GU31" s="24">
        <f t="shared" si="117"/>
        <v>162.00000000000003</v>
      </c>
      <c r="GV31" s="24">
        <f t="shared" si="117"/>
        <v>162.00000000000003</v>
      </c>
      <c r="GW31" s="24">
        <f t="shared" si="117"/>
        <v>162.00000000000003</v>
      </c>
      <c r="GX31" s="24">
        <f t="shared" si="117"/>
        <v>162.00000000000003</v>
      </c>
      <c r="GY31" s="24">
        <f t="shared" si="117"/>
        <v>162.00000000000003</v>
      </c>
      <c r="GZ31" s="24">
        <f t="shared" si="117"/>
        <v>162.00000000000003</v>
      </c>
      <c r="HA31" s="24">
        <f t="shared" si="117"/>
        <v>162.00000000000003</v>
      </c>
      <c r="HB31" s="24">
        <f t="shared" si="117"/>
        <v>162.00000000000003</v>
      </c>
      <c r="HC31" s="24">
        <f t="shared" si="117"/>
        <v>162.00000000000003</v>
      </c>
      <c r="HD31" s="24">
        <f t="shared" si="117"/>
        <v>162.00000000000003</v>
      </c>
      <c r="HE31" s="24">
        <f t="shared" si="117"/>
        <v>162.00000000000003</v>
      </c>
      <c r="HF31" s="24">
        <f t="shared" si="117"/>
        <v>162.00000000000003</v>
      </c>
      <c r="HG31" s="24">
        <f t="shared" si="117"/>
        <v>162.00000000000003</v>
      </c>
      <c r="HH31" s="24">
        <f t="shared" si="117"/>
        <v>162.00000000000003</v>
      </c>
      <c r="HI31" s="24">
        <f t="shared" si="117"/>
        <v>162.00000000000003</v>
      </c>
      <c r="HJ31" s="24">
        <f t="shared" si="117"/>
        <v>162.00000000000003</v>
      </c>
      <c r="HK31" s="24">
        <f t="shared" si="117"/>
        <v>168.00000000000006</v>
      </c>
      <c r="HL31" s="24">
        <f t="shared" si="117"/>
        <v>168.00000000000006</v>
      </c>
      <c r="HM31" s="24">
        <f t="shared" si="117"/>
        <v>168.00000000000006</v>
      </c>
      <c r="HN31" s="24">
        <f t="shared" si="117"/>
        <v>168.00000000000006</v>
      </c>
      <c r="HO31" s="24">
        <f t="shared" si="117"/>
        <v>168.00000000000006</v>
      </c>
      <c r="HP31" s="24">
        <f t="shared" si="117"/>
        <v>168.00000000000006</v>
      </c>
      <c r="HQ31" s="24">
        <f t="shared" si="117"/>
        <v>168.00000000000006</v>
      </c>
      <c r="HR31" s="24">
        <f t="shared" si="117"/>
        <v>168.00000000000006</v>
      </c>
      <c r="HS31" s="24">
        <f t="shared" ref="HS31:IH31" si="118">CST_RENT_FROZEN_M*HS$20</f>
        <v>168.00000000000006</v>
      </c>
      <c r="HT31" s="24">
        <f t="shared" si="118"/>
        <v>168.00000000000006</v>
      </c>
      <c r="HU31" s="24">
        <f t="shared" si="118"/>
        <v>168.00000000000006</v>
      </c>
      <c r="HV31" s="24">
        <f t="shared" si="118"/>
        <v>168.00000000000006</v>
      </c>
      <c r="HW31" s="24">
        <f t="shared" si="118"/>
        <v>168.00000000000006</v>
      </c>
      <c r="HX31" s="24">
        <f t="shared" si="118"/>
        <v>168.00000000000006</v>
      </c>
      <c r="HY31" s="24">
        <f t="shared" si="118"/>
        <v>168.00000000000006</v>
      </c>
      <c r="HZ31" s="24">
        <f t="shared" si="118"/>
        <v>168.00000000000006</v>
      </c>
      <c r="IA31" s="24">
        <f t="shared" si="118"/>
        <v>168.00000000000006</v>
      </c>
      <c r="IB31" s="24">
        <f t="shared" si="118"/>
        <v>168.00000000000006</v>
      </c>
      <c r="IC31" s="24">
        <f t="shared" si="118"/>
        <v>168.00000000000006</v>
      </c>
      <c r="ID31" s="24">
        <f t="shared" si="118"/>
        <v>168.00000000000006</v>
      </c>
      <c r="IE31" s="24">
        <f t="shared" si="118"/>
        <v>168.00000000000006</v>
      </c>
      <c r="IF31" s="24">
        <f t="shared" si="118"/>
        <v>168.00000000000006</v>
      </c>
      <c r="IG31" s="24">
        <f t="shared" si="118"/>
        <v>168.00000000000006</v>
      </c>
      <c r="IH31" s="24">
        <f t="shared" si="118"/>
        <v>168.00000000000006</v>
      </c>
    </row>
    <row r="32" spans="1:242" x14ac:dyDescent="0.45">
      <c r="A32" s="58" t="s">
        <v>376</v>
      </c>
      <c r="B32" s="61"/>
      <c r="C32" s="24">
        <f t="shared" ref="C32:BN32" si="119">CST_RENT_DEDICATED*C$20</f>
        <v>70</v>
      </c>
      <c r="D32" s="24">
        <f t="shared" si="119"/>
        <v>70</v>
      </c>
      <c r="E32" s="24">
        <f t="shared" si="119"/>
        <v>70</v>
      </c>
      <c r="F32" s="24">
        <f t="shared" si="119"/>
        <v>70</v>
      </c>
      <c r="G32" s="24">
        <f t="shared" si="119"/>
        <v>70</v>
      </c>
      <c r="H32" s="24">
        <f t="shared" si="119"/>
        <v>70</v>
      </c>
      <c r="I32" s="24">
        <f t="shared" si="119"/>
        <v>70</v>
      </c>
      <c r="J32" s="24">
        <f t="shared" si="119"/>
        <v>70</v>
      </c>
      <c r="K32" s="24">
        <f t="shared" si="119"/>
        <v>70</v>
      </c>
      <c r="L32" s="24">
        <f t="shared" si="119"/>
        <v>70</v>
      </c>
      <c r="M32" s="24">
        <f t="shared" si="119"/>
        <v>70</v>
      </c>
      <c r="N32" s="24">
        <f t="shared" si="119"/>
        <v>70</v>
      </c>
      <c r="O32" s="24">
        <f t="shared" si="119"/>
        <v>70</v>
      </c>
      <c r="P32" s="24">
        <f t="shared" si="119"/>
        <v>70</v>
      </c>
      <c r="Q32" s="24">
        <f t="shared" si="119"/>
        <v>70</v>
      </c>
      <c r="R32" s="24">
        <f t="shared" si="119"/>
        <v>70</v>
      </c>
      <c r="S32" s="24">
        <f t="shared" si="119"/>
        <v>70</v>
      </c>
      <c r="T32" s="24">
        <f t="shared" si="119"/>
        <v>70</v>
      </c>
      <c r="U32" s="24">
        <f t="shared" si="119"/>
        <v>70</v>
      </c>
      <c r="V32" s="24">
        <f t="shared" si="119"/>
        <v>70</v>
      </c>
      <c r="W32" s="24">
        <f t="shared" si="119"/>
        <v>70</v>
      </c>
      <c r="X32" s="24">
        <f t="shared" si="119"/>
        <v>70</v>
      </c>
      <c r="Y32" s="24">
        <f t="shared" si="119"/>
        <v>70</v>
      </c>
      <c r="Z32" s="24">
        <f t="shared" si="119"/>
        <v>70</v>
      </c>
      <c r="AA32" s="24">
        <f t="shared" si="119"/>
        <v>70</v>
      </c>
      <c r="AB32" s="24">
        <f t="shared" si="119"/>
        <v>70</v>
      </c>
      <c r="AC32" s="24">
        <f t="shared" si="119"/>
        <v>70</v>
      </c>
      <c r="AD32" s="24">
        <f t="shared" si="119"/>
        <v>70</v>
      </c>
      <c r="AE32" s="24">
        <f t="shared" si="119"/>
        <v>70</v>
      </c>
      <c r="AF32" s="24">
        <f t="shared" si="119"/>
        <v>70</v>
      </c>
      <c r="AG32" s="24">
        <f t="shared" si="119"/>
        <v>70</v>
      </c>
      <c r="AH32" s="24">
        <f t="shared" si="119"/>
        <v>70</v>
      </c>
      <c r="AI32" s="24">
        <f t="shared" si="119"/>
        <v>70</v>
      </c>
      <c r="AJ32" s="24">
        <f t="shared" si="119"/>
        <v>70</v>
      </c>
      <c r="AK32" s="24">
        <f t="shared" si="119"/>
        <v>70</v>
      </c>
      <c r="AL32" s="24">
        <f t="shared" si="119"/>
        <v>70</v>
      </c>
      <c r="AM32" s="24">
        <f t="shared" si="119"/>
        <v>70</v>
      </c>
      <c r="AN32" s="24">
        <f t="shared" si="119"/>
        <v>70</v>
      </c>
      <c r="AO32" s="24">
        <f t="shared" si="119"/>
        <v>70</v>
      </c>
      <c r="AP32" s="24">
        <f t="shared" si="119"/>
        <v>70</v>
      </c>
      <c r="AQ32" s="24">
        <f t="shared" si="119"/>
        <v>70</v>
      </c>
      <c r="AR32" s="24">
        <f t="shared" si="119"/>
        <v>70</v>
      </c>
      <c r="AS32" s="24">
        <f t="shared" si="119"/>
        <v>70</v>
      </c>
      <c r="AT32" s="24">
        <f t="shared" si="119"/>
        <v>70</v>
      </c>
      <c r="AU32" s="24">
        <f t="shared" si="119"/>
        <v>70</v>
      </c>
      <c r="AV32" s="24">
        <f t="shared" si="119"/>
        <v>70</v>
      </c>
      <c r="AW32" s="24">
        <f t="shared" si="119"/>
        <v>70</v>
      </c>
      <c r="AX32" s="24">
        <f t="shared" si="119"/>
        <v>70</v>
      </c>
      <c r="AY32" s="24">
        <f t="shared" si="119"/>
        <v>73.5</v>
      </c>
      <c r="AZ32" s="24">
        <f t="shared" si="119"/>
        <v>73.5</v>
      </c>
      <c r="BA32" s="24">
        <f t="shared" si="119"/>
        <v>73.5</v>
      </c>
      <c r="BB32" s="24">
        <f t="shared" si="119"/>
        <v>73.5</v>
      </c>
      <c r="BC32" s="24">
        <f t="shared" si="119"/>
        <v>73.5</v>
      </c>
      <c r="BD32" s="24">
        <f t="shared" si="119"/>
        <v>73.5</v>
      </c>
      <c r="BE32" s="24">
        <f t="shared" si="119"/>
        <v>73.5</v>
      </c>
      <c r="BF32" s="24">
        <f t="shared" si="119"/>
        <v>73.5</v>
      </c>
      <c r="BG32" s="24">
        <f t="shared" si="119"/>
        <v>73.5</v>
      </c>
      <c r="BH32" s="24">
        <f t="shared" si="119"/>
        <v>73.5</v>
      </c>
      <c r="BI32" s="24">
        <f t="shared" si="119"/>
        <v>73.5</v>
      </c>
      <c r="BJ32" s="24">
        <f t="shared" si="119"/>
        <v>73.5</v>
      </c>
      <c r="BK32" s="24">
        <f t="shared" si="119"/>
        <v>73.5</v>
      </c>
      <c r="BL32" s="24">
        <f t="shared" si="119"/>
        <v>73.5</v>
      </c>
      <c r="BM32" s="24">
        <f t="shared" si="119"/>
        <v>73.5</v>
      </c>
      <c r="BN32" s="24">
        <f t="shared" si="119"/>
        <v>73.5</v>
      </c>
      <c r="BO32" s="24">
        <f t="shared" ref="BO32:DZ32" si="120">CST_RENT_DEDICATED*BO$20</f>
        <v>73.5</v>
      </c>
      <c r="BP32" s="24">
        <f t="shared" si="120"/>
        <v>73.5</v>
      </c>
      <c r="BQ32" s="24">
        <f t="shared" si="120"/>
        <v>73.5</v>
      </c>
      <c r="BR32" s="24">
        <f t="shared" si="120"/>
        <v>73.5</v>
      </c>
      <c r="BS32" s="24">
        <f t="shared" si="120"/>
        <v>73.5</v>
      </c>
      <c r="BT32" s="24">
        <f t="shared" si="120"/>
        <v>73.5</v>
      </c>
      <c r="BU32" s="24">
        <f t="shared" si="120"/>
        <v>73.5</v>
      </c>
      <c r="BV32" s="24">
        <f t="shared" si="120"/>
        <v>73.5</v>
      </c>
      <c r="BW32" s="24">
        <f t="shared" si="120"/>
        <v>77</v>
      </c>
      <c r="BX32" s="24">
        <f t="shared" si="120"/>
        <v>77</v>
      </c>
      <c r="BY32" s="24">
        <f t="shared" si="120"/>
        <v>77</v>
      </c>
      <c r="BZ32" s="24">
        <f t="shared" si="120"/>
        <v>77</v>
      </c>
      <c r="CA32" s="24">
        <f t="shared" si="120"/>
        <v>77</v>
      </c>
      <c r="CB32" s="24">
        <f t="shared" si="120"/>
        <v>77</v>
      </c>
      <c r="CC32" s="24">
        <f t="shared" si="120"/>
        <v>77</v>
      </c>
      <c r="CD32" s="24">
        <f t="shared" si="120"/>
        <v>77</v>
      </c>
      <c r="CE32" s="24">
        <f t="shared" si="120"/>
        <v>77</v>
      </c>
      <c r="CF32" s="24">
        <f t="shared" si="120"/>
        <v>77</v>
      </c>
      <c r="CG32" s="24">
        <f t="shared" si="120"/>
        <v>77</v>
      </c>
      <c r="CH32" s="24">
        <f t="shared" si="120"/>
        <v>77</v>
      </c>
      <c r="CI32" s="24">
        <f t="shared" si="120"/>
        <v>77</v>
      </c>
      <c r="CJ32" s="24">
        <f t="shared" si="120"/>
        <v>77</v>
      </c>
      <c r="CK32" s="24">
        <f t="shared" si="120"/>
        <v>77</v>
      </c>
      <c r="CL32" s="24">
        <f t="shared" si="120"/>
        <v>77</v>
      </c>
      <c r="CM32" s="24">
        <f t="shared" si="120"/>
        <v>77</v>
      </c>
      <c r="CN32" s="24">
        <f t="shared" si="120"/>
        <v>77</v>
      </c>
      <c r="CO32" s="24">
        <f t="shared" si="120"/>
        <v>77</v>
      </c>
      <c r="CP32" s="24">
        <f t="shared" si="120"/>
        <v>77</v>
      </c>
      <c r="CQ32" s="24">
        <f t="shared" si="120"/>
        <v>77</v>
      </c>
      <c r="CR32" s="24">
        <f t="shared" si="120"/>
        <v>77</v>
      </c>
      <c r="CS32" s="24">
        <f t="shared" si="120"/>
        <v>77</v>
      </c>
      <c r="CT32" s="24">
        <f t="shared" si="120"/>
        <v>77</v>
      </c>
      <c r="CU32" s="24">
        <f t="shared" si="120"/>
        <v>80.500000000000014</v>
      </c>
      <c r="CV32" s="24">
        <f t="shared" si="120"/>
        <v>80.500000000000014</v>
      </c>
      <c r="CW32" s="24">
        <f t="shared" si="120"/>
        <v>80.500000000000014</v>
      </c>
      <c r="CX32" s="24">
        <f t="shared" si="120"/>
        <v>80.500000000000014</v>
      </c>
      <c r="CY32" s="24">
        <f t="shared" si="120"/>
        <v>80.500000000000014</v>
      </c>
      <c r="CZ32" s="24">
        <f t="shared" si="120"/>
        <v>80.500000000000014</v>
      </c>
      <c r="DA32" s="24">
        <f t="shared" si="120"/>
        <v>80.500000000000014</v>
      </c>
      <c r="DB32" s="24">
        <f t="shared" si="120"/>
        <v>80.500000000000014</v>
      </c>
      <c r="DC32" s="24">
        <f t="shared" si="120"/>
        <v>80.500000000000014</v>
      </c>
      <c r="DD32" s="24">
        <f t="shared" si="120"/>
        <v>80.500000000000014</v>
      </c>
      <c r="DE32" s="24">
        <f t="shared" si="120"/>
        <v>80.500000000000014</v>
      </c>
      <c r="DF32" s="24">
        <f t="shared" si="120"/>
        <v>80.500000000000014</v>
      </c>
      <c r="DG32" s="24">
        <f t="shared" si="120"/>
        <v>80.500000000000014</v>
      </c>
      <c r="DH32" s="24">
        <f t="shared" si="120"/>
        <v>80.500000000000014</v>
      </c>
      <c r="DI32" s="24">
        <f t="shared" si="120"/>
        <v>80.500000000000014</v>
      </c>
      <c r="DJ32" s="24">
        <f t="shared" si="120"/>
        <v>80.500000000000014</v>
      </c>
      <c r="DK32" s="24">
        <f t="shared" si="120"/>
        <v>80.500000000000014</v>
      </c>
      <c r="DL32" s="24">
        <f t="shared" si="120"/>
        <v>80.500000000000014</v>
      </c>
      <c r="DM32" s="24">
        <f t="shared" si="120"/>
        <v>80.500000000000014</v>
      </c>
      <c r="DN32" s="24">
        <f t="shared" si="120"/>
        <v>80.500000000000014</v>
      </c>
      <c r="DO32" s="24">
        <f t="shared" si="120"/>
        <v>80.500000000000014</v>
      </c>
      <c r="DP32" s="24">
        <f t="shared" si="120"/>
        <v>80.500000000000014</v>
      </c>
      <c r="DQ32" s="24">
        <f t="shared" si="120"/>
        <v>80.500000000000014</v>
      </c>
      <c r="DR32" s="24">
        <f t="shared" si="120"/>
        <v>80.500000000000014</v>
      </c>
      <c r="DS32" s="24">
        <f t="shared" si="120"/>
        <v>84.000000000000014</v>
      </c>
      <c r="DT32" s="24">
        <f t="shared" si="120"/>
        <v>84.000000000000014</v>
      </c>
      <c r="DU32" s="24">
        <f t="shared" si="120"/>
        <v>84.000000000000014</v>
      </c>
      <c r="DV32" s="24">
        <f t="shared" si="120"/>
        <v>84.000000000000014</v>
      </c>
      <c r="DW32" s="24">
        <f t="shared" si="120"/>
        <v>84.000000000000014</v>
      </c>
      <c r="DX32" s="24">
        <f t="shared" si="120"/>
        <v>84.000000000000014</v>
      </c>
      <c r="DY32" s="24">
        <f t="shared" si="120"/>
        <v>84.000000000000014</v>
      </c>
      <c r="DZ32" s="24">
        <f t="shared" si="120"/>
        <v>84.000000000000014</v>
      </c>
      <c r="EA32" s="24">
        <f t="shared" ref="EA32:GL32" si="121">CST_RENT_DEDICATED*EA$20</f>
        <v>84.000000000000014</v>
      </c>
      <c r="EB32" s="24">
        <f t="shared" si="121"/>
        <v>84.000000000000014</v>
      </c>
      <c r="EC32" s="24">
        <f t="shared" si="121"/>
        <v>84.000000000000014</v>
      </c>
      <c r="ED32" s="24">
        <f t="shared" si="121"/>
        <v>84.000000000000014</v>
      </c>
      <c r="EE32" s="24">
        <f t="shared" si="121"/>
        <v>84.000000000000014</v>
      </c>
      <c r="EF32" s="24">
        <f t="shared" si="121"/>
        <v>84.000000000000014</v>
      </c>
      <c r="EG32" s="24">
        <f t="shared" si="121"/>
        <v>84.000000000000014</v>
      </c>
      <c r="EH32" s="24">
        <f t="shared" si="121"/>
        <v>84.000000000000014</v>
      </c>
      <c r="EI32" s="24">
        <f t="shared" si="121"/>
        <v>84.000000000000014</v>
      </c>
      <c r="EJ32" s="24">
        <f t="shared" si="121"/>
        <v>84.000000000000014</v>
      </c>
      <c r="EK32" s="24">
        <f t="shared" si="121"/>
        <v>84.000000000000014</v>
      </c>
      <c r="EL32" s="24">
        <f t="shared" si="121"/>
        <v>84.000000000000014</v>
      </c>
      <c r="EM32" s="24">
        <f t="shared" si="121"/>
        <v>84.000000000000014</v>
      </c>
      <c r="EN32" s="24">
        <f t="shared" si="121"/>
        <v>84.000000000000014</v>
      </c>
      <c r="EO32" s="24">
        <f t="shared" si="121"/>
        <v>84.000000000000014</v>
      </c>
      <c r="EP32" s="24">
        <f t="shared" si="121"/>
        <v>84.000000000000014</v>
      </c>
      <c r="EQ32" s="24">
        <f t="shared" si="121"/>
        <v>87.500000000000014</v>
      </c>
      <c r="ER32" s="24">
        <f t="shared" si="121"/>
        <v>87.500000000000014</v>
      </c>
      <c r="ES32" s="24">
        <f t="shared" si="121"/>
        <v>87.500000000000014</v>
      </c>
      <c r="ET32" s="24">
        <f t="shared" si="121"/>
        <v>87.500000000000014</v>
      </c>
      <c r="EU32" s="24">
        <f t="shared" si="121"/>
        <v>87.500000000000014</v>
      </c>
      <c r="EV32" s="24">
        <f t="shared" si="121"/>
        <v>87.500000000000014</v>
      </c>
      <c r="EW32" s="24">
        <f t="shared" si="121"/>
        <v>87.500000000000014</v>
      </c>
      <c r="EX32" s="24">
        <f t="shared" si="121"/>
        <v>87.500000000000014</v>
      </c>
      <c r="EY32" s="24">
        <f t="shared" si="121"/>
        <v>87.500000000000014</v>
      </c>
      <c r="EZ32" s="24">
        <f t="shared" si="121"/>
        <v>87.500000000000014</v>
      </c>
      <c r="FA32" s="24">
        <f t="shared" si="121"/>
        <v>87.500000000000014</v>
      </c>
      <c r="FB32" s="24">
        <f t="shared" si="121"/>
        <v>87.500000000000014</v>
      </c>
      <c r="FC32" s="24">
        <f t="shared" si="121"/>
        <v>87.500000000000014</v>
      </c>
      <c r="FD32" s="24">
        <f t="shared" si="121"/>
        <v>87.500000000000014</v>
      </c>
      <c r="FE32" s="24">
        <f t="shared" si="121"/>
        <v>87.500000000000014</v>
      </c>
      <c r="FF32" s="24">
        <f t="shared" si="121"/>
        <v>87.500000000000014</v>
      </c>
      <c r="FG32" s="24">
        <f t="shared" si="121"/>
        <v>87.500000000000014</v>
      </c>
      <c r="FH32" s="24">
        <f t="shared" si="121"/>
        <v>87.500000000000014</v>
      </c>
      <c r="FI32" s="24">
        <f t="shared" si="121"/>
        <v>87.500000000000014</v>
      </c>
      <c r="FJ32" s="24">
        <f t="shared" si="121"/>
        <v>87.500000000000014</v>
      </c>
      <c r="FK32" s="24">
        <f t="shared" si="121"/>
        <v>87.500000000000014</v>
      </c>
      <c r="FL32" s="24">
        <f t="shared" si="121"/>
        <v>87.500000000000014</v>
      </c>
      <c r="FM32" s="24">
        <f t="shared" si="121"/>
        <v>87.500000000000014</v>
      </c>
      <c r="FN32" s="24">
        <f t="shared" si="121"/>
        <v>87.500000000000014</v>
      </c>
      <c r="FO32" s="24">
        <f t="shared" si="121"/>
        <v>91.000000000000014</v>
      </c>
      <c r="FP32" s="24">
        <f t="shared" si="121"/>
        <v>91.000000000000014</v>
      </c>
      <c r="FQ32" s="24">
        <f t="shared" si="121"/>
        <v>91.000000000000014</v>
      </c>
      <c r="FR32" s="24">
        <f t="shared" si="121"/>
        <v>91.000000000000014</v>
      </c>
      <c r="FS32" s="24">
        <f t="shared" si="121"/>
        <v>91.000000000000014</v>
      </c>
      <c r="FT32" s="24">
        <f t="shared" si="121"/>
        <v>91.000000000000014</v>
      </c>
      <c r="FU32" s="24">
        <f t="shared" si="121"/>
        <v>91.000000000000014</v>
      </c>
      <c r="FV32" s="24">
        <f t="shared" si="121"/>
        <v>91.000000000000014</v>
      </c>
      <c r="FW32" s="24">
        <f t="shared" si="121"/>
        <v>91.000000000000014</v>
      </c>
      <c r="FX32" s="24">
        <f t="shared" si="121"/>
        <v>91.000000000000014</v>
      </c>
      <c r="FY32" s="24">
        <f t="shared" si="121"/>
        <v>91.000000000000014</v>
      </c>
      <c r="FZ32" s="24">
        <f t="shared" si="121"/>
        <v>91.000000000000014</v>
      </c>
      <c r="GA32" s="24">
        <f t="shared" si="121"/>
        <v>91.000000000000014</v>
      </c>
      <c r="GB32" s="24">
        <f t="shared" si="121"/>
        <v>91.000000000000014</v>
      </c>
      <c r="GC32" s="24">
        <f t="shared" si="121"/>
        <v>91.000000000000014</v>
      </c>
      <c r="GD32" s="24">
        <f t="shared" si="121"/>
        <v>91.000000000000014</v>
      </c>
      <c r="GE32" s="24">
        <f t="shared" si="121"/>
        <v>91.000000000000014</v>
      </c>
      <c r="GF32" s="24">
        <f t="shared" si="121"/>
        <v>91.000000000000014</v>
      </c>
      <c r="GG32" s="24">
        <f t="shared" si="121"/>
        <v>91.000000000000014</v>
      </c>
      <c r="GH32" s="24">
        <f t="shared" si="121"/>
        <v>91.000000000000014</v>
      </c>
      <c r="GI32" s="24">
        <f t="shared" si="121"/>
        <v>91.000000000000014</v>
      </c>
      <c r="GJ32" s="24">
        <f t="shared" si="121"/>
        <v>91.000000000000014</v>
      </c>
      <c r="GK32" s="24">
        <f t="shared" si="121"/>
        <v>91.000000000000014</v>
      </c>
      <c r="GL32" s="24">
        <f t="shared" si="121"/>
        <v>91.000000000000014</v>
      </c>
      <c r="GM32" s="24">
        <f t="shared" ref="GM32:IH32" si="122">CST_RENT_DEDICATED*GM$20</f>
        <v>94.500000000000028</v>
      </c>
      <c r="GN32" s="24">
        <f t="shared" si="122"/>
        <v>94.500000000000028</v>
      </c>
      <c r="GO32" s="24">
        <f t="shared" si="122"/>
        <v>94.500000000000028</v>
      </c>
      <c r="GP32" s="24">
        <f t="shared" si="122"/>
        <v>94.500000000000028</v>
      </c>
      <c r="GQ32" s="24">
        <f t="shared" si="122"/>
        <v>94.500000000000028</v>
      </c>
      <c r="GR32" s="24">
        <f t="shared" si="122"/>
        <v>94.500000000000028</v>
      </c>
      <c r="GS32" s="24">
        <f t="shared" si="122"/>
        <v>94.500000000000028</v>
      </c>
      <c r="GT32" s="24">
        <f t="shared" si="122"/>
        <v>94.500000000000028</v>
      </c>
      <c r="GU32" s="24">
        <f t="shared" si="122"/>
        <v>94.500000000000028</v>
      </c>
      <c r="GV32" s="24">
        <f t="shared" si="122"/>
        <v>94.500000000000028</v>
      </c>
      <c r="GW32" s="24">
        <f t="shared" si="122"/>
        <v>94.500000000000028</v>
      </c>
      <c r="GX32" s="24">
        <f t="shared" si="122"/>
        <v>94.500000000000028</v>
      </c>
      <c r="GY32" s="24">
        <f t="shared" si="122"/>
        <v>94.500000000000028</v>
      </c>
      <c r="GZ32" s="24">
        <f t="shared" si="122"/>
        <v>94.500000000000028</v>
      </c>
      <c r="HA32" s="24">
        <f t="shared" si="122"/>
        <v>94.500000000000028</v>
      </c>
      <c r="HB32" s="24">
        <f t="shared" si="122"/>
        <v>94.500000000000028</v>
      </c>
      <c r="HC32" s="24">
        <f t="shared" si="122"/>
        <v>94.500000000000028</v>
      </c>
      <c r="HD32" s="24">
        <f t="shared" si="122"/>
        <v>94.500000000000028</v>
      </c>
      <c r="HE32" s="24">
        <f t="shared" si="122"/>
        <v>94.500000000000028</v>
      </c>
      <c r="HF32" s="24">
        <f t="shared" si="122"/>
        <v>94.500000000000028</v>
      </c>
      <c r="HG32" s="24">
        <f t="shared" si="122"/>
        <v>94.500000000000028</v>
      </c>
      <c r="HH32" s="24">
        <f t="shared" si="122"/>
        <v>94.500000000000028</v>
      </c>
      <c r="HI32" s="24">
        <f t="shared" si="122"/>
        <v>94.500000000000028</v>
      </c>
      <c r="HJ32" s="24">
        <f t="shared" si="122"/>
        <v>94.500000000000028</v>
      </c>
      <c r="HK32" s="24">
        <f t="shared" si="122"/>
        <v>98.000000000000028</v>
      </c>
      <c r="HL32" s="24">
        <f t="shared" si="122"/>
        <v>98.000000000000028</v>
      </c>
      <c r="HM32" s="24">
        <f t="shared" si="122"/>
        <v>98.000000000000028</v>
      </c>
      <c r="HN32" s="24">
        <f t="shared" si="122"/>
        <v>98.000000000000028</v>
      </c>
      <c r="HO32" s="24">
        <f t="shared" si="122"/>
        <v>98.000000000000028</v>
      </c>
      <c r="HP32" s="24">
        <f t="shared" si="122"/>
        <v>98.000000000000028</v>
      </c>
      <c r="HQ32" s="24">
        <f t="shared" si="122"/>
        <v>98.000000000000028</v>
      </c>
      <c r="HR32" s="24">
        <f t="shared" si="122"/>
        <v>98.000000000000028</v>
      </c>
      <c r="HS32" s="24">
        <f t="shared" si="122"/>
        <v>98.000000000000028</v>
      </c>
      <c r="HT32" s="24">
        <f t="shared" si="122"/>
        <v>98.000000000000028</v>
      </c>
      <c r="HU32" s="24">
        <f t="shared" si="122"/>
        <v>98.000000000000028</v>
      </c>
      <c r="HV32" s="24">
        <f t="shared" si="122"/>
        <v>98.000000000000028</v>
      </c>
      <c r="HW32" s="24">
        <f t="shared" si="122"/>
        <v>98.000000000000028</v>
      </c>
      <c r="HX32" s="24">
        <f t="shared" si="122"/>
        <v>98.000000000000028</v>
      </c>
      <c r="HY32" s="24">
        <f t="shared" si="122"/>
        <v>98.000000000000028</v>
      </c>
      <c r="HZ32" s="24">
        <f t="shared" si="122"/>
        <v>98.000000000000028</v>
      </c>
      <c r="IA32" s="24">
        <f t="shared" si="122"/>
        <v>98.000000000000028</v>
      </c>
      <c r="IB32" s="24">
        <f t="shared" si="122"/>
        <v>98.000000000000028</v>
      </c>
      <c r="IC32" s="24">
        <f t="shared" si="122"/>
        <v>98.000000000000028</v>
      </c>
      <c r="ID32" s="24">
        <f t="shared" si="122"/>
        <v>98.000000000000028</v>
      </c>
      <c r="IE32" s="24">
        <f t="shared" si="122"/>
        <v>98.000000000000028</v>
      </c>
      <c r="IF32" s="24">
        <f t="shared" si="122"/>
        <v>98.000000000000028</v>
      </c>
      <c r="IG32" s="24">
        <f t="shared" si="122"/>
        <v>98.000000000000028</v>
      </c>
      <c r="IH32" s="24">
        <f t="shared" si="122"/>
        <v>98.000000000000028</v>
      </c>
    </row>
    <row r="33" spans="1:243" x14ac:dyDescent="0.45">
      <c r="A33" s="59" t="s">
        <v>56</v>
      </c>
      <c r="B33" s="62"/>
      <c r="C33" s="24">
        <f t="shared" ref="C33:AH33" si="123">CST_RENT_YARD*C$20</f>
        <v>30</v>
      </c>
      <c r="D33" s="24">
        <f t="shared" si="123"/>
        <v>30</v>
      </c>
      <c r="E33" s="24">
        <f t="shared" si="123"/>
        <v>30</v>
      </c>
      <c r="F33" s="24">
        <f t="shared" si="123"/>
        <v>30</v>
      </c>
      <c r="G33" s="24">
        <f t="shared" si="123"/>
        <v>30</v>
      </c>
      <c r="H33" s="24">
        <f t="shared" si="123"/>
        <v>30</v>
      </c>
      <c r="I33" s="24">
        <f t="shared" si="123"/>
        <v>30</v>
      </c>
      <c r="J33" s="24">
        <f t="shared" si="123"/>
        <v>30</v>
      </c>
      <c r="K33" s="24">
        <f t="shared" si="123"/>
        <v>30</v>
      </c>
      <c r="L33" s="24">
        <f t="shared" si="123"/>
        <v>30</v>
      </c>
      <c r="M33" s="24">
        <f t="shared" si="123"/>
        <v>30</v>
      </c>
      <c r="N33" s="24">
        <f t="shared" si="123"/>
        <v>30</v>
      </c>
      <c r="O33" s="24">
        <f t="shared" si="123"/>
        <v>30</v>
      </c>
      <c r="P33" s="24">
        <f t="shared" si="123"/>
        <v>30</v>
      </c>
      <c r="Q33" s="24">
        <f t="shared" si="123"/>
        <v>30</v>
      </c>
      <c r="R33" s="24">
        <f t="shared" si="123"/>
        <v>30</v>
      </c>
      <c r="S33" s="24">
        <f t="shared" si="123"/>
        <v>30</v>
      </c>
      <c r="T33" s="24">
        <f t="shared" si="123"/>
        <v>30</v>
      </c>
      <c r="U33" s="24">
        <f t="shared" si="123"/>
        <v>30</v>
      </c>
      <c r="V33" s="24">
        <f t="shared" si="123"/>
        <v>30</v>
      </c>
      <c r="W33" s="24">
        <f t="shared" si="123"/>
        <v>30</v>
      </c>
      <c r="X33" s="24">
        <f t="shared" si="123"/>
        <v>30</v>
      </c>
      <c r="Y33" s="24">
        <f t="shared" si="123"/>
        <v>30</v>
      </c>
      <c r="Z33" s="24">
        <f t="shared" si="123"/>
        <v>30</v>
      </c>
      <c r="AA33" s="24">
        <f t="shared" si="123"/>
        <v>30</v>
      </c>
      <c r="AB33" s="24">
        <f t="shared" si="123"/>
        <v>30</v>
      </c>
      <c r="AC33" s="24">
        <f t="shared" si="123"/>
        <v>30</v>
      </c>
      <c r="AD33" s="24">
        <f t="shared" si="123"/>
        <v>30</v>
      </c>
      <c r="AE33" s="24">
        <f t="shared" si="123"/>
        <v>30</v>
      </c>
      <c r="AF33" s="24">
        <f t="shared" si="123"/>
        <v>30</v>
      </c>
      <c r="AG33" s="24">
        <f t="shared" si="123"/>
        <v>30</v>
      </c>
      <c r="AH33" s="24">
        <f t="shared" si="123"/>
        <v>30</v>
      </c>
      <c r="AI33" s="24">
        <f t="shared" ref="AI33:BN33" si="124">CST_RENT_YARD*AI$20</f>
        <v>30</v>
      </c>
      <c r="AJ33" s="24">
        <f t="shared" si="124"/>
        <v>30</v>
      </c>
      <c r="AK33" s="24">
        <f t="shared" si="124"/>
        <v>30</v>
      </c>
      <c r="AL33" s="24">
        <f t="shared" si="124"/>
        <v>30</v>
      </c>
      <c r="AM33" s="24">
        <f t="shared" si="124"/>
        <v>30</v>
      </c>
      <c r="AN33" s="24">
        <f t="shared" si="124"/>
        <v>30</v>
      </c>
      <c r="AO33" s="24">
        <f t="shared" si="124"/>
        <v>30</v>
      </c>
      <c r="AP33" s="24">
        <f t="shared" si="124"/>
        <v>30</v>
      </c>
      <c r="AQ33" s="24">
        <f t="shared" si="124"/>
        <v>30</v>
      </c>
      <c r="AR33" s="24">
        <f t="shared" si="124"/>
        <v>30</v>
      </c>
      <c r="AS33" s="24">
        <f t="shared" si="124"/>
        <v>30</v>
      </c>
      <c r="AT33" s="24">
        <f t="shared" si="124"/>
        <v>30</v>
      </c>
      <c r="AU33" s="24">
        <f t="shared" si="124"/>
        <v>30</v>
      </c>
      <c r="AV33" s="24">
        <f t="shared" si="124"/>
        <v>30</v>
      </c>
      <c r="AW33" s="24">
        <f t="shared" si="124"/>
        <v>30</v>
      </c>
      <c r="AX33" s="24">
        <f t="shared" si="124"/>
        <v>30</v>
      </c>
      <c r="AY33" s="24">
        <f t="shared" si="124"/>
        <v>31.5</v>
      </c>
      <c r="AZ33" s="24">
        <f t="shared" si="124"/>
        <v>31.5</v>
      </c>
      <c r="BA33" s="24">
        <f t="shared" si="124"/>
        <v>31.5</v>
      </c>
      <c r="BB33" s="24">
        <f t="shared" si="124"/>
        <v>31.5</v>
      </c>
      <c r="BC33" s="24">
        <f t="shared" si="124"/>
        <v>31.5</v>
      </c>
      <c r="BD33" s="24">
        <f t="shared" si="124"/>
        <v>31.5</v>
      </c>
      <c r="BE33" s="24">
        <f t="shared" si="124"/>
        <v>31.5</v>
      </c>
      <c r="BF33" s="24">
        <f t="shared" si="124"/>
        <v>31.5</v>
      </c>
      <c r="BG33" s="24">
        <f t="shared" si="124"/>
        <v>31.5</v>
      </c>
      <c r="BH33" s="24">
        <f t="shared" si="124"/>
        <v>31.5</v>
      </c>
      <c r="BI33" s="24">
        <f t="shared" si="124"/>
        <v>31.5</v>
      </c>
      <c r="BJ33" s="24">
        <f t="shared" si="124"/>
        <v>31.5</v>
      </c>
      <c r="BK33" s="24">
        <f t="shared" si="124"/>
        <v>31.5</v>
      </c>
      <c r="BL33" s="24">
        <f t="shared" si="124"/>
        <v>31.5</v>
      </c>
      <c r="BM33" s="24">
        <f t="shared" si="124"/>
        <v>31.5</v>
      </c>
      <c r="BN33" s="24">
        <f t="shared" si="124"/>
        <v>31.5</v>
      </c>
      <c r="BO33" s="24">
        <f t="shared" ref="BO33:CT33" si="125">CST_RENT_YARD*BO$20</f>
        <v>31.5</v>
      </c>
      <c r="BP33" s="24">
        <f t="shared" si="125"/>
        <v>31.5</v>
      </c>
      <c r="BQ33" s="24">
        <f t="shared" si="125"/>
        <v>31.5</v>
      </c>
      <c r="BR33" s="24">
        <f t="shared" si="125"/>
        <v>31.5</v>
      </c>
      <c r="BS33" s="24">
        <f t="shared" si="125"/>
        <v>31.5</v>
      </c>
      <c r="BT33" s="24">
        <f t="shared" si="125"/>
        <v>31.5</v>
      </c>
      <c r="BU33" s="24">
        <f t="shared" si="125"/>
        <v>31.5</v>
      </c>
      <c r="BV33" s="24">
        <f t="shared" si="125"/>
        <v>31.5</v>
      </c>
      <c r="BW33" s="24">
        <f t="shared" si="125"/>
        <v>33</v>
      </c>
      <c r="BX33" s="24">
        <f t="shared" si="125"/>
        <v>33</v>
      </c>
      <c r="BY33" s="24">
        <f t="shared" si="125"/>
        <v>33</v>
      </c>
      <c r="BZ33" s="24">
        <f t="shared" si="125"/>
        <v>33</v>
      </c>
      <c r="CA33" s="24">
        <f t="shared" si="125"/>
        <v>33</v>
      </c>
      <c r="CB33" s="24">
        <f t="shared" si="125"/>
        <v>33</v>
      </c>
      <c r="CC33" s="24">
        <f t="shared" si="125"/>
        <v>33</v>
      </c>
      <c r="CD33" s="24">
        <f t="shared" si="125"/>
        <v>33</v>
      </c>
      <c r="CE33" s="24">
        <f t="shared" si="125"/>
        <v>33</v>
      </c>
      <c r="CF33" s="24">
        <f t="shared" si="125"/>
        <v>33</v>
      </c>
      <c r="CG33" s="24">
        <f t="shared" si="125"/>
        <v>33</v>
      </c>
      <c r="CH33" s="24">
        <f t="shared" si="125"/>
        <v>33</v>
      </c>
      <c r="CI33" s="24">
        <f t="shared" si="125"/>
        <v>33</v>
      </c>
      <c r="CJ33" s="24">
        <f t="shared" si="125"/>
        <v>33</v>
      </c>
      <c r="CK33" s="24">
        <f t="shared" si="125"/>
        <v>33</v>
      </c>
      <c r="CL33" s="24">
        <f t="shared" si="125"/>
        <v>33</v>
      </c>
      <c r="CM33" s="24">
        <f t="shared" si="125"/>
        <v>33</v>
      </c>
      <c r="CN33" s="24">
        <f t="shared" si="125"/>
        <v>33</v>
      </c>
      <c r="CO33" s="24">
        <f t="shared" si="125"/>
        <v>33</v>
      </c>
      <c r="CP33" s="24">
        <f t="shared" si="125"/>
        <v>33</v>
      </c>
      <c r="CQ33" s="24">
        <f t="shared" si="125"/>
        <v>33</v>
      </c>
      <c r="CR33" s="24">
        <f t="shared" si="125"/>
        <v>33</v>
      </c>
      <c r="CS33" s="24">
        <f t="shared" si="125"/>
        <v>33</v>
      </c>
      <c r="CT33" s="24">
        <f t="shared" si="125"/>
        <v>33</v>
      </c>
      <c r="CU33" s="24">
        <f t="shared" ref="CU33:DZ33" si="126">CST_RENT_YARD*CU$20</f>
        <v>34.500000000000007</v>
      </c>
      <c r="CV33" s="24">
        <f t="shared" si="126"/>
        <v>34.500000000000007</v>
      </c>
      <c r="CW33" s="24">
        <f t="shared" si="126"/>
        <v>34.500000000000007</v>
      </c>
      <c r="CX33" s="24">
        <f t="shared" si="126"/>
        <v>34.500000000000007</v>
      </c>
      <c r="CY33" s="24">
        <f t="shared" si="126"/>
        <v>34.500000000000007</v>
      </c>
      <c r="CZ33" s="24">
        <f t="shared" si="126"/>
        <v>34.500000000000007</v>
      </c>
      <c r="DA33" s="24">
        <f t="shared" si="126"/>
        <v>34.500000000000007</v>
      </c>
      <c r="DB33" s="24">
        <f t="shared" si="126"/>
        <v>34.500000000000007</v>
      </c>
      <c r="DC33" s="24">
        <f t="shared" si="126"/>
        <v>34.500000000000007</v>
      </c>
      <c r="DD33" s="24">
        <f t="shared" si="126"/>
        <v>34.500000000000007</v>
      </c>
      <c r="DE33" s="24">
        <f t="shared" si="126"/>
        <v>34.500000000000007</v>
      </c>
      <c r="DF33" s="24">
        <f t="shared" si="126"/>
        <v>34.500000000000007</v>
      </c>
      <c r="DG33" s="24">
        <f t="shared" si="126"/>
        <v>34.500000000000007</v>
      </c>
      <c r="DH33" s="24">
        <f t="shared" si="126"/>
        <v>34.500000000000007</v>
      </c>
      <c r="DI33" s="24">
        <f t="shared" si="126"/>
        <v>34.500000000000007</v>
      </c>
      <c r="DJ33" s="24">
        <f t="shared" si="126"/>
        <v>34.500000000000007</v>
      </c>
      <c r="DK33" s="24">
        <f t="shared" si="126"/>
        <v>34.500000000000007</v>
      </c>
      <c r="DL33" s="24">
        <f t="shared" si="126"/>
        <v>34.500000000000007</v>
      </c>
      <c r="DM33" s="24">
        <f t="shared" si="126"/>
        <v>34.500000000000007</v>
      </c>
      <c r="DN33" s="24">
        <f t="shared" si="126"/>
        <v>34.500000000000007</v>
      </c>
      <c r="DO33" s="24">
        <f t="shared" si="126"/>
        <v>34.500000000000007</v>
      </c>
      <c r="DP33" s="24">
        <f t="shared" si="126"/>
        <v>34.500000000000007</v>
      </c>
      <c r="DQ33" s="24">
        <f t="shared" si="126"/>
        <v>34.500000000000007</v>
      </c>
      <c r="DR33" s="24">
        <f t="shared" si="126"/>
        <v>34.500000000000007</v>
      </c>
      <c r="DS33" s="24">
        <f t="shared" si="126"/>
        <v>36.000000000000007</v>
      </c>
      <c r="DT33" s="24">
        <f t="shared" si="126"/>
        <v>36.000000000000007</v>
      </c>
      <c r="DU33" s="24">
        <f t="shared" si="126"/>
        <v>36.000000000000007</v>
      </c>
      <c r="DV33" s="24">
        <f t="shared" si="126"/>
        <v>36.000000000000007</v>
      </c>
      <c r="DW33" s="24">
        <f t="shared" si="126"/>
        <v>36.000000000000007</v>
      </c>
      <c r="DX33" s="24">
        <f t="shared" si="126"/>
        <v>36.000000000000007</v>
      </c>
      <c r="DY33" s="24">
        <f t="shared" si="126"/>
        <v>36.000000000000007</v>
      </c>
      <c r="DZ33" s="24">
        <f t="shared" si="126"/>
        <v>36.000000000000007</v>
      </c>
      <c r="EA33" s="24">
        <f t="shared" ref="EA33:FF33" si="127">CST_RENT_YARD*EA$20</f>
        <v>36.000000000000007</v>
      </c>
      <c r="EB33" s="24">
        <f t="shared" si="127"/>
        <v>36.000000000000007</v>
      </c>
      <c r="EC33" s="24">
        <f t="shared" si="127"/>
        <v>36.000000000000007</v>
      </c>
      <c r="ED33" s="24">
        <f t="shared" si="127"/>
        <v>36.000000000000007</v>
      </c>
      <c r="EE33" s="24">
        <f t="shared" si="127"/>
        <v>36.000000000000007</v>
      </c>
      <c r="EF33" s="24">
        <f t="shared" si="127"/>
        <v>36.000000000000007</v>
      </c>
      <c r="EG33" s="24">
        <f t="shared" si="127"/>
        <v>36.000000000000007</v>
      </c>
      <c r="EH33" s="24">
        <f t="shared" si="127"/>
        <v>36.000000000000007</v>
      </c>
      <c r="EI33" s="24">
        <f t="shared" si="127"/>
        <v>36.000000000000007</v>
      </c>
      <c r="EJ33" s="24">
        <f t="shared" si="127"/>
        <v>36.000000000000007</v>
      </c>
      <c r="EK33" s="24">
        <f t="shared" si="127"/>
        <v>36.000000000000007</v>
      </c>
      <c r="EL33" s="24">
        <f t="shared" si="127"/>
        <v>36.000000000000007</v>
      </c>
      <c r="EM33" s="24">
        <f t="shared" si="127"/>
        <v>36.000000000000007</v>
      </c>
      <c r="EN33" s="24">
        <f t="shared" si="127"/>
        <v>36.000000000000007</v>
      </c>
      <c r="EO33" s="24">
        <f t="shared" si="127"/>
        <v>36.000000000000007</v>
      </c>
      <c r="EP33" s="24">
        <f t="shared" si="127"/>
        <v>36.000000000000007</v>
      </c>
      <c r="EQ33" s="24">
        <f t="shared" si="127"/>
        <v>37.500000000000007</v>
      </c>
      <c r="ER33" s="24">
        <f t="shared" si="127"/>
        <v>37.500000000000007</v>
      </c>
      <c r="ES33" s="24">
        <f t="shared" si="127"/>
        <v>37.500000000000007</v>
      </c>
      <c r="ET33" s="24">
        <f t="shared" si="127"/>
        <v>37.500000000000007</v>
      </c>
      <c r="EU33" s="24">
        <f t="shared" si="127"/>
        <v>37.500000000000007</v>
      </c>
      <c r="EV33" s="24">
        <f t="shared" si="127"/>
        <v>37.500000000000007</v>
      </c>
      <c r="EW33" s="24">
        <f t="shared" si="127"/>
        <v>37.500000000000007</v>
      </c>
      <c r="EX33" s="24">
        <f t="shared" si="127"/>
        <v>37.500000000000007</v>
      </c>
      <c r="EY33" s="24">
        <f t="shared" si="127"/>
        <v>37.500000000000007</v>
      </c>
      <c r="EZ33" s="24">
        <f t="shared" si="127"/>
        <v>37.500000000000007</v>
      </c>
      <c r="FA33" s="24">
        <f t="shared" si="127"/>
        <v>37.500000000000007</v>
      </c>
      <c r="FB33" s="24">
        <f t="shared" si="127"/>
        <v>37.500000000000007</v>
      </c>
      <c r="FC33" s="24">
        <f t="shared" si="127"/>
        <v>37.500000000000007</v>
      </c>
      <c r="FD33" s="24">
        <f t="shared" si="127"/>
        <v>37.500000000000007</v>
      </c>
      <c r="FE33" s="24">
        <f t="shared" si="127"/>
        <v>37.500000000000007</v>
      </c>
      <c r="FF33" s="24">
        <f t="shared" si="127"/>
        <v>37.500000000000007</v>
      </c>
      <c r="FG33" s="24">
        <f t="shared" ref="FG33:HR33" si="128">CST_RENT_YARD*FG$20</f>
        <v>37.500000000000007</v>
      </c>
      <c r="FH33" s="24">
        <f t="shared" si="128"/>
        <v>37.500000000000007</v>
      </c>
      <c r="FI33" s="24">
        <f t="shared" si="128"/>
        <v>37.500000000000007</v>
      </c>
      <c r="FJ33" s="24">
        <f t="shared" si="128"/>
        <v>37.500000000000007</v>
      </c>
      <c r="FK33" s="24">
        <f t="shared" si="128"/>
        <v>37.500000000000007</v>
      </c>
      <c r="FL33" s="24">
        <f t="shared" si="128"/>
        <v>37.500000000000007</v>
      </c>
      <c r="FM33" s="24">
        <f t="shared" si="128"/>
        <v>37.500000000000007</v>
      </c>
      <c r="FN33" s="24">
        <f t="shared" si="128"/>
        <v>37.500000000000007</v>
      </c>
      <c r="FO33" s="24">
        <f t="shared" si="128"/>
        <v>39.000000000000007</v>
      </c>
      <c r="FP33" s="24">
        <f t="shared" si="128"/>
        <v>39.000000000000007</v>
      </c>
      <c r="FQ33" s="24">
        <f t="shared" si="128"/>
        <v>39.000000000000007</v>
      </c>
      <c r="FR33" s="24">
        <f t="shared" si="128"/>
        <v>39.000000000000007</v>
      </c>
      <c r="FS33" s="24">
        <f t="shared" si="128"/>
        <v>39.000000000000007</v>
      </c>
      <c r="FT33" s="24">
        <f t="shared" si="128"/>
        <v>39.000000000000007</v>
      </c>
      <c r="FU33" s="24">
        <f t="shared" si="128"/>
        <v>39.000000000000007</v>
      </c>
      <c r="FV33" s="24">
        <f t="shared" si="128"/>
        <v>39.000000000000007</v>
      </c>
      <c r="FW33" s="24">
        <f t="shared" si="128"/>
        <v>39.000000000000007</v>
      </c>
      <c r="FX33" s="24">
        <f t="shared" si="128"/>
        <v>39.000000000000007</v>
      </c>
      <c r="FY33" s="24">
        <f t="shared" si="128"/>
        <v>39.000000000000007</v>
      </c>
      <c r="FZ33" s="24">
        <f t="shared" si="128"/>
        <v>39.000000000000007</v>
      </c>
      <c r="GA33" s="24">
        <f t="shared" si="128"/>
        <v>39.000000000000007</v>
      </c>
      <c r="GB33" s="24">
        <f t="shared" si="128"/>
        <v>39.000000000000007</v>
      </c>
      <c r="GC33" s="24">
        <f t="shared" si="128"/>
        <v>39.000000000000007</v>
      </c>
      <c r="GD33" s="24">
        <f t="shared" si="128"/>
        <v>39.000000000000007</v>
      </c>
      <c r="GE33" s="24">
        <f t="shared" si="128"/>
        <v>39.000000000000007</v>
      </c>
      <c r="GF33" s="24">
        <f t="shared" si="128"/>
        <v>39.000000000000007</v>
      </c>
      <c r="GG33" s="24">
        <f t="shared" si="128"/>
        <v>39.000000000000007</v>
      </c>
      <c r="GH33" s="24">
        <f t="shared" si="128"/>
        <v>39.000000000000007</v>
      </c>
      <c r="GI33" s="24">
        <f t="shared" si="128"/>
        <v>39.000000000000007</v>
      </c>
      <c r="GJ33" s="24">
        <f t="shared" si="128"/>
        <v>39.000000000000007</v>
      </c>
      <c r="GK33" s="24">
        <f t="shared" si="128"/>
        <v>39.000000000000007</v>
      </c>
      <c r="GL33" s="24">
        <f t="shared" si="128"/>
        <v>39.000000000000007</v>
      </c>
      <c r="GM33" s="24">
        <f t="shared" si="128"/>
        <v>40.500000000000007</v>
      </c>
      <c r="GN33" s="24">
        <f t="shared" si="128"/>
        <v>40.500000000000007</v>
      </c>
      <c r="GO33" s="24">
        <f t="shared" si="128"/>
        <v>40.500000000000007</v>
      </c>
      <c r="GP33" s="24">
        <f t="shared" si="128"/>
        <v>40.500000000000007</v>
      </c>
      <c r="GQ33" s="24">
        <f t="shared" si="128"/>
        <v>40.500000000000007</v>
      </c>
      <c r="GR33" s="24">
        <f t="shared" si="128"/>
        <v>40.500000000000007</v>
      </c>
      <c r="GS33" s="24">
        <f t="shared" si="128"/>
        <v>40.500000000000007</v>
      </c>
      <c r="GT33" s="24">
        <f t="shared" si="128"/>
        <v>40.500000000000007</v>
      </c>
      <c r="GU33" s="24">
        <f t="shared" si="128"/>
        <v>40.500000000000007</v>
      </c>
      <c r="GV33" s="24">
        <f t="shared" si="128"/>
        <v>40.500000000000007</v>
      </c>
      <c r="GW33" s="24">
        <f t="shared" si="128"/>
        <v>40.500000000000007</v>
      </c>
      <c r="GX33" s="24">
        <f t="shared" si="128"/>
        <v>40.500000000000007</v>
      </c>
      <c r="GY33" s="24">
        <f t="shared" si="128"/>
        <v>40.500000000000007</v>
      </c>
      <c r="GZ33" s="24">
        <f t="shared" si="128"/>
        <v>40.500000000000007</v>
      </c>
      <c r="HA33" s="24">
        <f t="shared" si="128"/>
        <v>40.500000000000007</v>
      </c>
      <c r="HB33" s="24">
        <f t="shared" si="128"/>
        <v>40.500000000000007</v>
      </c>
      <c r="HC33" s="24">
        <f t="shared" si="128"/>
        <v>40.500000000000007</v>
      </c>
      <c r="HD33" s="24">
        <f t="shared" si="128"/>
        <v>40.500000000000007</v>
      </c>
      <c r="HE33" s="24">
        <f t="shared" si="128"/>
        <v>40.500000000000007</v>
      </c>
      <c r="HF33" s="24">
        <f t="shared" si="128"/>
        <v>40.500000000000007</v>
      </c>
      <c r="HG33" s="24">
        <f t="shared" si="128"/>
        <v>40.500000000000007</v>
      </c>
      <c r="HH33" s="24">
        <f t="shared" si="128"/>
        <v>40.500000000000007</v>
      </c>
      <c r="HI33" s="24">
        <f t="shared" si="128"/>
        <v>40.500000000000007</v>
      </c>
      <c r="HJ33" s="24">
        <f t="shared" si="128"/>
        <v>40.500000000000007</v>
      </c>
      <c r="HK33" s="24">
        <f t="shared" si="128"/>
        <v>42.000000000000014</v>
      </c>
      <c r="HL33" s="24">
        <f t="shared" si="128"/>
        <v>42.000000000000014</v>
      </c>
      <c r="HM33" s="24">
        <f t="shared" si="128"/>
        <v>42.000000000000014</v>
      </c>
      <c r="HN33" s="24">
        <f t="shared" si="128"/>
        <v>42.000000000000014</v>
      </c>
      <c r="HO33" s="24">
        <f t="shared" si="128"/>
        <v>42.000000000000014</v>
      </c>
      <c r="HP33" s="24">
        <f t="shared" si="128"/>
        <v>42.000000000000014</v>
      </c>
      <c r="HQ33" s="24">
        <f t="shared" si="128"/>
        <v>42.000000000000014</v>
      </c>
      <c r="HR33" s="24">
        <f t="shared" si="128"/>
        <v>42.000000000000014</v>
      </c>
      <c r="HS33" s="24">
        <f t="shared" ref="HS33:IH33" si="129">CST_RENT_YARD*HS$20</f>
        <v>42.000000000000014</v>
      </c>
      <c r="HT33" s="24">
        <f t="shared" si="129"/>
        <v>42.000000000000014</v>
      </c>
      <c r="HU33" s="24">
        <f t="shared" si="129"/>
        <v>42.000000000000014</v>
      </c>
      <c r="HV33" s="24">
        <f t="shared" si="129"/>
        <v>42.000000000000014</v>
      </c>
      <c r="HW33" s="24">
        <f t="shared" si="129"/>
        <v>42.000000000000014</v>
      </c>
      <c r="HX33" s="24">
        <f t="shared" si="129"/>
        <v>42.000000000000014</v>
      </c>
      <c r="HY33" s="24">
        <f t="shared" si="129"/>
        <v>42.000000000000014</v>
      </c>
      <c r="HZ33" s="24">
        <f t="shared" si="129"/>
        <v>42.000000000000014</v>
      </c>
      <c r="IA33" s="24">
        <f t="shared" si="129"/>
        <v>42.000000000000014</v>
      </c>
      <c r="IB33" s="24">
        <f t="shared" si="129"/>
        <v>42.000000000000014</v>
      </c>
      <c r="IC33" s="24">
        <f t="shared" si="129"/>
        <v>42.000000000000014</v>
      </c>
      <c r="ID33" s="24">
        <f t="shared" si="129"/>
        <v>42.000000000000014</v>
      </c>
      <c r="IE33" s="24">
        <f t="shared" si="129"/>
        <v>42.000000000000014</v>
      </c>
      <c r="IF33" s="24">
        <f t="shared" si="129"/>
        <v>42.000000000000014</v>
      </c>
      <c r="IG33" s="24">
        <f t="shared" si="129"/>
        <v>42.000000000000014</v>
      </c>
      <c r="IH33" s="24">
        <f t="shared" si="129"/>
        <v>42.000000000000014</v>
      </c>
    </row>
    <row r="34" spans="1:243" x14ac:dyDescent="0.45">
      <c r="A34" s="57" t="s">
        <v>66</v>
      </c>
      <c r="B34" s="44"/>
      <c r="C34" s="24">
        <f t="shared" ref="C34:AH34" si="130">CST_RENT_ACC*C$20</f>
        <v>80</v>
      </c>
      <c r="D34" s="24">
        <f t="shared" si="130"/>
        <v>80</v>
      </c>
      <c r="E34" s="24">
        <f t="shared" si="130"/>
        <v>80</v>
      </c>
      <c r="F34" s="24">
        <f t="shared" si="130"/>
        <v>80</v>
      </c>
      <c r="G34" s="24">
        <f t="shared" si="130"/>
        <v>80</v>
      </c>
      <c r="H34" s="24">
        <f t="shared" si="130"/>
        <v>80</v>
      </c>
      <c r="I34" s="24">
        <f t="shared" si="130"/>
        <v>80</v>
      </c>
      <c r="J34" s="24">
        <f t="shared" si="130"/>
        <v>80</v>
      </c>
      <c r="K34" s="24">
        <f t="shared" si="130"/>
        <v>80</v>
      </c>
      <c r="L34" s="24">
        <f t="shared" si="130"/>
        <v>80</v>
      </c>
      <c r="M34" s="24">
        <f t="shared" si="130"/>
        <v>80</v>
      </c>
      <c r="N34" s="24">
        <f t="shared" si="130"/>
        <v>80</v>
      </c>
      <c r="O34" s="24">
        <f t="shared" si="130"/>
        <v>80</v>
      </c>
      <c r="P34" s="24">
        <f t="shared" si="130"/>
        <v>80</v>
      </c>
      <c r="Q34" s="24">
        <f t="shared" si="130"/>
        <v>80</v>
      </c>
      <c r="R34" s="24">
        <f t="shared" si="130"/>
        <v>80</v>
      </c>
      <c r="S34" s="24">
        <f t="shared" si="130"/>
        <v>80</v>
      </c>
      <c r="T34" s="24">
        <f t="shared" si="130"/>
        <v>80</v>
      </c>
      <c r="U34" s="24">
        <f t="shared" si="130"/>
        <v>80</v>
      </c>
      <c r="V34" s="24">
        <f t="shared" si="130"/>
        <v>80</v>
      </c>
      <c r="W34" s="24">
        <f t="shared" si="130"/>
        <v>80</v>
      </c>
      <c r="X34" s="24">
        <f t="shared" si="130"/>
        <v>80</v>
      </c>
      <c r="Y34" s="24">
        <f t="shared" si="130"/>
        <v>80</v>
      </c>
      <c r="Z34" s="24">
        <f t="shared" si="130"/>
        <v>80</v>
      </c>
      <c r="AA34" s="24">
        <f t="shared" si="130"/>
        <v>80</v>
      </c>
      <c r="AB34" s="24">
        <f t="shared" si="130"/>
        <v>80</v>
      </c>
      <c r="AC34" s="24">
        <f t="shared" si="130"/>
        <v>80</v>
      </c>
      <c r="AD34" s="24">
        <f t="shared" si="130"/>
        <v>80</v>
      </c>
      <c r="AE34" s="24">
        <f t="shared" si="130"/>
        <v>80</v>
      </c>
      <c r="AF34" s="24">
        <f t="shared" si="130"/>
        <v>80</v>
      </c>
      <c r="AG34" s="24">
        <f t="shared" si="130"/>
        <v>80</v>
      </c>
      <c r="AH34" s="24">
        <f t="shared" si="130"/>
        <v>80</v>
      </c>
      <c r="AI34" s="24">
        <f t="shared" ref="AI34:BN34" si="131">CST_RENT_ACC*AI$20</f>
        <v>80</v>
      </c>
      <c r="AJ34" s="24">
        <f t="shared" si="131"/>
        <v>80</v>
      </c>
      <c r="AK34" s="24">
        <f t="shared" si="131"/>
        <v>80</v>
      </c>
      <c r="AL34" s="24">
        <f t="shared" si="131"/>
        <v>80</v>
      </c>
      <c r="AM34" s="24">
        <f t="shared" si="131"/>
        <v>80</v>
      </c>
      <c r="AN34" s="24">
        <f t="shared" si="131"/>
        <v>80</v>
      </c>
      <c r="AO34" s="24">
        <f t="shared" si="131"/>
        <v>80</v>
      </c>
      <c r="AP34" s="24">
        <f t="shared" si="131"/>
        <v>80</v>
      </c>
      <c r="AQ34" s="24">
        <f t="shared" si="131"/>
        <v>80</v>
      </c>
      <c r="AR34" s="24">
        <f t="shared" si="131"/>
        <v>80</v>
      </c>
      <c r="AS34" s="24">
        <f t="shared" si="131"/>
        <v>80</v>
      </c>
      <c r="AT34" s="24">
        <f t="shared" si="131"/>
        <v>80</v>
      </c>
      <c r="AU34" s="24">
        <f t="shared" si="131"/>
        <v>80</v>
      </c>
      <c r="AV34" s="24">
        <f t="shared" si="131"/>
        <v>80</v>
      </c>
      <c r="AW34" s="24">
        <f t="shared" si="131"/>
        <v>80</v>
      </c>
      <c r="AX34" s="24">
        <f t="shared" si="131"/>
        <v>80</v>
      </c>
      <c r="AY34" s="24">
        <f t="shared" si="131"/>
        <v>84</v>
      </c>
      <c r="AZ34" s="24">
        <f t="shared" si="131"/>
        <v>84</v>
      </c>
      <c r="BA34" s="24">
        <f t="shared" si="131"/>
        <v>84</v>
      </c>
      <c r="BB34" s="24">
        <f t="shared" si="131"/>
        <v>84</v>
      </c>
      <c r="BC34" s="24">
        <f t="shared" si="131"/>
        <v>84</v>
      </c>
      <c r="BD34" s="24">
        <f t="shared" si="131"/>
        <v>84</v>
      </c>
      <c r="BE34" s="24">
        <f t="shared" si="131"/>
        <v>84</v>
      </c>
      <c r="BF34" s="24">
        <f t="shared" si="131"/>
        <v>84</v>
      </c>
      <c r="BG34" s="24">
        <f t="shared" si="131"/>
        <v>84</v>
      </c>
      <c r="BH34" s="24">
        <f t="shared" si="131"/>
        <v>84</v>
      </c>
      <c r="BI34" s="24">
        <f t="shared" si="131"/>
        <v>84</v>
      </c>
      <c r="BJ34" s="24">
        <f t="shared" si="131"/>
        <v>84</v>
      </c>
      <c r="BK34" s="24">
        <f t="shared" si="131"/>
        <v>84</v>
      </c>
      <c r="BL34" s="24">
        <f t="shared" si="131"/>
        <v>84</v>
      </c>
      <c r="BM34" s="24">
        <f t="shared" si="131"/>
        <v>84</v>
      </c>
      <c r="BN34" s="24">
        <f t="shared" si="131"/>
        <v>84</v>
      </c>
      <c r="BO34" s="24">
        <f t="shared" ref="BO34:CT34" si="132">CST_RENT_ACC*BO$20</f>
        <v>84</v>
      </c>
      <c r="BP34" s="24">
        <f t="shared" si="132"/>
        <v>84</v>
      </c>
      <c r="BQ34" s="24">
        <f t="shared" si="132"/>
        <v>84</v>
      </c>
      <c r="BR34" s="24">
        <f t="shared" si="132"/>
        <v>84</v>
      </c>
      <c r="BS34" s="24">
        <f t="shared" si="132"/>
        <v>84</v>
      </c>
      <c r="BT34" s="24">
        <f t="shared" si="132"/>
        <v>84</v>
      </c>
      <c r="BU34" s="24">
        <f t="shared" si="132"/>
        <v>84</v>
      </c>
      <c r="BV34" s="24">
        <f t="shared" si="132"/>
        <v>84</v>
      </c>
      <c r="BW34" s="24">
        <f t="shared" si="132"/>
        <v>88</v>
      </c>
      <c r="BX34" s="24">
        <f t="shared" si="132"/>
        <v>88</v>
      </c>
      <c r="BY34" s="24">
        <f t="shared" si="132"/>
        <v>88</v>
      </c>
      <c r="BZ34" s="24">
        <f t="shared" si="132"/>
        <v>88</v>
      </c>
      <c r="CA34" s="24">
        <f t="shared" si="132"/>
        <v>88</v>
      </c>
      <c r="CB34" s="24">
        <f t="shared" si="132"/>
        <v>88</v>
      </c>
      <c r="CC34" s="24">
        <f t="shared" si="132"/>
        <v>88</v>
      </c>
      <c r="CD34" s="24">
        <f t="shared" si="132"/>
        <v>88</v>
      </c>
      <c r="CE34" s="24">
        <f t="shared" si="132"/>
        <v>88</v>
      </c>
      <c r="CF34" s="24">
        <f t="shared" si="132"/>
        <v>88</v>
      </c>
      <c r="CG34" s="24">
        <f t="shared" si="132"/>
        <v>88</v>
      </c>
      <c r="CH34" s="24">
        <f t="shared" si="132"/>
        <v>88</v>
      </c>
      <c r="CI34" s="24">
        <f t="shared" si="132"/>
        <v>88</v>
      </c>
      <c r="CJ34" s="24">
        <f t="shared" si="132"/>
        <v>88</v>
      </c>
      <c r="CK34" s="24">
        <f t="shared" si="132"/>
        <v>88</v>
      </c>
      <c r="CL34" s="24">
        <f t="shared" si="132"/>
        <v>88</v>
      </c>
      <c r="CM34" s="24">
        <f t="shared" si="132"/>
        <v>88</v>
      </c>
      <c r="CN34" s="24">
        <f t="shared" si="132"/>
        <v>88</v>
      </c>
      <c r="CO34" s="24">
        <f t="shared" si="132"/>
        <v>88</v>
      </c>
      <c r="CP34" s="24">
        <f t="shared" si="132"/>
        <v>88</v>
      </c>
      <c r="CQ34" s="24">
        <f t="shared" si="132"/>
        <v>88</v>
      </c>
      <c r="CR34" s="24">
        <f t="shared" si="132"/>
        <v>88</v>
      </c>
      <c r="CS34" s="24">
        <f t="shared" si="132"/>
        <v>88</v>
      </c>
      <c r="CT34" s="24">
        <f t="shared" si="132"/>
        <v>88</v>
      </c>
      <c r="CU34" s="24">
        <f t="shared" ref="CU34:DZ34" si="133">CST_RENT_ACC*CU$20</f>
        <v>92.000000000000014</v>
      </c>
      <c r="CV34" s="24">
        <f t="shared" si="133"/>
        <v>92.000000000000014</v>
      </c>
      <c r="CW34" s="24">
        <f t="shared" si="133"/>
        <v>92.000000000000014</v>
      </c>
      <c r="CX34" s="24">
        <f t="shared" si="133"/>
        <v>92.000000000000014</v>
      </c>
      <c r="CY34" s="24">
        <f t="shared" si="133"/>
        <v>92.000000000000014</v>
      </c>
      <c r="CZ34" s="24">
        <f t="shared" si="133"/>
        <v>92.000000000000014</v>
      </c>
      <c r="DA34" s="24">
        <f t="shared" si="133"/>
        <v>92.000000000000014</v>
      </c>
      <c r="DB34" s="24">
        <f t="shared" si="133"/>
        <v>92.000000000000014</v>
      </c>
      <c r="DC34" s="24">
        <f t="shared" si="133"/>
        <v>92.000000000000014</v>
      </c>
      <c r="DD34" s="24">
        <f t="shared" si="133"/>
        <v>92.000000000000014</v>
      </c>
      <c r="DE34" s="24">
        <f t="shared" si="133"/>
        <v>92.000000000000014</v>
      </c>
      <c r="DF34" s="24">
        <f t="shared" si="133"/>
        <v>92.000000000000014</v>
      </c>
      <c r="DG34" s="24">
        <f t="shared" si="133"/>
        <v>92.000000000000014</v>
      </c>
      <c r="DH34" s="24">
        <f t="shared" si="133"/>
        <v>92.000000000000014</v>
      </c>
      <c r="DI34" s="24">
        <f t="shared" si="133"/>
        <v>92.000000000000014</v>
      </c>
      <c r="DJ34" s="24">
        <f t="shared" si="133"/>
        <v>92.000000000000014</v>
      </c>
      <c r="DK34" s="24">
        <f t="shared" si="133"/>
        <v>92.000000000000014</v>
      </c>
      <c r="DL34" s="24">
        <f t="shared" si="133"/>
        <v>92.000000000000014</v>
      </c>
      <c r="DM34" s="24">
        <f t="shared" si="133"/>
        <v>92.000000000000014</v>
      </c>
      <c r="DN34" s="24">
        <f t="shared" si="133"/>
        <v>92.000000000000014</v>
      </c>
      <c r="DO34" s="24">
        <f t="shared" si="133"/>
        <v>92.000000000000014</v>
      </c>
      <c r="DP34" s="24">
        <f t="shared" si="133"/>
        <v>92.000000000000014</v>
      </c>
      <c r="DQ34" s="24">
        <f t="shared" si="133"/>
        <v>92.000000000000014</v>
      </c>
      <c r="DR34" s="24">
        <f t="shared" si="133"/>
        <v>92.000000000000014</v>
      </c>
      <c r="DS34" s="24">
        <f t="shared" si="133"/>
        <v>96.000000000000014</v>
      </c>
      <c r="DT34" s="24">
        <f t="shared" si="133"/>
        <v>96.000000000000014</v>
      </c>
      <c r="DU34" s="24">
        <f t="shared" si="133"/>
        <v>96.000000000000014</v>
      </c>
      <c r="DV34" s="24">
        <f t="shared" si="133"/>
        <v>96.000000000000014</v>
      </c>
      <c r="DW34" s="24">
        <f t="shared" si="133"/>
        <v>96.000000000000014</v>
      </c>
      <c r="DX34" s="24">
        <f t="shared" si="133"/>
        <v>96.000000000000014</v>
      </c>
      <c r="DY34" s="24">
        <f t="shared" si="133"/>
        <v>96.000000000000014</v>
      </c>
      <c r="DZ34" s="24">
        <f t="shared" si="133"/>
        <v>96.000000000000014</v>
      </c>
      <c r="EA34" s="24">
        <f t="shared" ref="EA34:FF34" si="134">CST_RENT_ACC*EA$20</f>
        <v>96.000000000000014</v>
      </c>
      <c r="EB34" s="24">
        <f t="shared" si="134"/>
        <v>96.000000000000014</v>
      </c>
      <c r="EC34" s="24">
        <f t="shared" si="134"/>
        <v>96.000000000000014</v>
      </c>
      <c r="ED34" s="24">
        <f t="shared" si="134"/>
        <v>96.000000000000014</v>
      </c>
      <c r="EE34" s="24">
        <f t="shared" si="134"/>
        <v>96.000000000000014</v>
      </c>
      <c r="EF34" s="24">
        <f t="shared" si="134"/>
        <v>96.000000000000014</v>
      </c>
      <c r="EG34" s="24">
        <f t="shared" si="134"/>
        <v>96.000000000000014</v>
      </c>
      <c r="EH34" s="24">
        <f t="shared" si="134"/>
        <v>96.000000000000014</v>
      </c>
      <c r="EI34" s="24">
        <f t="shared" si="134"/>
        <v>96.000000000000014</v>
      </c>
      <c r="EJ34" s="24">
        <f t="shared" si="134"/>
        <v>96.000000000000014</v>
      </c>
      <c r="EK34" s="24">
        <f t="shared" si="134"/>
        <v>96.000000000000014</v>
      </c>
      <c r="EL34" s="24">
        <f t="shared" si="134"/>
        <v>96.000000000000014</v>
      </c>
      <c r="EM34" s="24">
        <f t="shared" si="134"/>
        <v>96.000000000000014</v>
      </c>
      <c r="EN34" s="24">
        <f t="shared" si="134"/>
        <v>96.000000000000014</v>
      </c>
      <c r="EO34" s="24">
        <f t="shared" si="134"/>
        <v>96.000000000000014</v>
      </c>
      <c r="EP34" s="24">
        <f t="shared" si="134"/>
        <v>96.000000000000014</v>
      </c>
      <c r="EQ34" s="24">
        <f t="shared" si="134"/>
        <v>100.00000000000001</v>
      </c>
      <c r="ER34" s="24">
        <f t="shared" si="134"/>
        <v>100.00000000000001</v>
      </c>
      <c r="ES34" s="24">
        <f t="shared" si="134"/>
        <v>100.00000000000001</v>
      </c>
      <c r="ET34" s="24">
        <f t="shared" si="134"/>
        <v>100.00000000000001</v>
      </c>
      <c r="EU34" s="24">
        <f t="shared" si="134"/>
        <v>100.00000000000001</v>
      </c>
      <c r="EV34" s="24">
        <f t="shared" si="134"/>
        <v>100.00000000000001</v>
      </c>
      <c r="EW34" s="24">
        <f t="shared" si="134"/>
        <v>100.00000000000001</v>
      </c>
      <c r="EX34" s="24">
        <f t="shared" si="134"/>
        <v>100.00000000000001</v>
      </c>
      <c r="EY34" s="24">
        <f t="shared" si="134"/>
        <v>100.00000000000001</v>
      </c>
      <c r="EZ34" s="24">
        <f t="shared" si="134"/>
        <v>100.00000000000001</v>
      </c>
      <c r="FA34" s="24">
        <f t="shared" si="134"/>
        <v>100.00000000000001</v>
      </c>
      <c r="FB34" s="24">
        <f t="shared" si="134"/>
        <v>100.00000000000001</v>
      </c>
      <c r="FC34" s="24">
        <f t="shared" si="134"/>
        <v>100.00000000000001</v>
      </c>
      <c r="FD34" s="24">
        <f t="shared" si="134"/>
        <v>100.00000000000001</v>
      </c>
      <c r="FE34" s="24">
        <f t="shared" si="134"/>
        <v>100.00000000000001</v>
      </c>
      <c r="FF34" s="24">
        <f t="shared" si="134"/>
        <v>100.00000000000001</v>
      </c>
      <c r="FG34" s="24">
        <f t="shared" ref="FG34:HR34" si="135">CST_RENT_ACC*FG$20</f>
        <v>100.00000000000001</v>
      </c>
      <c r="FH34" s="24">
        <f t="shared" si="135"/>
        <v>100.00000000000001</v>
      </c>
      <c r="FI34" s="24">
        <f t="shared" si="135"/>
        <v>100.00000000000001</v>
      </c>
      <c r="FJ34" s="24">
        <f t="shared" si="135"/>
        <v>100.00000000000001</v>
      </c>
      <c r="FK34" s="24">
        <f t="shared" si="135"/>
        <v>100.00000000000001</v>
      </c>
      <c r="FL34" s="24">
        <f t="shared" si="135"/>
        <v>100.00000000000001</v>
      </c>
      <c r="FM34" s="24">
        <f t="shared" si="135"/>
        <v>100.00000000000001</v>
      </c>
      <c r="FN34" s="24">
        <f t="shared" si="135"/>
        <v>100.00000000000001</v>
      </c>
      <c r="FO34" s="24">
        <f t="shared" si="135"/>
        <v>104.00000000000003</v>
      </c>
      <c r="FP34" s="24">
        <f t="shared" si="135"/>
        <v>104.00000000000003</v>
      </c>
      <c r="FQ34" s="24">
        <f t="shared" si="135"/>
        <v>104.00000000000003</v>
      </c>
      <c r="FR34" s="24">
        <f t="shared" si="135"/>
        <v>104.00000000000003</v>
      </c>
      <c r="FS34" s="24">
        <f t="shared" si="135"/>
        <v>104.00000000000003</v>
      </c>
      <c r="FT34" s="24">
        <f t="shared" si="135"/>
        <v>104.00000000000003</v>
      </c>
      <c r="FU34" s="24">
        <f t="shared" si="135"/>
        <v>104.00000000000003</v>
      </c>
      <c r="FV34" s="24">
        <f t="shared" si="135"/>
        <v>104.00000000000003</v>
      </c>
      <c r="FW34" s="24">
        <f t="shared" si="135"/>
        <v>104.00000000000003</v>
      </c>
      <c r="FX34" s="24">
        <f t="shared" si="135"/>
        <v>104.00000000000003</v>
      </c>
      <c r="FY34" s="24">
        <f t="shared" si="135"/>
        <v>104.00000000000003</v>
      </c>
      <c r="FZ34" s="24">
        <f t="shared" si="135"/>
        <v>104.00000000000003</v>
      </c>
      <c r="GA34" s="24">
        <f t="shared" si="135"/>
        <v>104.00000000000003</v>
      </c>
      <c r="GB34" s="24">
        <f t="shared" si="135"/>
        <v>104.00000000000003</v>
      </c>
      <c r="GC34" s="24">
        <f t="shared" si="135"/>
        <v>104.00000000000003</v>
      </c>
      <c r="GD34" s="24">
        <f t="shared" si="135"/>
        <v>104.00000000000003</v>
      </c>
      <c r="GE34" s="24">
        <f t="shared" si="135"/>
        <v>104.00000000000003</v>
      </c>
      <c r="GF34" s="24">
        <f t="shared" si="135"/>
        <v>104.00000000000003</v>
      </c>
      <c r="GG34" s="24">
        <f t="shared" si="135"/>
        <v>104.00000000000003</v>
      </c>
      <c r="GH34" s="24">
        <f t="shared" si="135"/>
        <v>104.00000000000003</v>
      </c>
      <c r="GI34" s="24">
        <f t="shared" si="135"/>
        <v>104.00000000000003</v>
      </c>
      <c r="GJ34" s="24">
        <f t="shared" si="135"/>
        <v>104.00000000000003</v>
      </c>
      <c r="GK34" s="24">
        <f t="shared" si="135"/>
        <v>104.00000000000003</v>
      </c>
      <c r="GL34" s="24">
        <f t="shared" si="135"/>
        <v>104.00000000000003</v>
      </c>
      <c r="GM34" s="24">
        <f t="shared" si="135"/>
        <v>108.00000000000003</v>
      </c>
      <c r="GN34" s="24">
        <f t="shared" si="135"/>
        <v>108.00000000000003</v>
      </c>
      <c r="GO34" s="24">
        <f t="shared" si="135"/>
        <v>108.00000000000003</v>
      </c>
      <c r="GP34" s="24">
        <f t="shared" si="135"/>
        <v>108.00000000000003</v>
      </c>
      <c r="GQ34" s="24">
        <f t="shared" si="135"/>
        <v>108.00000000000003</v>
      </c>
      <c r="GR34" s="24">
        <f t="shared" si="135"/>
        <v>108.00000000000003</v>
      </c>
      <c r="GS34" s="24">
        <f t="shared" si="135"/>
        <v>108.00000000000003</v>
      </c>
      <c r="GT34" s="24">
        <f t="shared" si="135"/>
        <v>108.00000000000003</v>
      </c>
      <c r="GU34" s="24">
        <f t="shared" si="135"/>
        <v>108.00000000000003</v>
      </c>
      <c r="GV34" s="24">
        <f t="shared" si="135"/>
        <v>108.00000000000003</v>
      </c>
      <c r="GW34" s="24">
        <f t="shared" si="135"/>
        <v>108.00000000000003</v>
      </c>
      <c r="GX34" s="24">
        <f t="shared" si="135"/>
        <v>108.00000000000003</v>
      </c>
      <c r="GY34" s="24">
        <f t="shared" si="135"/>
        <v>108.00000000000003</v>
      </c>
      <c r="GZ34" s="24">
        <f t="shared" si="135"/>
        <v>108.00000000000003</v>
      </c>
      <c r="HA34" s="24">
        <f t="shared" si="135"/>
        <v>108.00000000000003</v>
      </c>
      <c r="HB34" s="24">
        <f t="shared" si="135"/>
        <v>108.00000000000003</v>
      </c>
      <c r="HC34" s="24">
        <f t="shared" si="135"/>
        <v>108.00000000000003</v>
      </c>
      <c r="HD34" s="24">
        <f t="shared" si="135"/>
        <v>108.00000000000003</v>
      </c>
      <c r="HE34" s="24">
        <f t="shared" si="135"/>
        <v>108.00000000000003</v>
      </c>
      <c r="HF34" s="24">
        <f t="shared" si="135"/>
        <v>108.00000000000003</v>
      </c>
      <c r="HG34" s="24">
        <f t="shared" si="135"/>
        <v>108.00000000000003</v>
      </c>
      <c r="HH34" s="24">
        <f t="shared" si="135"/>
        <v>108.00000000000003</v>
      </c>
      <c r="HI34" s="24">
        <f t="shared" si="135"/>
        <v>108.00000000000003</v>
      </c>
      <c r="HJ34" s="24">
        <f t="shared" si="135"/>
        <v>108.00000000000003</v>
      </c>
      <c r="HK34" s="24">
        <f t="shared" si="135"/>
        <v>112.00000000000003</v>
      </c>
      <c r="HL34" s="24">
        <f t="shared" si="135"/>
        <v>112.00000000000003</v>
      </c>
      <c r="HM34" s="24">
        <f t="shared" si="135"/>
        <v>112.00000000000003</v>
      </c>
      <c r="HN34" s="24">
        <f t="shared" si="135"/>
        <v>112.00000000000003</v>
      </c>
      <c r="HO34" s="24">
        <f t="shared" si="135"/>
        <v>112.00000000000003</v>
      </c>
      <c r="HP34" s="24">
        <f t="shared" si="135"/>
        <v>112.00000000000003</v>
      </c>
      <c r="HQ34" s="24">
        <f t="shared" si="135"/>
        <v>112.00000000000003</v>
      </c>
      <c r="HR34" s="24">
        <f t="shared" si="135"/>
        <v>112.00000000000003</v>
      </c>
      <c r="HS34" s="24">
        <f t="shared" ref="HS34:IH34" si="136">CST_RENT_ACC*HS$20</f>
        <v>112.00000000000003</v>
      </c>
      <c r="HT34" s="24">
        <f t="shared" si="136"/>
        <v>112.00000000000003</v>
      </c>
      <c r="HU34" s="24">
        <f t="shared" si="136"/>
        <v>112.00000000000003</v>
      </c>
      <c r="HV34" s="24">
        <f t="shared" si="136"/>
        <v>112.00000000000003</v>
      </c>
      <c r="HW34" s="24">
        <f t="shared" si="136"/>
        <v>112.00000000000003</v>
      </c>
      <c r="HX34" s="24">
        <f t="shared" si="136"/>
        <v>112.00000000000003</v>
      </c>
      <c r="HY34" s="24">
        <f t="shared" si="136"/>
        <v>112.00000000000003</v>
      </c>
      <c r="HZ34" s="24">
        <f t="shared" si="136"/>
        <v>112.00000000000003</v>
      </c>
      <c r="IA34" s="24">
        <f t="shared" si="136"/>
        <v>112.00000000000003</v>
      </c>
      <c r="IB34" s="24">
        <f t="shared" si="136"/>
        <v>112.00000000000003</v>
      </c>
      <c r="IC34" s="24">
        <f t="shared" si="136"/>
        <v>112.00000000000003</v>
      </c>
      <c r="ID34" s="24">
        <f t="shared" si="136"/>
        <v>112.00000000000003</v>
      </c>
      <c r="IE34" s="24">
        <f t="shared" si="136"/>
        <v>112.00000000000003</v>
      </c>
      <c r="IF34" s="24">
        <f t="shared" si="136"/>
        <v>112.00000000000003</v>
      </c>
      <c r="IG34" s="24">
        <f t="shared" si="136"/>
        <v>112.00000000000003</v>
      </c>
      <c r="IH34" s="24">
        <f t="shared" si="136"/>
        <v>112.00000000000003</v>
      </c>
    </row>
    <row r="35" spans="1:243" x14ac:dyDescent="0.45">
      <c r="A35" s="57" t="s">
        <v>104</v>
      </c>
      <c r="B35" s="44"/>
      <c r="C35" s="24">
        <f t="shared" ref="C35:AH35" si="137">CST_RENT_PETROL*C$20</f>
        <v>45</v>
      </c>
      <c r="D35" s="24">
        <f t="shared" si="137"/>
        <v>45</v>
      </c>
      <c r="E35" s="24">
        <f t="shared" si="137"/>
        <v>45</v>
      </c>
      <c r="F35" s="24">
        <f t="shared" si="137"/>
        <v>45</v>
      </c>
      <c r="G35" s="24">
        <f t="shared" si="137"/>
        <v>45</v>
      </c>
      <c r="H35" s="24">
        <f t="shared" si="137"/>
        <v>45</v>
      </c>
      <c r="I35" s="24">
        <f t="shared" si="137"/>
        <v>45</v>
      </c>
      <c r="J35" s="24">
        <f t="shared" si="137"/>
        <v>45</v>
      </c>
      <c r="K35" s="24">
        <f t="shared" si="137"/>
        <v>45</v>
      </c>
      <c r="L35" s="24">
        <f t="shared" si="137"/>
        <v>45</v>
      </c>
      <c r="M35" s="24">
        <f t="shared" si="137"/>
        <v>45</v>
      </c>
      <c r="N35" s="24">
        <f t="shared" si="137"/>
        <v>45</v>
      </c>
      <c r="O35" s="24">
        <f t="shared" si="137"/>
        <v>45</v>
      </c>
      <c r="P35" s="24">
        <f t="shared" si="137"/>
        <v>45</v>
      </c>
      <c r="Q35" s="24">
        <f t="shared" si="137"/>
        <v>45</v>
      </c>
      <c r="R35" s="24">
        <f t="shared" si="137"/>
        <v>45</v>
      </c>
      <c r="S35" s="24">
        <f t="shared" si="137"/>
        <v>45</v>
      </c>
      <c r="T35" s="24">
        <f t="shared" si="137"/>
        <v>45</v>
      </c>
      <c r="U35" s="24">
        <f t="shared" si="137"/>
        <v>45</v>
      </c>
      <c r="V35" s="24">
        <f t="shared" si="137"/>
        <v>45</v>
      </c>
      <c r="W35" s="24">
        <f t="shared" si="137"/>
        <v>45</v>
      </c>
      <c r="X35" s="24">
        <f t="shared" si="137"/>
        <v>45</v>
      </c>
      <c r="Y35" s="24">
        <f t="shared" si="137"/>
        <v>45</v>
      </c>
      <c r="Z35" s="24">
        <f t="shared" si="137"/>
        <v>45</v>
      </c>
      <c r="AA35" s="24">
        <f t="shared" si="137"/>
        <v>45</v>
      </c>
      <c r="AB35" s="24">
        <f t="shared" si="137"/>
        <v>45</v>
      </c>
      <c r="AC35" s="24">
        <f t="shared" si="137"/>
        <v>45</v>
      </c>
      <c r="AD35" s="24">
        <f t="shared" si="137"/>
        <v>45</v>
      </c>
      <c r="AE35" s="24">
        <f t="shared" si="137"/>
        <v>45</v>
      </c>
      <c r="AF35" s="24">
        <f t="shared" si="137"/>
        <v>45</v>
      </c>
      <c r="AG35" s="24">
        <f t="shared" si="137"/>
        <v>45</v>
      </c>
      <c r="AH35" s="24">
        <f t="shared" si="137"/>
        <v>45</v>
      </c>
      <c r="AI35" s="24">
        <f t="shared" ref="AI35:BN35" si="138">CST_RENT_PETROL*AI$20</f>
        <v>45</v>
      </c>
      <c r="AJ35" s="24">
        <f t="shared" si="138"/>
        <v>45</v>
      </c>
      <c r="AK35" s="24">
        <f t="shared" si="138"/>
        <v>45</v>
      </c>
      <c r="AL35" s="24">
        <f t="shared" si="138"/>
        <v>45</v>
      </c>
      <c r="AM35" s="24">
        <f t="shared" si="138"/>
        <v>45</v>
      </c>
      <c r="AN35" s="24">
        <f t="shared" si="138"/>
        <v>45</v>
      </c>
      <c r="AO35" s="24">
        <f t="shared" si="138"/>
        <v>45</v>
      </c>
      <c r="AP35" s="24">
        <f t="shared" si="138"/>
        <v>45</v>
      </c>
      <c r="AQ35" s="24">
        <f t="shared" si="138"/>
        <v>45</v>
      </c>
      <c r="AR35" s="24">
        <f t="shared" si="138"/>
        <v>45</v>
      </c>
      <c r="AS35" s="24">
        <f t="shared" si="138"/>
        <v>45</v>
      </c>
      <c r="AT35" s="24">
        <f t="shared" si="138"/>
        <v>45</v>
      </c>
      <c r="AU35" s="24">
        <f t="shared" si="138"/>
        <v>45</v>
      </c>
      <c r="AV35" s="24">
        <f t="shared" si="138"/>
        <v>45</v>
      </c>
      <c r="AW35" s="24">
        <f t="shared" si="138"/>
        <v>45</v>
      </c>
      <c r="AX35" s="24">
        <f t="shared" si="138"/>
        <v>45</v>
      </c>
      <c r="AY35" s="24">
        <f t="shared" si="138"/>
        <v>47.25</v>
      </c>
      <c r="AZ35" s="24">
        <f t="shared" si="138"/>
        <v>47.25</v>
      </c>
      <c r="BA35" s="24">
        <f t="shared" si="138"/>
        <v>47.25</v>
      </c>
      <c r="BB35" s="24">
        <f t="shared" si="138"/>
        <v>47.25</v>
      </c>
      <c r="BC35" s="24">
        <f t="shared" si="138"/>
        <v>47.25</v>
      </c>
      <c r="BD35" s="24">
        <f t="shared" si="138"/>
        <v>47.25</v>
      </c>
      <c r="BE35" s="24">
        <f t="shared" si="138"/>
        <v>47.25</v>
      </c>
      <c r="BF35" s="24">
        <f t="shared" si="138"/>
        <v>47.25</v>
      </c>
      <c r="BG35" s="24">
        <f t="shared" si="138"/>
        <v>47.25</v>
      </c>
      <c r="BH35" s="24">
        <f t="shared" si="138"/>
        <v>47.25</v>
      </c>
      <c r="BI35" s="24">
        <f t="shared" si="138"/>
        <v>47.25</v>
      </c>
      <c r="BJ35" s="24">
        <f t="shared" si="138"/>
        <v>47.25</v>
      </c>
      <c r="BK35" s="24">
        <f t="shared" si="138"/>
        <v>47.25</v>
      </c>
      <c r="BL35" s="24">
        <f t="shared" si="138"/>
        <v>47.25</v>
      </c>
      <c r="BM35" s="24">
        <f t="shared" si="138"/>
        <v>47.25</v>
      </c>
      <c r="BN35" s="24">
        <f t="shared" si="138"/>
        <v>47.25</v>
      </c>
      <c r="BO35" s="24">
        <f t="shared" ref="BO35:CT35" si="139">CST_RENT_PETROL*BO$20</f>
        <v>47.25</v>
      </c>
      <c r="BP35" s="24">
        <f t="shared" si="139"/>
        <v>47.25</v>
      </c>
      <c r="BQ35" s="24">
        <f t="shared" si="139"/>
        <v>47.25</v>
      </c>
      <c r="BR35" s="24">
        <f t="shared" si="139"/>
        <v>47.25</v>
      </c>
      <c r="BS35" s="24">
        <f t="shared" si="139"/>
        <v>47.25</v>
      </c>
      <c r="BT35" s="24">
        <f t="shared" si="139"/>
        <v>47.25</v>
      </c>
      <c r="BU35" s="24">
        <f t="shared" si="139"/>
        <v>47.25</v>
      </c>
      <c r="BV35" s="24">
        <f t="shared" si="139"/>
        <v>47.25</v>
      </c>
      <c r="BW35" s="24">
        <f t="shared" si="139"/>
        <v>49.500000000000007</v>
      </c>
      <c r="BX35" s="24">
        <f t="shared" si="139"/>
        <v>49.500000000000007</v>
      </c>
      <c r="BY35" s="24">
        <f t="shared" si="139"/>
        <v>49.500000000000007</v>
      </c>
      <c r="BZ35" s="24">
        <f t="shared" si="139"/>
        <v>49.500000000000007</v>
      </c>
      <c r="CA35" s="24">
        <f t="shared" si="139"/>
        <v>49.500000000000007</v>
      </c>
      <c r="CB35" s="24">
        <f t="shared" si="139"/>
        <v>49.500000000000007</v>
      </c>
      <c r="CC35" s="24">
        <f t="shared" si="139"/>
        <v>49.500000000000007</v>
      </c>
      <c r="CD35" s="24">
        <f t="shared" si="139"/>
        <v>49.500000000000007</v>
      </c>
      <c r="CE35" s="24">
        <f t="shared" si="139"/>
        <v>49.500000000000007</v>
      </c>
      <c r="CF35" s="24">
        <f t="shared" si="139"/>
        <v>49.500000000000007</v>
      </c>
      <c r="CG35" s="24">
        <f t="shared" si="139"/>
        <v>49.500000000000007</v>
      </c>
      <c r="CH35" s="24">
        <f t="shared" si="139"/>
        <v>49.500000000000007</v>
      </c>
      <c r="CI35" s="24">
        <f t="shared" si="139"/>
        <v>49.500000000000007</v>
      </c>
      <c r="CJ35" s="24">
        <f t="shared" si="139"/>
        <v>49.500000000000007</v>
      </c>
      <c r="CK35" s="24">
        <f t="shared" si="139"/>
        <v>49.500000000000007</v>
      </c>
      <c r="CL35" s="24">
        <f t="shared" si="139"/>
        <v>49.500000000000007</v>
      </c>
      <c r="CM35" s="24">
        <f t="shared" si="139"/>
        <v>49.500000000000007</v>
      </c>
      <c r="CN35" s="24">
        <f t="shared" si="139"/>
        <v>49.500000000000007</v>
      </c>
      <c r="CO35" s="24">
        <f t="shared" si="139"/>
        <v>49.500000000000007</v>
      </c>
      <c r="CP35" s="24">
        <f t="shared" si="139"/>
        <v>49.500000000000007</v>
      </c>
      <c r="CQ35" s="24">
        <f t="shared" si="139"/>
        <v>49.500000000000007</v>
      </c>
      <c r="CR35" s="24">
        <f t="shared" si="139"/>
        <v>49.500000000000007</v>
      </c>
      <c r="CS35" s="24">
        <f t="shared" si="139"/>
        <v>49.500000000000007</v>
      </c>
      <c r="CT35" s="24">
        <f t="shared" si="139"/>
        <v>49.500000000000007</v>
      </c>
      <c r="CU35" s="24">
        <f t="shared" ref="CU35:DZ35" si="140">CST_RENT_PETROL*CU$20</f>
        <v>51.750000000000007</v>
      </c>
      <c r="CV35" s="24">
        <f t="shared" si="140"/>
        <v>51.750000000000007</v>
      </c>
      <c r="CW35" s="24">
        <f t="shared" si="140"/>
        <v>51.750000000000007</v>
      </c>
      <c r="CX35" s="24">
        <f t="shared" si="140"/>
        <v>51.750000000000007</v>
      </c>
      <c r="CY35" s="24">
        <f t="shared" si="140"/>
        <v>51.750000000000007</v>
      </c>
      <c r="CZ35" s="24">
        <f t="shared" si="140"/>
        <v>51.750000000000007</v>
      </c>
      <c r="DA35" s="24">
        <f t="shared" si="140"/>
        <v>51.750000000000007</v>
      </c>
      <c r="DB35" s="24">
        <f t="shared" si="140"/>
        <v>51.750000000000007</v>
      </c>
      <c r="DC35" s="24">
        <f t="shared" si="140"/>
        <v>51.750000000000007</v>
      </c>
      <c r="DD35" s="24">
        <f t="shared" si="140"/>
        <v>51.750000000000007</v>
      </c>
      <c r="DE35" s="24">
        <f t="shared" si="140"/>
        <v>51.750000000000007</v>
      </c>
      <c r="DF35" s="24">
        <f t="shared" si="140"/>
        <v>51.750000000000007</v>
      </c>
      <c r="DG35" s="24">
        <f t="shared" si="140"/>
        <v>51.750000000000007</v>
      </c>
      <c r="DH35" s="24">
        <f t="shared" si="140"/>
        <v>51.750000000000007</v>
      </c>
      <c r="DI35" s="24">
        <f t="shared" si="140"/>
        <v>51.750000000000007</v>
      </c>
      <c r="DJ35" s="24">
        <f t="shared" si="140"/>
        <v>51.750000000000007</v>
      </c>
      <c r="DK35" s="24">
        <f t="shared" si="140"/>
        <v>51.750000000000007</v>
      </c>
      <c r="DL35" s="24">
        <f t="shared" si="140"/>
        <v>51.750000000000007</v>
      </c>
      <c r="DM35" s="24">
        <f t="shared" si="140"/>
        <v>51.750000000000007</v>
      </c>
      <c r="DN35" s="24">
        <f t="shared" si="140"/>
        <v>51.750000000000007</v>
      </c>
      <c r="DO35" s="24">
        <f t="shared" si="140"/>
        <v>51.750000000000007</v>
      </c>
      <c r="DP35" s="24">
        <f t="shared" si="140"/>
        <v>51.750000000000007</v>
      </c>
      <c r="DQ35" s="24">
        <f t="shared" si="140"/>
        <v>51.750000000000007</v>
      </c>
      <c r="DR35" s="24">
        <f t="shared" si="140"/>
        <v>51.750000000000007</v>
      </c>
      <c r="DS35" s="24">
        <f t="shared" si="140"/>
        <v>54.000000000000007</v>
      </c>
      <c r="DT35" s="24">
        <f t="shared" si="140"/>
        <v>54.000000000000007</v>
      </c>
      <c r="DU35" s="24">
        <f t="shared" si="140"/>
        <v>54.000000000000007</v>
      </c>
      <c r="DV35" s="24">
        <f t="shared" si="140"/>
        <v>54.000000000000007</v>
      </c>
      <c r="DW35" s="24">
        <f t="shared" si="140"/>
        <v>54.000000000000007</v>
      </c>
      <c r="DX35" s="24">
        <f t="shared" si="140"/>
        <v>54.000000000000007</v>
      </c>
      <c r="DY35" s="24">
        <f t="shared" si="140"/>
        <v>54.000000000000007</v>
      </c>
      <c r="DZ35" s="24">
        <f t="shared" si="140"/>
        <v>54.000000000000007</v>
      </c>
      <c r="EA35" s="24">
        <f t="shared" ref="EA35:FF35" si="141">CST_RENT_PETROL*EA$20</f>
        <v>54.000000000000007</v>
      </c>
      <c r="EB35" s="24">
        <f t="shared" si="141"/>
        <v>54.000000000000007</v>
      </c>
      <c r="EC35" s="24">
        <f t="shared" si="141"/>
        <v>54.000000000000007</v>
      </c>
      <c r="ED35" s="24">
        <f t="shared" si="141"/>
        <v>54.000000000000007</v>
      </c>
      <c r="EE35" s="24">
        <f t="shared" si="141"/>
        <v>54.000000000000007</v>
      </c>
      <c r="EF35" s="24">
        <f t="shared" si="141"/>
        <v>54.000000000000007</v>
      </c>
      <c r="EG35" s="24">
        <f t="shared" si="141"/>
        <v>54.000000000000007</v>
      </c>
      <c r="EH35" s="24">
        <f t="shared" si="141"/>
        <v>54.000000000000007</v>
      </c>
      <c r="EI35" s="24">
        <f t="shared" si="141"/>
        <v>54.000000000000007</v>
      </c>
      <c r="EJ35" s="24">
        <f t="shared" si="141"/>
        <v>54.000000000000007</v>
      </c>
      <c r="EK35" s="24">
        <f t="shared" si="141"/>
        <v>54.000000000000007</v>
      </c>
      <c r="EL35" s="24">
        <f t="shared" si="141"/>
        <v>54.000000000000007</v>
      </c>
      <c r="EM35" s="24">
        <f t="shared" si="141"/>
        <v>54.000000000000007</v>
      </c>
      <c r="EN35" s="24">
        <f t="shared" si="141"/>
        <v>54.000000000000007</v>
      </c>
      <c r="EO35" s="24">
        <f t="shared" si="141"/>
        <v>54.000000000000007</v>
      </c>
      <c r="EP35" s="24">
        <f t="shared" si="141"/>
        <v>54.000000000000007</v>
      </c>
      <c r="EQ35" s="24">
        <f t="shared" si="141"/>
        <v>56.250000000000007</v>
      </c>
      <c r="ER35" s="24">
        <f t="shared" si="141"/>
        <v>56.250000000000007</v>
      </c>
      <c r="ES35" s="24">
        <f t="shared" si="141"/>
        <v>56.250000000000007</v>
      </c>
      <c r="ET35" s="24">
        <f t="shared" si="141"/>
        <v>56.250000000000007</v>
      </c>
      <c r="EU35" s="24">
        <f t="shared" si="141"/>
        <v>56.250000000000007</v>
      </c>
      <c r="EV35" s="24">
        <f t="shared" si="141"/>
        <v>56.250000000000007</v>
      </c>
      <c r="EW35" s="24">
        <f t="shared" si="141"/>
        <v>56.250000000000007</v>
      </c>
      <c r="EX35" s="24">
        <f t="shared" si="141"/>
        <v>56.250000000000007</v>
      </c>
      <c r="EY35" s="24">
        <f t="shared" si="141"/>
        <v>56.250000000000007</v>
      </c>
      <c r="EZ35" s="24">
        <f t="shared" si="141"/>
        <v>56.250000000000007</v>
      </c>
      <c r="FA35" s="24">
        <f t="shared" si="141"/>
        <v>56.250000000000007</v>
      </c>
      <c r="FB35" s="24">
        <f t="shared" si="141"/>
        <v>56.250000000000007</v>
      </c>
      <c r="FC35" s="24">
        <f t="shared" si="141"/>
        <v>56.250000000000007</v>
      </c>
      <c r="FD35" s="24">
        <f t="shared" si="141"/>
        <v>56.250000000000007</v>
      </c>
      <c r="FE35" s="24">
        <f t="shared" si="141"/>
        <v>56.250000000000007</v>
      </c>
      <c r="FF35" s="24">
        <f t="shared" si="141"/>
        <v>56.250000000000007</v>
      </c>
      <c r="FG35" s="24">
        <f t="shared" ref="FG35:HR35" si="142">CST_RENT_PETROL*FG$20</f>
        <v>56.250000000000007</v>
      </c>
      <c r="FH35" s="24">
        <f t="shared" si="142"/>
        <v>56.250000000000007</v>
      </c>
      <c r="FI35" s="24">
        <f t="shared" si="142"/>
        <v>56.250000000000007</v>
      </c>
      <c r="FJ35" s="24">
        <f t="shared" si="142"/>
        <v>56.250000000000007</v>
      </c>
      <c r="FK35" s="24">
        <f t="shared" si="142"/>
        <v>56.250000000000007</v>
      </c>
      <c r="FL35" s="24">
        <f t="shared" si="142"/>
        <v>56.250000000000007</v>
      </c>
      <c r="FM35" s="24">
        <f t="shared" si="142"/>
        <v>56.250000000000007</v>
      </c>
      <c r="FN35" s="24">
        <f t="shared" si="142"/>
        <v>56.250000000000007</v>
      </c>
      <c r="FO35" s="24">
        <f t="shared" si="142"/>
        <v>58.500000000000014</v>
      </c>
      <c r="FP35" s="24">
        <f t="shared" si="142"/>
        <v>58.500000000000014</v>
      </c>
      <c r="FQ35" s="24">
        <f t="shared" si="142"/>
        <v>58.500000000000014</v>
      </c>
      <c r="FR35" s="24">
        <f t="shared" si="142"/>
        <v>58.500000000000014</v>
      </c>
      <c r="FS35" s="24">
        <f t="shared" si="142"/>
        <v>58.500000000000014</v>
      </c>
      <c r="FT35" s="24">
        <f t="shared" si="142"/>
        <v>58.500000000000014</v>
      </c>
      <c r="FU35" s="24">
        <f t="shared" si="142"/>
        <v>58.500000000000014</v>
      </c>
      <c r="FV35" s="24">
        <f t="shared" si="142"/>
        <v>58.500000000000014</v>
      </c>
      <c r="FW35" s="24">
        <f t="shared" si="142"/>
        <v>58.500000000000014</v>
      </c>
      <c r="FX35" s="24">
        <f t="shared" si="142"/>
        <v>58.500000000000014</v>
      </c>
      <c r="FY35" s="24">
        <f t="shared" si="142"/>
        <v>58.500000000000014</v>
      </c>
      <c r="FZ35" s="24">
        <f t="shared" si="142"/>
        <v>58.500000000000014</v>
      </c>
      <c r="GA35" s="24">
        <f t="shared" si="142"/>
        <v>58.500000000000014</v>
      </c>
      <c r="GB35" s="24">
        <f t="shared" si="142"/>
        <v>58.500000000000014</v>
      </c>
      <c r="GC35" s="24">
        <f t="shared" si="142"/>
        <v>58.500000000000014</v>
      </c>
      <c r="GD35" s="24">
        <f t="shared" si="142"/>
        <v>58.500000000000014</v>
      </c>
      <c r="GE35" s="24">
        <f t="shared" si="142"/>
        <v>58.500000000000014</v>
      </c>
      <c r="GF35" s="24">
        <f t="shared" si="142"/>
        <v>58.500000000000014</v>
      </c>
      <c r="GG35" s="24">
        <f t="shared" si="142"/>
        <v>58.500000000000014</v>
      </c>
      <c r="GH35" s="24">
        <f t="shared" si="142"/>
        <v>58.500000000000014</v>
      </c>
      <c r="GI35" s="24">
        <f t="shared" si="142"/>
        <v>58.500000000000014</v>
      </c>
      <c r="GJ35" s="24">
        <f t="shared" si="142"/>
        <v>58.500000000000014</v>
      </c>
      <c r="GK35" s="24">
        <f t="shared" si="142"/>
        <v>58.500000000000014</v>
      </c>
      <c r="GL35" s="24">
        <f t="shared" si="142"/>
        <v>58.500000000000014</v>
      </c>
      <c r="GM35" s="24">
        <f t="shared" si="142"/>
        <v>60.750000000000014</v>
      </c>
      <c r="GN35" s="24">
        <f t="shared" si="142"/>
        <v>60.750000000000014</v>
      </c>
      <c r="GO35" s="24">
        <f t="shared" si="142"/>
        <v>60.750000000000014</v>
      </c>
      <c r="GP35" s="24">
        <f t="shared" si="142"/>
        <v>60.750000000000014</v>
      </c>
      <c r="GQ35" s="24">
        <f t="shared" si="142"/>
        <v>60.750000000000014</v>
      </c>
      <c r="GR35" s="24">
        <f t="shared" si="142"/>
        <v>60.750000000000014</v>
      </c>
      <c r="GS35" s="24">
        <f t="shared" si="142"/>
        <v>60.750000000000014</v>
      </c>
      <c r="GT35" s="24">
        <f t="shared" si="142"/>
        <v>60.750000000000014</v>
      </c>
      <c r="GU35" s="24">
        <f t="shared" si="142"/>
        <v>60.750000000000014</v>
      </c>
      <c r="GV35" s="24">
        <f t="shared" si="142"/>
        <v>60.750000000000014</v>
      </c>
      <c r="GW35" s="24">
        <f t="shared" si="142"/>
        <v>60.750000000000014</v>
      </c>
      <c r="GX35" s="24">
        <f t="shared" si="142"/>
        <v>60.750000000000014</v>
      </c>
      <c r="GY35" s="24">
        <f t="shared" si="142"/>
        <v>60.750000000000014</v>
      </c>
      <c r="GZ35" s="24">
        <f t="shared" si="142"/>
        <v>60.750000000000014</v>
      </c>
      <c r="HA35" s="24">
        <f t="shared" si="142"/>
        <v>60.750000000000014</v>
      </c>
      <c r="HB35" s="24">
        <f t="shared" si="142"/>
        <v>60.750000000000014</v>
      </c>
      <c r="HC35" s="24">
        <f t="shared" si="142"/>
        <v>60.750000000000014</v>
      </c>
      <c r="HD35" s="24">
        <f t="shared" si="142"/>
        <v>60.750000000000014</v>
      </c>
      <c r="HE35" s="24">
        <f t="shared" si="142"/>
        <v>60.750000000000014</v>
      </c>
      <c r="HF35" s="24">
        <f t="shared" si="142"/>
        <v>60.750000000000014</v>
      </c>
      <c r="HG35" s="24">
        <f t="shared" si="142"/>
        <v>60.750000000000014</v>
      </c>
      <c r="HH35" s="24">
        <f t="shared" si="142"/>
        <v>60.750000000000014</v>
      </c>
      <c r="HI35" s="24">
        <f t="shared" si="142"/>
        <v>60.750000000000014</v>
      </c>
      <c r="HJ35" s="24">
        <f t="shared" si="142"/>
        <v>60.750000000000014</v>
      </c>
      <c r="HK35" s="24">
        <f t="shared" si="142"/>
        <v>63.000000000000014</v>
      </c>
      <c r="HL35" s="24">
        <f t="shared" si="142"/>
        <v>63.000000000000014</v>
      </c>
      <c r="HM35" s="24">
        <f t="shared" si="142"/>
        <v>63.000000000000014</v>
      </c>
      <c r="HN35" s="24">
        <f t="shared" si="142"/>
        <v>63.000000000000014</v>
      </c>
      <c r="HO35" s="24">
        <f t="shared" si="142"/>
        <v>63.000000000000014</v>
      </c>
      <c r="HP35" s="24">
        <f t="shared" si="142"/>
        <v>63.000000000000014</v>
      </c>
      <c r="HQ35" s="24">
        <f t="shared" si="142"/>
        <v>63.000000000000014</v>
      </c>
      <c r="HR35" s="24">
        <f t="shared" si="142"/>
        <v>63.000000000000014</v>
      </c>
      <c r="HS35" s="24">
        <f t="shared" ref="HS35:IH35" si="143">CST_RENT_PETROL*HS$20</f>
        <v>63.000000000000014</v>
      </c>
      <c r="HT35" s="24">
        <f t="shared" si="143"/>
        <v>63.000000000000014</v>
      </c>
      <c r="HU35" s="24">
        <f t="shared" si="143"/>
        <v>63.000000000000014</v>
      </c>
      <c r="HV35" s="24">
        <f t="shared" si="143"/>
        <v>63.000000000000014</v>
      </c>
      <c r="HW35" s="24">
        <f t="shared" si="143"/>
        <v>63.000000000000014</v>
      </c>
      <c r="HX35" s="24">
        <f t="shared" si="143"/>
        <v>63.000000000000014</v>
      </c>
      <c r="HY35" s="24">
        <f t="shared" si="143"/>
        <v>63.000000000000014</v>
      </c>
      <c r="HZ35" s="24">
        <f t="shared" si="143"/>
        <v>63.000000000000014</v>
      </c>
      <c r="IA35" s="24">
        <f t="shared" si="143"/>
        <v>63.000000000000014</v>
      </c>
      <c r="IB35" s="24">
        <f t="shared" si="143"/>
        <v>63.000000000000014</v>
      </c>
      <c r="IC35" s="24">
        <f t="shared" si="143"/>
        <v>63.000000000000014</v>
      </c>
      <c r="ID35" s="24">
        <f t="shared" si="143"/>
        <v>63.000000000000014</v>
      </c>
      <c r="IE35" s="24">
        <f t="shared" si="143"/>
        <v>63.000000000000014</v>
      </c>
      <c r="IF35" s="24">
        <f t="shared" si="143"/>
        <v>63.000000000000014</v>
      </c>
      <c r="IG35" s="24">
        <f t="shared" si="143"/>
        <v>63.000000000000014</v>
      </c>
      <c r="IH35" s="24">
        <f t="shared" si="143"/>
        <v>63.000000000000014</v>
      </c>
    </row>
    <row r="36" spans="1:243" x14ac:dyDescent="0.45">
      <c r="A36" s="59" t="s">
        <v>110</v>
      </c>
      <c r="B36" s="62"/>
      <c r="C36" s="24">
        <f t="shared" ref="C36:AH36" si="144">CST_RENT_VMAINT*C$20</f>
        <v>39.45945945945946</v>
      </c>
      <c r="D36" s="24">
        <f t="shared" si="144"/>
        <v>39.45945945945946</v>
      </c>
      <c r="E36" s="24">
        <f t="shared" si="144"/>
        <v>39.45945945945946</v>
      </c>
      <c r="F36" s="24">
        <f t="shared" si="144"/>
        <v>39.45945945945946</v>
      </c>
      <c r="G36" s="24">
        <f t="shared" si="144"/>
        <v>39.45945945945946</v>
      </c>
      <c r="H36" s="24">
        <f t="shared" si="144"/>
        <v>39.45945945945946</v>
      </c>
      <c r="I36" s="24">
        <f t="shared" si="144"/>
        <v>39.45945945945946</v>
      </c>
      <c r="J36" s="24">
        <f t="shared" si="144"/>
        <v>39.45945945945946</v>
      </c>
      <c r="K36" s="24">
        <f t="shared" si="144"/>
        <v>39.45945945945946</v>
      </c>
      <c r="L36" s="24">
        <f t="shared" si="144"/>
        <v>39.45945945945946</v>
      </c>
      <c r="M36" s="24">
        <f t="shared" si="144"/>
        <v>39.45945945945946</v>
      </c>
      <c r="N36" s="24">
        <f t="shared" si="144"/>
        <v>39.45945945945946</v>
      </c>
      <c r="O36" s="24">
        <f t="shared" si="144"/>
        <v>39.45945945945946</v>
      </c>
      <c r="P36" s="24">
        <f t="shared" si="144"/>
        <v>39.45945945945946</v>
      </c>
      <c r="Q36" s="24">
        <f t="shared" si="144"/>
        <v>39.45945945945946</v>
      </c>
      <c r="R36" s="24">
        <f t="shared" si="144"/>
        <v>39.45945945945946</v>
      </c>
      <c r="S36" s="24">
        <f t="shared" si="144"/>
        <v>39.45945945945946</v>
      </c>
      <c r="T36" s="24">
        <f t="shared" si="144"/>
        <v>39.45945945945946</v>
      </c>
      <c r="U36" s="24">
        <f t="shared" si="144"/>
        <v>39.45945945945946</v>
      </c>
      <c r="V36" s="24">
        <f t="shared" si="144"/>
        <v>39.45945945945946</v>
      </c>
      <c r="W36" s="24">
        <f t="shared" si="144"/>
        <v>39.45945945945946</v>
      </c>
      <c r="X36" s="24">
        <f t="shared" si="144"/>
        <v>39.45945945945946</v>
      </c>
      <c r="Y36" s="24">
        <f t="shared" si="144"/>
        <v>39.45945945945946</v>
      </c>
      <c r="Z36" s="24">
        <f t="shared" si="144"/>
        <v>39.45945945945946</v>
      </c>
      <c r="AA36" s="24">
        <f t="shared" si="144"/>
        <v>39.45945945945946</v>
      </c>
      <c r="AB36" s="24">
        <f t="shared" si="144"/>
        <v>39.45945945945946</v>
      </c>
      <c r="AC36" s="24">
        <f t="shared" si="144"/>
        <v>39.45945945945946</v>
      </c>
      <c r="AD36" s="24">
        <f t="shared" si="144"/>
        <v>39.45945945945946</v>
      </c>
      <c r="AE36" s="24">
        <f t="shared" si="144"/>
        <v>39.45945945945946</v>
      </c>
      <c r="AF36" s="24">
        <f t="shared" si="144"/>
        <v>39.45945945945946</v>
      </c>
      <c r="AG36" s="24">
        <f t="shared" si="144"/>
        <v>39.45945945945946</v>
      </c>
      <c r="AH36" s="24">
        <f t="shared" si="144"/>
        <v>39.45945945945946</v>
      </c>
      <c r="AI36" s="24">
        <f t="shared" ref="AI36:BN36" si="145">CST_RENT_VMAINT*AI$20</f>
        <v>39.45945945945946</v>
      </c>
      <c r="AJ36" s="24">
        <f t="shared" si="145"/>
        <v>39.45945945945946</v>
      </c>
      <c r="AK36" s="24">
        <f t="shared" si="145"/>
        <v>39.45945945945946</v>
      </c>
      <c r="AL36" s="24">
        <f t="shared" si="145"/>
        <v>39.45945945945946</v>
      </c>
      <c r="AM36" s="24">
        <f t="shared" si="145"/>
        <v>39.45945945945946</v>
      </c>
      <c r="AN36" s="24">
        <f t="shared" si="145"/>
        <v>39.45945945945946</v>
      </c>
      <c r="AO36" s="24">
        <f t="shared" si="145"/>
        <v>39.45945945945946</v>
      </c>
      <c r="AP36" s="24">
        <f t="shared" si="145"/>
        <v>39.45945945945946</v>
      </c>
      <c r="AQ36" s="24">
        <f t="shared" si="145"/>
        <v>39.45945945945946</v>
      </c>
      <c r="AR36" s="24">
        <f t="shared" si="145"/>
        <v>39.45945945945946</v>
      </c>
      <c r="AS36" s="24">
        <f t="shared" si="145"/>
        <v>39.45945945945946</v>
      </c>
      <c r="AT36" s="24">
        <f t="shared" si="145"/>
        <v>39.45945945945946</v>
      </c>
      <c r="AU36" s="24">
        <f t="shared" si="145"/>
        <v>39.45945945945946</v>
      </c>
      <c r="AV36" s="24">
        <f t="shared" si="145"/>
        <v>39.45945945945946</v>
      </c>
      <c r="AW36" s="24">
        <f t="shared" si="145"/>
        <v>39.45945945945946</v>
      </c>
      <c r="AX36" s="24">
        <f t="shared" si="145"/>
        <v>39.45945945945946</v>
      </c>
      <c r="AY36" s="24">
        <f t="shared" si="145"/>
        <v>41.432432432432435</v>
      </c>
      <c r="AZ36" s="24">
        <f t="shared" si="145"/>
        <v>41.432432432432435</v>
      </c>
      <c r="BA36" s="24">
        <f t="shared" si="145"/>
        <v>41.432432432432435</v>
      </c>
      <c r="BB36" s="24">
        <f t="shared" si="145"/>
        <v>41.432432432432435</v>
      </c>
      <c r="BC36" s="24">
        <f t="shared" si="145"/>
        <v>41.432432432432435</v>
      </c>
      <c r="BD36" s="24">
        <f t="shared" si="145"/>
        <v>41.432432432432435</v>
      </c>
      <c r="BE36" s="24">
        <f t="shared" si="145"/>
        <v>41.432432432432435</v>
      </c>
      <c r="BF36" s="24">
        <f t="shared" si="145"/>
        <v>41.432432432432435</v>
      </c>
      <c r="BG36" s="24">
        <f t="shared" si="145"/>
        <v>41.432432432432435</v>
      </c>
      <c r="BH36" s="24">
        <f t="shared" si="145"/>
        <v>41.432432432432435</v>
      </c>
      <c r="BI36" s="24">
        <f t="shared" si="145"/>
        <v>41.432432432432435</v>
      </c>
      <c r="BJ36" s="24">
        <f t="shared" si="145"/>
        <v>41.432432432432435</v>
      </c>
      <c r="BK36" s="24">
        <f t="shared" si="145"/>
        <v>41.432432432432435</v>
      </c>
      <c r="BL36" s="24">
        <f t="shared" si="145"/>
        <v>41.432432432432435</v>
      </c>
      <c r="BM36" s="24">
        <f t="shared" si="145"/>
        <v>41.432432432432435</v>
      </c>
      <c r="BN36" s="24">
        <f t="shared" si="145"/>
        <v>41.432432432432435</v>
      </c>
      <c r="BO36" s="24">
        <f t="shared" ref="BO36:CT36" si="146">CST_RENT_VMAINT*BO$20</f>
        <v>41.432432432432435</v>
      </c>
      <c r="BP36" s="24">
        <f t="shared" si="146"/>
        <v>41.432432432432435</v>
      </c>
      <c r="BQ36" s="24">
        <f t="shared" si="146"/>
        <v>41.432432432432435</v>
      </c>
      <c r="BR36" s="24">
        <f t="shared" si="146"/>
        <v>41.432432432432435</v>
      </c>
      <c r="BS36" s="24">
        <f t="shared" si="146"/>
        <v>41.432432432432435</v>
      </c>
      <c r="BT36" s="24">
        <f t="shared" si="146"/>
        <v>41.432432432432435</v>
      </c>
      <c r="BU36" s="24">
        <f t="shared" si="146"/>
        <v>41.432432432432435</v>
      </c>
      <c r="BV36" s="24">
        <f t="shared" si="146"/>
        <v>41.432432432432435</v>
      </c>
      <c r="BW36" s="24">
        <f t="shared" si="146"/>
        <v>43.405405405405411</v>
      </c>
      <c r="BX36" s="24">
        <f t="shared" si="146"/>
        <v>43.405405405405411</v>
      </c>
      <c r="BY36" s="24">
        <f t="shared" si="146"/>
        <v>43.405405405405411</v>
      </c>
      <c r="BZ36" s="24">
        <f t="shared" si="146"/>
        <v>43.405405405405411</v>
      </c>
      <c r="CA36" s="24">
        <f t="shared" si="146"/>
        <v>43.405405405405411</v>
      </c>
      <c r="CB36" s="24">
        <f t="shared" si="146"/>
        <v>43.405405405405411</v>
      </c>
      <c r="CC36" s="24">
        <f t="shared" si="146"/>
        <v>43.405405405405411</v>
      </c>
      <c r="CD36" s="24">
        <f t="shared" si="146"/>
        <v>43.405405405405411</v>
      </c>
      <c r="CE36" s="24">
        <f t="shared" si="146"/>
        <v>43.405405405405411</v>
      </c>
      <c r="CF36" s="24">
        <f t="shared" si="146"/>
        <v>43.405405405405411</v>
      </c>
      <c r="CG36" s="24">
        <f t="shared" si="146"/>
        <v>43.405405405405411</v>
      </c>
      <c r="CH36" s="24">
        <f t="shared" si="146"/>
        <v>43.405405405405411</v>
      </c>
      <c r="CI36" s="24">
        <f t="shared" si="146"/>
        <v>43.405405405405411</v>
      </c>
      <c r="CJ36" s="24">
        <f t="shared" si="146"/>
        <v>43.405405405405411</v>
      </c>
      <c r="CK36" s="24">
        <f t="shared" si="146"/>
        <v>43.405405405405411</v>
      </c>
      <c r="CL36" s="24">
        <f t="shared" si="146"/>
        <v>43.405405405405411</v>
      </c>
      <c r="CM36" s="24">
        <f t="shared" si="146"/>
        <v>43.405405405405411</v>
      </c>
      <c r="CN36" s="24">
        <f t="shared" si="146"/>
        <v>43.405405405405411</v>
      </c>
      <c r="CO36" s="24">
        <f t="shared" si="146"/>
        <v>43.405405405405411</v>
      </c>
      <c r="CP36" s="24">
        <f t="shared" si="146"/>
        <v>43.405405405405411</v>
      </c>
      <c r="CQ36" s="24">
        <f t="shared" si="146"/>
        <v>43.405405405405411</v>
      </c>
      <c r="CR36" s="24">
        <f t="shared" si="146"/>
        <v>43.405405405405411</v>
      </c>
      <c r="CS36" s="24">
        <f t="shared" si="146"/>
        <v>43.405405405405411</v>
      </c>
      <c r="CT36" s="24">
        <f t="shared" si="146"/>
        <v>43.405405405405411</v>
      </c>
      <c r="CU36" s="24">
        <f t="shared" ref="CU36:DZ36" si="147">CST_RENT_VMAINT*CU$20</f>
        <v>45.378378378378386</v>
      </c>
      <c r="CV36" s="24">
        <f t="shared" si="147"/>
        <v>45.378378378378386</v>
      </c>
      <c r="CW36" s="24">
        <f t="shared" si="147"/>
        <v>45.378378378378386</v>
      </c>
      <c r="CX36" s="24">
        <f t="shared" si="147"/>
        <v>45.378378378378386</v>
      </c>
      <c r="CY36" s="24">
        <f t="shared" si="147"/>
        <v>45.378378378378386</v>
      </c>
      <c r="CZ36" s="24">
        <f t="shared" si="147"/>
        <v>45.378378378378386</v>
      </c>
      <c r="DA36" s="24">
        <f t="shared" si="147"/>
        <v>45.378378378378386</v>
      </c>
      <c r="DB36" s="24">
        <f t="shared" si="147"/>
        <v>45.378378378378386</v>
      </c>
      <c r="DC36" s="24">
        <f t="shared" si="147"/>
        <v>45.378378378378386</v>
      </c>
      <c r="DD36" s="24">
        <f t="shared" si="147"/>
        <v>45.378378378378386</v>
      </c>
      <c r="DE36" s="24">
        <f t="shared" si="147"/>
        <v>45.378378378378386</v>
      </c>
      <c r="DF36" s="24">
        <f t="shared" si="147"/>
        <v>45.378378378378386</v>
      </c>
      <c r="DG36" s="24">
        <f t="shared" si="147"/>
        <v>45.378378378378386</v>
      </c>
      <c r="DH36" s="24">
        <f t="shared" si="147"/>
        <v>45.378378378378386</v>
      </c>
      <c r="DI36" s="24">
        <f t="shared" si="147"/>
        <v>45.378378378378386</v>
      </c>
      <c r="DJ36" s="24">
        <f t="shared" si="147"/>
        <v>45.378378378378386</v>
      </c>
      <c r="DK36" s="24">
        <f t="shared" si="147"/>
        <v>45.378378378378386</v>
      </c>
      <c r="DL36" s="24">
        <f t="shared" si="147"/>
        <v>45.378378378378386</v>
      </c>
      <c r="DM36" s="24">
        <f t="shared" si="147"/>
        <v>45.378378378378386</v>
      </c>
      <c r="DN36" s="24">
        <f t="shared" si="147"/>
        <v>45.378378378378386</v>
      </c>
      <c r="DO36" s="24">
        <f t="shared" si="147"/>
        <v>45.378378378378386</v>
      </c>
      <c r="DP36" s="24">
        <f t="shared" si="147"/>
        <v>45.378378378378386</v>
      </c>
      <c r="DQ36" s="24">
        <f t="shared" si="147"/>
        <v>45.378378378378386</v>
      </c>
      <c r="DR36" s="24">
        <f t="shared" si="147"/>
        <v>45.378378378378386</v>
      </c>
      <c r="DS36" s="24">
        <f t="shared" si="147"/>
        <v>47.351351351351362</v>
      </c>
      <c r="DT36" s="24">
        <f t="shared" si="147"/>
        <v>47.351351351351362</v>
      </c>
      <c r="DU36" s="24">
        <f t="shared" si="147"/>
        <v>47.351351351351362</v>
      </c>
      <c r="DV36" s="24">
        <f t="shared" si="147"/>
        <v>47.351351351351362</v>
      </c>
      <c r="DW36" s="24">
        <f t="shared" si="147"/>
        <v>47.351351351351362</v>
      </c>
      <c r="DX36" s="24">
        <f t="shared" si="147"/>
        <v>47.351351351351362</v>
      </c>
      <c r="DY36" s="24">
        <f t="shared" si="147"/>
        <v>47.351351351351362</v>
      </c>
      <c r="DZ36" s="24">
        <f t="shared" si="147"/>
        <v>47.351351351351362</v>
      </c>
      <c r="EA36" s="24">
        <f t="shared" ref="EA36:FF36" si="148">CST_RENT_VMAINT*EA$20</f>
        <v>47.351351351351362</v>
      </c>
      <c r="EB36" s="24">
        <f t="shared" si="148"/>
        <v>47.351351351351362</v>
      </c>
      <c r="EC36" s="24">
        <f t="shared" si="148"/>
        <v>47.351351351351362</v>
      </c>
      <c r="ED36" s="24">
        <f t="shared" si="148"/>
        <v>47.351351351351362</v>
      </c>
      <c r="EE36" s="24">
        <f t="shared" si="148"/>
        <v>47.351351351351362</v>
      </c>
      <c r="EF36" s="24">
        <f t="shared" si="148"/>
        <v>47.351351351351362</v>
      </c>
      <c r="EG36" s="24">
        <f t="shared" si="148"/>
        <v>47.351351351351362</v>
      </c>
      <c r="EH36" s="24">
        <f t="shared" si="148"/>
        <v>47.351351351351362</v>
      </c>
      <c r="EI36" s="24">
        <f t="shared" si="148"/>
        <v>47.351351351351362</v>
      </c>
      <c r="EJ36" s="24">
        <f t="shared" si="148"/>
        <v>47.351351351351362</v>
      </c>
      <c r="EK36" s="24">
        <f t="shared" si="148"/>
        <v>47.351351351351362</v>
      </c>
      <c r="EL36" s="24">
        <f t="shared" si="148"/>
        <v>47.351351351351362</v>
      </c>
      <c r="EM36" s="24">
        <f t="shared" si="148"/>
        <v>47.351351351351362</v>
      </c>
      <c r="EN36" s="24">
        <f t="shared" si="148"/>
        <v>47.351351351351362</v>
      </c>
      <c r="EO36" s="24">
        <f t="shared" si="148"/>
        <v>47.351351351351362</v>
      </c>
      <c r="EP36" s="24">
        <f t="shared" si="148"/>
        <v>47.351351351351362</v>
      </c>
      <c r="EQ36" s="24">
        <f t="shared" si="148"/>
        <v>49.32432432432433</v>
      </c>
      <c r="ER36" s="24">
        <f t="shared" si="148"/>
        <v>49.32432432432433</v>
      </c>
      <c r="ES36" s="24">
        <f t="shared" si="148"/>
        <v>49.32432432432433</v>
      </c>
      <c r="ET36" s="24">
        <f t="shared" si="148"/>
        <v>49.32432432432433</v>
      </c>
      <c r="EU36" s="24">
        <f t="shared" si="148"/>
        <v>49.32432432432433</v>
      </c>
      <c r="EV36" s="24">
        <f t="shared" si="148"/>
        <v>49.32432432432433</v>
      </c>
      <c r="EW36" s="24">
        <f t="shared" si="148"/>
        <v>49.32432432432433</v>
      </c>
      <c r="EX36" s="24">
        <f t="shared" si="148"/>
        <v>49.32432432432433</v>
      </c>
      <c r="EY36" s="24">
        <f t="shared" si="148"/>
        <v>49.32432432432433</v>
      </c>
      <c r="EZ36" s="24">
        <f t="shared" si="148"/>
        <v>49.32432432432433</v>
      </c>
      <c r="FA36" s="24">
        <f t="shared" si="148"/>
        <v>49.32432432432433</v>
      </c>
      <c r="FB36" s="24">
        <f t="shared" si="148"/>
        <v>49.32432432432433</v>
      </c>
      <c r="FC36" s="24">
        <f t="shared" si="148"/>
        <v>49.32432432432433</v>
      </c>
      <c r="FD36" s="24">
        <f t="shared" si="148"/>
        <v>49.32432432432433</v>
      </c>
      <c r="FE36" s="24">
        <f t="shared" si="148"/>
        <v>49.32432432432433</v>
      </c>
      <c r="FF36" s="24">
        <f t="shared" si="148"/>
        <v>49.32432432432433</v>
      </c>
      <c r="FG36" s="24">
        <f t="shared" ref="FG36:HR36" si="149">CST_RENT_VMAINT*FG$20</f>
        <v>49.32432432432433</v>
      </c>
      <c r="FH36" s="24">
        <f t="shared" si="149"/>
        <v>49.32432432432433</v>
      </c>
      <c r="FI36" s="24">
        <f t="shared" si="149"/>
        <v>49.32432432432433</v>
      </c>
      <c r="FJ36" s="24">
        <f t="shared" si="149"/>
        <v>49.32432432432433</v>
      </c>
      <c r="FK36" s="24">
        <f t="shared" si="149"/>
        <v>49.32432432432433</v>
      </c>
      <c r="FL36" s="24">
        <f t="shared" si="149"/>
        <v>49.32432432432433</v>
      </c>
      <c r="FM36" s="24">
        <f t="shared" si="149"/>
        <v>49.32432432432433</v>
      </c>
      <c r="FN36" s="24">
        <f t="shared" si="149"/>
        <v>49.32432432432433</v>
      </c>
      <c r="FO36" s="24">
        <f t="shared" si="149"/>
        <v>51.297297297297305</v>
      </c>
      <c r="FP36" s="24">
        <f t="shared" si="149"/>
        <v>51.297297297297305</v>
      </c>
      <c r="FQ36" s="24">
        <f t="shared" si="149"/>
        <v>51.297297297297305</v>
      </c>
      <c r="FR36" s="24">
        <f t="shared" si="149"/>
        <v>51.297297297297305</v>
      </c>
      <c r="FS36" s="24">
        <f t="shared" si="149"/>
        <v>51.297297297297305</v>
      </c>
      <c r="FT36" s="24">
        <f t="shared" si="149"/>
        <v>51.297297297297305</v>
      </c>
      <c r="FU36" s="24">
        <f t="shared" si="149"/>
        <v>51.297297297297305</v>
      </c>
      <c r="FV36" s="24">
        <f t="shared" si="149"/>
        <v>51.297297297297305</v>
      </c>
      <c r="FW36" s="24">
        <f t="shared" si="149"/>
        <v>51.297297297297305</v>
      </c>
      <c r="FX36" s="24">
        <f t="shared" si="149"/>
        <v>51.297297297297305</v>
      </c>
      <c r="FY36" s="24">
        <f t="shared" si="149"/>
        <v>51.297297297297305</v>
      </c>
      <c r="FZ36" s="24">
        <f t="shared" si="149"/>
        <v>51.297297297297305</v>
      </c>
      <c r="GA36" s="24">
        <f t="shared" si="149"/>
        <v>51.297297297297305</v>
      </c>
      <c r="GB36" s="24">
        <f t="shared" si="149"/>
        <v>51.297297297297305</v>
      </c>
      <c r="GC36" s="24">
        <f t="shared" si="149"/>
        <v>51.297297297297305</v>
      </c>
      <c r="GD36" s="24">
        <f t="shared" si="149"/>
        <v>51.297297297297305</v>
      </c>
      <c r="GE36" s="24">
        <f t="shared" si="149"/>
        <v>51.297297297297305</v>
      </c>
      <c r="GF36" s="24">
        <f t="shared" si="149"/>
        <v>51.297297297297305</v>
      </c>
      <c r="GG36" s="24">
        <f t="shared" si="149"/>
        <v>51.297297297297305</v>
      </c>
      <c r="GH36" s="24">
        <f t="shared" si="149"/>
        <v>51.297297297297305</v>
      </c>
      <c r="GI36" s="24">
        <f t="shared" si="149"/>
        <v>51.297297297297305</v>
      </c>
      <c r="GJ36" s="24">
        <f t="shared" si="149"/>
        <v>51.297297297297305</v>
      </c>
      <c r="GK36" s="24">
        <f t="shared" si="149"/>
        <v>51.297297297297305</v>
      </c>
      <c r="GL36" s="24">
        <f t="shared" si="149"/>
        <v>51.297297297297305</v>
      </c>
      <c r="GM36" s="24">
        <f t="shared" si="149"/>
        <v>53.270270270270281</v>
      </c>
      <c r="GN36" s="24">
        <f t="shared" si="149"/>
        <v>53.270270270270281</v>
      </c>
      <c r="GO36" s="24">
        <f t="shared" si="149"/>
        <v>53.270270270270281</v>
      </c>
      <c r="GP36" s="24">
        <f t="shared" si="149"/>
        <v>53.270270270270281</v>
      </c>
      <c r="GQ36" s="24">
        <f t="shared" si="149"/>
        <v>53.270270270270281</v>
      </c>
      <c r="GR36" s="24">
        <f t="shared" si="149"/>
        <v>53.270270270270281</v>
      </c>
      <c r="GS36" s="24">
        <f t="shared" si="149"/>
        <v>53.270270270270281</v>
      </c>
      <c r="GT36" s="24">
        <f t="shared" si="149"/>
        <v>53.270270270270281</v>
      </c>
      <c r="GU36" s="24">
        <f t="shared" si="149"/>
        <v>53.270270270270281</v>
      </c>
      <c r="GV36" s="24">
        <f t="shared" si="149"/>
        <v>53.270270270270281</v>
      </c>
      <c r="GW36" s="24">
        <f t="shared" si="149"/>
        <v>53.270270270270281</v>
      </c>
      <c r="GX36" s="24">
        <f t="shared" si="149"/>
        <v>53.270270270270281</v>
      </c>
      <c r="GY36" s="24">
        <f t="shared" si="149"/>
        <v>53.270270270270281</v>
      </c>
      <c r="GZ36" s="24">
        <f t="shared" si="149"/>
        <v>53.270270270270281</v>
      </c>
      <c r="HA36" s="24">
        <f t="shared" si="149"/>
        <v>53.270270270270281</v>
      </c>
      <c r="HB36" s="24">
        <f t="shared" si="149"/>
        <v>53.270270270270281</v>
      </c>
      <c r="HC36" s="24">
        <f t="shared" si="149"/>
        <v>53.270270270270281</v>
      </c>
      <c r="HD36" s="24">
        <f t="shared" si="149"/>
        <v>53.270270270270281</v>
      </c>
      <c r="HE36" s="24">
        <f t="shared" si="149"/>
        <v>53.270270270270281</v>
      </c>
      <c r="HF36" s="24">
        <f t="shared" si="149"/>
        <v>53.270270270270281</v>
      </c>
      <c r="HG36" s="24">
        <f t="shared" si="149"/>
        <v>53.270270270270281</v>
      </c>
      <c r="HH36" s="24">
        <f t="shared" si="149"/>
        <v>53.270270270270281</v>
      </c>
      <c r="HI36" s="24">
        <f t="shared" si="149"/>
        <v>53.270270270270281</v>
      </c>
      <c r="HJ36" s="24">
        <f t="shared" si="149"/>
        <v>53.270270270270281</v>
      </c>
      <c r="HK36" s="24">
        <f t="shared" si="149"/>
        <v>55.243243243243256</v>
      </c>
      <c r="HL36" s="24">
        <f t="shared" si="149"/>
        <v>55.243243243243256</v>
      </c>
      <c r="HM36" s="24">
        <f t="shared" si="149"/>
        <v>55.243243243243256</v>
      </c>
      <c r="HN36" s="24">
        <f t="shared" si="149"/>
        <v>55.243243243243256</v>
      </c>
      <c r="HO36" s="24">
        <f t="shared" si="149"/>
        <v>55.243243243243256</v>
      </c>
      <c r="HP36" s="24">
        <f t="shared" si="149"/>
        <v>55.243243243243256</v>
      </c>
      <c r="HQ36" s="24">
        <f t="shared" si="149"/>
        <v>55.243243243243256</v>
      </c>
      <c r="HR36" s="24">
        <f t="shared" si="149"/>
        <v>55.243243243243256</v>
      </c>
      <c r="HS36" s="24">
        <f t="shared" ref="HS36:IH36" si="150">CST_RENT_VMAINT*HS$20</f>
        <v>55.243243243243256</v>
      </c>
      <c r="HT36" s="24">
        <f t="shared" si="150"/>
        <v>55.243243243243256</v>
      </c>
      <c r="HU36" s="24">
        <f t="shared" si="150"/>
        <v>55.243243243243256</v>
      </c>
      <c r="HV36" s="24">
        <f t="shared" si="150"/>
        <v>55.243243243243256</v>
      </c>
      <c r="HW36" s="24">
        <f t="shared" si="150"/>
        <v>55.243243243243256</v>
      </c>
      <c r="HX36" s="24">
        <f t="shared" si="150"/>
        <v>55.243243243243256</v>
      </c>
      <c r="HY36" s="24">
        <f t="shared" si="150"/>
        <v>55.243243243243256</v>
      </c>
      <c r="HZ36" s="24">
        <f t="shared" si="150"/>
        <v>55.243243243243256</v>
      </c>
      <c r="IA36" s="24">
        <f t="shared" si="150"/>
        <v>55.243243243243256</v>
      </c>
      <c r="IB36" s="24">
        <f t="shared" si="150"/>
        <v>55.243243243243256</v>
      </c>
      <c r="IC36" s="24">
        <f t="shared" si="150"/>
        <v>55.243243243243256</v>
      </c>
      <c r="ID36" s="24">
        <f t="shared" si="150"/>
        <v>55.243243243243256</v>
      </c>
      <c r="IE36" s="24">
        <f t="shared" si="150"/>
        <v>55.243243243243256</v>
      </c>
      <c r="IF36" s="24">
        <f t="shared" si="150"/>
        <v>55.243243243243256</v>
      </c>
      <c r="IG36" s="24">
        <f t="shared" si="150"/>
        <v>55.243243243243256</v>
      </c>
      <c r="IH36" s="24">
        <f t="shared" si="150"/>
        <v>55.243243243243256</v>
      </c>
    </row>
    <row r="37" spans="1:243" x14ac:dyDescent="0.45">
      <c r="A37" s="59" t="s">
        <v>95</v>
      </c>
      <c r="B37" s="62"/>
      <c r="C37" s="24">
        <f t="shared" ref="C37:AH37" si="151">CST_RENT_COMM*C$20</f>
        <v>150</v>
      </c>
      <c r="D37" s="24">
        <f t="shared" si="151"/>
        <v>150</v>
      </c>
      <c r="E37" s="24">
        <f t="shared" si="151"/>
        <v>150</v>
      </c>
      <c r="F37" s="24">
        <f t="shared" si="151"/>
        <v>150</v>
      </c>
      <c r="G37" s="24">
        <f t="shared" si="151"/>
        <v>150</v>
      </c>
      <c r="H37" s="24">
        <f t="shared" si="151"/>
        <v>150</v>
      </c>
      <c r="I37" s="24">
        <f t="shared" si="151"/>
        <v>150</v>
      </c>
      <c r="J37" s="24">
        <f t="shared" si="151"/>
        <v>150</v>
      </c>
      <c r="K37" s="24">
        <f t="shared" si="151"/>
        <v>150</v>
      </c>
      <c r="L37" s="24">
        <f t="shared" si="151"/>
        <v>150</v>
      </c>
      <c r="M37" s="24">
        <f t="shared" si="151"/>
        <v>150</v>
      </c>
      <c r="N37" s="24">
        <f t="shared" si="151"/>
        <v>150</v>
      </c>
      <c r="O37" s="24">
        <f t="shared" si="151"/>
        <v>150</v>
      </c>
      <c r="P37" s="24">
        <f t="shared" si="151"/>
        <v>150</v>
      </c>
      <c r="Q37" s="24">
        <f t="shared" si="151"/>
        <v>150</v>
      </c>
      <c r="R37" s="24">
        <f t="shared" si="151"/>
        <v>150</v>
      </c>
      <c r="S37" s="24">
        <f t="shared" si="151"/>
        <v>150</v>
      </c>
      <c r="T37" s="24">
        <f t="shared" si="151"/>
        <v>150</v>
      </c>
      <c r="U37" s="24">
        <f t="shared" si="151"/>
        <v>150</v>
      </c>
      <c r="V37" s="24">
        <f t="shared" si="151"/>
        <v>150</v>
      </c>
      <c r="W37" s="24">
        <f t="shared" si="151"/>
        <v>150</v>
      </c>
      <c r="X37" s="24">
        <f t="shared" si="151"/>
        <v>150</v>
      </c>
      <c r="Y37" s="24">
        <f t="shared" si="151"/>
        <v>150</v>
      </c>
      <c r="Z37" s="24">
        <f t="shared" si="151"/>
        <v>150</v>
      </c>
      <c r="AA37" s="24">
        <f t="shared" si="151"/>
        <v>150</v>
      </c>
      <c r="AB37" s="24">
        <f t="shared" si="151"/>
        <v>150</v>
      </c>
      <c r="AC37" s="24">
        <f t="shared" si="151"/>
        <v>150</v>
      </c>
      <c r="AD37" s="24">
        <f t="shared" si="151"/>
        <v>150</v>
      </c>
      <c r="AE37" s="24">
        <f t="shared" si="151"/>
        <v>150</v>
      </c>
      <c r="AF37" s="24">
        <f t="shared" si="151"/>
        <v>150</v>
      </c>
      <c r="AG37" s="24">
        <f t="shared" si="151"/>
        <v>150</v>
      </c>
      <c r="AH37" s="24">
        <f t="shared" si="151"/>
        <v>150</v>
      </c>
      <c r="AI37" s="24">
        <f t="shared" ref="AI37:BN37" si="152">CST_RENT_COMM*AI$20</f>
        <v>150</v>
      </c>
      <c r="AJ37" s="24">
        <f t="shared" si="152"/>
        <v>150</v>
      </c>
      <c r="AK37" s="24">
        <f t="shared" si="152"/>
        <v>150</v>
      </c>
      <c r="AL37" s="24">
        <f t="shared" si="152"/>
        <v>150</v>
      </c>
      <c r="AM37" s="24">
        <f t="shared" si="152"/>
        <v>150</v>
      </c>
      <c r="AN37" s="24">
        <f t="shared" si="152"/>
        <v>150</v>
      </c>
      <c r="AO37" s="24">
        <f t="shared" si="152"/>
        <v>150</v>
      </c>
      <c r="AP37" s="24">
        <f t="shared" si="152"/>
        <v>150</v>
      </c>
      <c r="AQ37" s="24">
        <f t="shared" si="152"/>
        <v>150</v>
      </c>
      <c r="AR37" s="24">
        <f t="shared" si="152"/>
        <v>150</v>
      </c>
      <c r="AS37" s="24">
        <f t="shared" si="152"/>
        <v>150</v>
      </c>
      <c r="AT37" s="24">
        <f t="shared" si="152"/>
        <v>150</v>
      </c>
      <c r="AU37" s="24">
        <f t="shared" si="152"/>
        <v>150</v>
      </c>
      <c r="AV37" s="24">
        <f t="shared" si="152"/>
        <v>150</v>
      </c>
      <c r="AW37" s="24">
        <f t="shared" si="152"/>
        <v>150</v>
      </c>
      <c r="AX37" s="24">
        <f t="shared" si="152"/>
        <v>150</v>
      </c>
      <c r="AY37" s="24">
        <f t="shared" si="152"/>
        <v>157.5</v>
      </c>
      <c r="AZ37" s="24">
        <f t="shared" si="152"/>
        <v>157.5</v>
      </c>
      <c r="BA37" s="24">
        <f t="shared" si="152"/>
        <v>157.5</v>
      </c>
      <c r="BB37" s="24">
        <f t="shared" si="152"/>
        <v>157.5</v>
      </c>
      <c r="BC37" s="24">
        <f t="shared" si="152"/>
        <v>157.5</v>
      </c>
      <c r="BD37" s="24">
        <f t="shared" si="152"/>
        <v>157.5</v>
      </c>
      <c r="BE37" s="24">
        <f t="shared" si="152"/>
        <v>157.5</v>
      </c>
      <c r="BF37" s="24">
        <f t="shared" si="152"/>
        <v>157.5</v>
      </c>
      <c r="BG37" s="24">
        <f t="shared" si="152"/>
        <v>157.5</v>
      </c>
      <c r="BH37" s="24">
        <f t="shared" si="152"/>
        <v>157.5</v>
      </c>
      <c r="BI37" s="24">
        <f t="shared" si="152"/>
        <v>157.5</v>
      </c>
      <c r="BJ37" s="24">
        <f t="shared" si="152"/>
        <v>157.5</v>
      </c>
      <c r="BK37" s="24">
        <f t="shared" si="152"/>
        <v>157.5</v>
      </c>
      <c r="BL37" s="24">
        <f t="shared" si="152"/>
        <v>157.5</v>
      </c>
      <c r="BM37" s="24">
        <f t="shared" si="152"/>
        <v>157.5</v>
      </c>
      <c r="BN37" s="24">
        <f t="shared" si="152"/>
        <v>157.5</v>
      </c>
      <c r="BO37" s="24">
        <f t="shared" ref="BO37:CT37" si="153">CST_RENT_COMM*BO$20</f>
        <v>157.5</v>
      </c>
      <c r="BP37" s="24">
        <f t="shared" si="153"/>
        <v>157.5</v>
      </c>
      <c r="BQ37" s="24">
        <f t="shared" si="153"/>
        <v>157.5</v>
      </c>
      <c r="BR37" s="24">
        <f t="shared" si="153"/>
        <v>157.5</v>
      </c>
      <c r="BS37" s="24">
        <f t="shared" si="153"/>
        <v>157.5</v>
      </c>
      <c r="BT37" s="24">
        <f t="shared" si="153"/>
        <v>157.5</v>
      </c>
      <c r="BU37" s="24">
        <f t="shared" si="153"/>
        <v>157.5</v>
      </c>
      <c r="BV37" s="24">
        <f t="shared" si="153"/>
        <v>157.5</v>
      </c>
      <c r="BW37" s="24">
        <f t="shared" si="153"/>
        <v>165</v>
      </c>
      <c r="BX37" s="24">
        <f t="shared" si="153"/>
        <v>165</v>
      </c>
      <c r="BY37" s="24">
        <f t="shared" si="153"/>
        <v>165</v>
      </c>
      <c r="BZ37" s="24">
        <f t="shared" si="153"/>
        <v>165</v>
      </c>
      <c r="CA37" s="24">
        <f t="shared" si="153"/>
        <v>165</v>
      </c>
      <c r="CB37" s="24">
        <f t="shared" si="153"/>
        <v>165</v>
      </c>
      <c r="CC37" s="24">
        <f t="shared" si="153"/>
        <v>165</v>
      </c>
      <c r="CD37" s="24">
        <f t="shared" si="153"/>
        <v>165</v>
      </c>
      <c r="CE37" s="24">
        <f t="shared" si="153"/>
        <v>165</v>
      </c>
      <c r="CF37" s="24">
        <f t="shared" si="153"/>
        <v>165</v>
      </c>
      <c r="CG37" s="24">
        <f t="shared" si="153"/>
        <v>165</v>
      </c>
      <c r="CH37" s="24">
        <f t="shared" si="153"/>
        <v>165</v>
      </c>
      <c r="CI37" s="24">
        <f t="shared" si="153"/>
        <v>165</v>
      </c>
      <c r="CJ37" s="24">
        <f t="shared" si="153"/>
        <v>165</v>
      </c>
      <c r="CK37" s="24">
        <f t="shared" si="153"/>
        <v>165</v>
      </c>
      <c r="CL37" s="24">
        <f t="shared" si="153"/>
        <v>165</v>
      </c>
      <c r="CM37" s="24">
        <f t="shared" si="153"/>
        <v>165</v>
      </c>
      <c r="CN37" s="24">
        <f t="shared" si="153"/>
        <v>165</v>
      </c>
      <c r="CO37" s="24">
        <f t="shared" si="153"/>
        <v>165</v>
      </c>
      <c r="CP37" s="24">
        <f t="shared" si="153"/>
        <v>165</v>
      </c>
      <c r="CQ37" s="24">
        <f t="shared" si="153"/>
        <v>165</v>
      </c>
      <c r="CR37" s="24">
        <f t="shared" si="153"/>
        <v>165</v>
      </c>
      <c r="CS37" s="24">
        <f t="shared" si="153"/>
        <v>165</v>
      </c>
      <c r="CT37" s="24">
        <f t="shared" si="153"/>
        <v>165</v>
      </c>
      <c r="CU37" s="24">
        <f t="shared" ref="CU37:DZ37" si="154">CST_RENT_COMM*CU$20</f>
        <v>172.50000000000003</v>
      </c>
      <c r="CV37" s="24">
        <f t="shared" si="154"/>
        <v>172.50000000000003</v>
      </c>
      <c r="CW37" s="24">
        <f t="shared" si="154"/>
        <v>172.50000000000003</v>
      </c>
      <c r="CX37" s="24">
        <f t="shared" si="154"/>
        <v>172.50000000000003</v>
      </c>
      <c r="CY37" s="24">
        <f t="shared" si="154"/>
        <v>172.50000000000003</v>
      </c>
      <c r="CZ37" s="24">
        <f t="shared" si="154"/>
        <v>172.50000000000003</v>
      </c>
      <c r="DA37" s="24">
        <f t="shared" si="154"/>
        <v>172.50000000000003</v>
      </c>
      <c r="DB37" s="24">
        <f t="shared" si="154"/>
        <v>172.50000000000003</v>
      </c>
      <c r="DC37" s="24">
        <f t="shared" si="154"/>
        <v>172.50000000000003</v>
      </c>
      <c r="DD37" s="24">
        <f t="shared" si="154"/>
        <v>172.50000000000003</v>
      </c>
      <c r="DE37" s="24">
        <f t="shared" si="154"/>
        <v>172.50000000000003</v>
      </c>
      <c r="DF37" s="24">
        <f t="shared" si="154"/>
        <v>172.50000000000003</v>
      </c>
      <c r="DG37" s="24">
        <f t="shared" si="154"/>
        <v>172.50000000000003</v>
      </c>
      <c r="DH37" s="24">
        <f t="shared" si="154"/>
        <v>172.50000000000003</v>
      </c>
      <c r="DI37" s="24">
        <f t="shared" si="154"/>
        <v>172.50000000000003</v>
      </c>
      <c r="DJ37" s="24">
        <f t="shared" si="154"/>
        <v>172.50000000000003</v>
      </c>
      <c r="DK37" s="24">
        <f t="shared" si="154"/>
        <v>172.50000000000003</v>
      </c>
      <c r="DL37" s="24">
        <f t="shared" si="154"/>
        <v>172.50000000000003</v>
      </c>
      <c r="DM37" s="24">
        <f t="shared" si="154"/>
        <v>172.50000000000003</v>
      </c>
      <c r="DN37" s="24">
        <f t="shared" si="154"/>
        <v>172.50000000000003</v>
      </c>
      <c r="DO37" s="24">
        <f t="shared" si="154"/>
        <v>172.50000000000003</v>
      </c>
      <c r="DP37" s="24">
        <f t="shared" si="154"/>
        <v>172.50000000000003</v>
      </c>
      <c r="DQ37" s="24">
        <f t="shared" si="154"/>
        <v>172.50000000000003</v>
      </c>
      <c r="DR37" s="24">
        <f t="shared" si="154"/>
        <v>172.50000000000003</v>
      </c>
      <c r="DS37" s="24">
        <f t="shared" si="154"/>
        <v>180.00000000000003</v>
      </c>
      <c r="DT37" s="24">
        <f t="shared" si="154"/>
        <v>180.00000000000003</v>
      </c>
      <c r="DU37" s="24">
        <f t="shared" si="154"/>
        <v>180.00000000000003</v>
      </c>
      <c r="DV37" s="24">
        <f t="shared" si="154"/>
        <v>180.00000000000003</v>
      </c>
      <c r="DW37" s="24">
        <f t="shared" si="154"/>
        <v>180.00000000000003</v>
      </c>
      <c r="DX37" s="24">
        <f t="shared" si="154"/>
        <v>180.00000000000003</v>
      </c>
      <c r="DY37" s="24">
        <f t="shared" si="154"/>
        <v>180.00000000000003</v>
      </c>
      <c r="DZ37" s="24">
        <f t="shared" si="154"/>
        <v>180.00000000000003</v>
      </c>
      <c r="EA37" s="24">
        <f t="shared" ref="EA37:FF37" si="155">CST_RENT_COMM*EA$20</f>
        <v>180.00000000000003</v>
      </c>
      <c r="EB37" s="24">
        <f t="shared" si="155"/>
        <v>180.00000000000003</v>
      </c>
      <c r="EC37" s="24">
        <f t="shared" si="155"/>
        <v>180.00000000000003</v>
      </c>
      <c r="ED37" s="24">
        <f t="shared" si="155"/>
        <v>180.00000000000003</v>
      </c>
      <c r="EE37" s="24">
        <f t="shared" si="155"/>
        <v>180.00000000000003</v>
      </c>
      <c r="EF37" s="24">
        <f t="shared" si="155"/>
        <v>180.00000000000003</v>
      </c>
      <c r="EG37" s="24">
        <f t="shared" si="155"/>
        <v>180.00000000000003</v>
      </c>
      <c r="EH37" s="24">
        <f t="shared" si="155"/>
        <v>180.00000000000003</v>
      </c>
      <c r="EI37" s="24">
        <f t="shared" si="155"/>
        <v>180.00000000000003</v>
      </c>
      <c r="EJ37" s="24">
        <f t="shared" si="155"/>
        <v>180.00000000000003</v>
      </c>
      <c r="EK37" s="24">
        <f t="shared" si="155"/>
        <v>180.00000000000003</v>
      </c>
      <c r="EL37" s="24">
        <f t="shared" si="155"/>
        <v>180.00000000000003</v>
      </c>
      <c r="EM37" s="24">
        <f t="shared" si="155"/>
        <v>180.00000000000003</v>
      </c>
      <c r="EN37" s="24">
        <f t="shared" si="155"/>
        <v>180.00000000000003</v>
      </c>
      <c r="EO37" s="24">
        <f t="shared" si="155"/>
        <v>180.00000000000003</v>
      </c>
      <c r="EP37" s="24">
        <f t="shared" si="155"/>
        <v>180.00000000000003</v>
      </c>
      <c r="EQ37" s="24">
        <f t="shared" si="155"/>
        <v>187.50000000000003</v>
      </c>
      <c r="ER37" s="24">
        <f t="shared" si="155"/>
        <v>187.50000000000003</v>
      </c>
      <c r="ES37" s="24">
        <f t="shared" si="155"/>
        <v>187.50000000000003</v>
      </c>
      <c r="ET37" s="24">
        <f t="shared" si="155"/>
        <v>187.50000000000003</v>
      </c>
      <c r="EU37" s="24">
        <f t="shared" si="155"/>
        <v>187.50000000000003</v>
      </c>
      <c r="EV37" s="24">
        <f t="shared" si="155"/>
        <v>187.50000000000003</v>
      </c>
      <c r="EW37" s="24">
        <f t="shared" si="155"/>
        <v>187.50000000000003</v>
      </c>
      <c r="EX37" s="24">
        <f t="shared" si="155"/>
        <v>187.50000000000003</v>
      </c>
      <c r="EY37" s="24">
        <f t="shared" si="155"/>
        <v>187.50000000000003</v>
      </c>
      <c r="EZ37" s="24">
        <f t="shared" si="155"/>
        <v>187.50000000000003</v>
      </c>
      <c r="FA37" s="24">
        <f t="shared" si="155"/>
        <v>187.50000000000003</v>
      </c>
      <c r="FB37" s="24">
        <f t="shared" si="155"/>
        <v>187.50000000000003</v>
      </c>
      <c r="FC37" s="24">
        <f t="shared" si="155"/>
        <v>187.50000000000003</v>
      </c>
      <c r="FD37" s="24">
        <f t="shared" si="155"/>
        <v>187.50000000000003</v>
      </c>
      <c r="FE37" s="24">
        <f t="shared" si="155"/>
        <v>187.50000000000003</v>
      </c>
      <c r="FF37" s="24">
        <f t="shared" si="155"/>
        <v>187.50000000000003</v>
      </c>
      <c r="FG37" s="24">
        <f t="shared" ref="FG37:HR37" si="156">CST_RENT_COMM*FG$20</f>
        <v>187.50000000000003</v>
      </c>
      <c r="FH37" s="24">
        <f t="shared" si="156"/>
        <v>187.50000000000003</v>
      </c>
      <c r="FI37" s="24">
        <f t="shared" si="156"/>
        <v>187.50000000000003</v>
      </c>
      <c r="FJ37" s="24">
        <f t="shared" si="156"/>
        <v>187.50000000000003</v>
      </c>
      <c r="FK37" s="24">
        <f t="shared" si="156"/>
        <v>187.50000000000003</v>
      </c>
      <c r="FL37" s="24">
        <f t="shared" si="156"/>
        <v>187.50000000000003</v>
      </c>
      <c r="FM37" s="24">
        <f t="shared" si="156"/>
        <v>187.50000000000003</v>
      </c>
      <c r="FN37" s="24">
        <f t="shared" si="156"/>
        <v>187.50000000000003</v>
      </c>
      <c r="FO37" s="24">
        <f t="shared" si="156"/>
        <v>195.00000000000003</v>
      </c>
      <c r="FP37" s="24">
        <f t="shared" si="156"/>
        <v>195.00000000000003</v>
      </c>
      <c r="FQ37" s="24">
        <f t="shared" si="156"/>
        <v>195.00000000000003</v>
      </c>
      <c r="FR37" s="24">
        <f t="shared" si="156"/>
        <v>195.00000000000003</v>
      </c>
      <c r="FS37" s="24">
        <f t="shared" si="156"/>
        <v>195.00000000000003</v>
      </c>
      <c r="FT37" s="24">
        <f t="shared" si="156"/>
        <v>195.00000000000003</v>
      </c>
      <c r="FU37" s="24">
        <f t="shared" si="156"/>
        <v>195.00000000000003</v>
      </c>
      <c r="FV37" s="24">
        <f t="shared" si="156"/>
        <v>195.00000000000003</v>
      </c>
      <c r="FW37" s="24">
        <f t="shared" si="156"/>
        <v>195.00000000000003</v>
      </c>
      <c r="FX37" s="24">
        <f t="shared" si="156"/>
        <v>195.00000000000003</v>
      </c>
      <c r="FY37" s="24">
        <f t="shared" si="156"/>
        <v>195.00000000000003</v>
      </c>
      <c r="FZ37" s="24">
        <f t="shared" si="156"/>
        <v>195.00000000000003</v>
      </c>
      <c r="GA37" s="24">
        <f t="shared" si="156"/>
        <v>195.00000000000003</v>
      </c>
      <c r="GB37" s="24">
        <f t="shared" si="156"/>
        <v>195.00000000000003</v>
      </c>
      <c r="GC37" s="24">
        <f t="shared" si="156"/>
        <v>195.00000000000003</v>
      </c>
      <c r="GD37" s="24">
        <f t="shared" si="156"/>
        <v>195.00000000000003</v>
      </c>
      <c r="GE37" s="24">
        <f t="shared" si="156"/>
        <v>195.00000000000003</v>
      </c>
      <c r="GF37" s="24">
        <f t="shared" si="156"/>
        <v>195.00000000000003</v>
      </c>
      <c r="GG37" s="24">
        <f t="shared" si="156"/>
        <v>195.00000000000003</v>
      </c>
      <c r="GH37" s="24">
        <f t="shared" si="156"/>
        <v>195.00000000000003</v>
      </c>
      <c r="GI37" s="24">
        <f t="shared" si="156"/>
        <v>195.00000000000003</v>
      </c>
      <c r="GJ37" s="24">
        <f t="shared" si="156"/>
        <v>195.00000000000003</v>
      </c>
      <c r="GK37" s="24">
        <f t="shared" si="156"/>
        <v>195.00000000000003</v>
      </c>
      <c r="GL37" s="24">
        <f t="shared" si="156"/>
        <v>195.00000000000003</v>
      </c>
      <c r="GM37" s="24">
        <f t="shared" si="156"/>
        <v>202.50000000000006</v>
      </c>
      <c r="GN37" s="24">
        <f t="shared" si="156"/>
        <v>202.50000000000006</v>
      </c>
      <c r="GO37" s="24">
        <f t="shared" si="156"/>
        <v>202.50000000000006</v>
      </c>
      <c r="GP37" s="24">
        <f t="shared" si="156"/>
        <v>202.50000000000006</v>
      </c>
      <c r="GQ37" s="24">
        <f t="shared" si="156"/>
        <v>202.50000000000006</v>
      </c>
      <c r="GR37" s="24">
        <f t="shared" si="156"/>
        <v>202.50000000000006</v>
      </c>
      <c r="GS37" s="24">
        <f t="shared" si="156"/>
        <v>202.50000000000006</v>
      </c>
      <c r="GT37" s="24">
        <f t="shared" si="156"/>
        <v>202.50000000000006</v>
      </c>
      <c r="GU37" s="24">
        <f t="shared" si="156"/>
        <v>202.50000000000006</v>
      </c>
      <c r="GV37" s="24">
        <f t="shared" si="156"/>
        <v>202.50000000000006</v>
      </c>
      <c r="GW37" s="24">
        <f t="shared" si="156"/>
        <v>202.50000000000006</v>
      </c>
      <c r="GX37" s="24">
        <f t="shared" si="156"/>
        <v>202.50000000000006</v>
      </c>
      <c r="GY37" s="24">
        <f t="shared" si="156"/>
        <v>202.50000000000006</v>
      </c>
      <c r="GZ37" s="24">
        <f t="shared" si="156"/>
        <v>202.50000000000006</v>
      </c>
      <c r="HA37" s="24">
        <f t="shared" si="156"/>
        <v>202.50000000000006</v>
      </c>
      <c r="HB37" s="24">
        <f t="shared" si="156"/>
        <v>202.50000000000006</v>
      </c>
      <c r="HC37" s="24">
        <f t="shared" si="156"/>
        <v>202.50000000000006</v>
      </c>
      <c r="HD37" s="24">
        <f t="shared" si="156"/>
        <v>202.50000000000006</v>
      </c>
      <c r="HE37" s="24">
        <f t="shared" si="156"/>
        <v>202.50000000000006</v>
      </c>
      <c r="HF37" s="24">
        <f t="shared" si="156"/>
        <v>202.50000000000006</v>
      </c>
      <c r="HG37" s="24">
        <f t="shared" si="156"/>
        <v>202.50000000000006</v>
      </c>
      <c r="HH37" s="24">
        <f t="shared" si="156"/>
        <v>202.50000000000006</v>
      </c>
      <c r="HI37" s="24">
        <f t="shared" si="156"/>
        <v>202.50000000000006</v>
      </c>
      <c r="HJ37" s="24">
        <f t="shared" si="156"/>
        <v>202.50000000000006</v>
      </c>
      <c r="HK37" s="24">
        <f t="shared" si="156"/>
        <v>210.00000000000006</v>
      </c>
      <c r="HL37" s="24">
        <f t="shared" si="156"/>
        <v>210.00000000000006</v>
      </c>
      <c r="HM37" s="24">
        <f t="shared" si="156"/>
        <v>210.00000000000006</v>
      </c>
      <c r="HN37" s="24">
        <f t="shared" si="156"/>
        <v>210.00000000000006</v>
      </c>
      <c r="HO37" s="24">
        <f t="shared" si="156"/>
        <v>210.00000000000006</v>
      </c>
      <c r="HP37" s="24">
        <f t="shared" si="156"/>
        <v>210.00000000000006</v>
      </c>
      <c r="HQ37" s="24">
        <f t="shared" si="156"/>
        <v>210.00000000000006</v>
      </c>
      <c r="HR37" s="24">
        <f t="shared" si="156"/>
        <v>210.00000000000006</v>
      </c>
      <c r="HS37" s="24">
        <f t="shared" ref="HS37:IH37" si="157">CST_RENT_COMM*HS$20</f>
        <v>210.00000000000006</v>
      </c>
      <c r="HT37" s="24">
        <f t="shared" si="157"/>
        <v>210.00000000000006</v>
      </c>
      <c r="HU37" s="24">
        <f t="shared" si="157"/>
        <v>210.00000000000006</v>
      </c>
      <c r="HV37" s="24">
        <f t="shared" si="157"/>
        <v>210.00000000000006</v>
      </c>
      <c r="HW37" s="24">
        <f t="shared" si="157"/>
        <v>210.00000000000006</v>
      </c>
      <c r="HX37" s="24">
        <f t="shared" si="157"/>
        <v>210.00000000000006</v>
      </c>
      <c r="HY37" s="24">
        <f t="shared" si="157"/>
        <v>210.00000000000006</v>
      </c>
      <c r="HZ37" s="24">
        <f t="shared" si="157"/>
        <v>210.00000000000006</v>
      </c>
      <c r="IA37" s="24">
        <f t="shared" si="157"/>
        <v>210.00000000000006</v>
      </c>
      <c r="IB37" s="24">
        <f t="shared" si="157"/>
        <v>210.00000000000006</v>
      </c>
      <c r="IC37" s="24">
        <f t="shared" si="157"/>
        <v>210.00000000000006</v>
      </c>
      <c r="ID37" s="24">
        <f t="shared" si="157"/>
        <v>210.00000000000006</v>
      </c>
      <c r="IE37" s="24">
        <f t="shared" si="157"/>
        <v>210.00000000000006</v>
      </c>
      <c r="IF37" s="24">
        <f t="shared" si="157"/>
        <v>210.00000000000006</v>
      </c>
      <c r="IG37" s="24">
        <f t="shared" si="157"/>
        <v>210.00000000000006</v>
      </c>
      <c r="IH37" s="24">
        <f t="shared" si="157"/>
        <v>210.00000000000006</v>
      </c>
    </row>
    <row r="39" spans="1:243" x14ac:dyDescent="0.45">
      <c r="A39" s="21" t="s">
        <v>180</v>
      </c>
      <c r="B39" s="21" t="s">
        <v>54</v>
      </c>
      <c r="C39" s="21" t="s">
        <v>475</v>
      </c>
      <c r="D39" s="21" t="s">
        <v>475</v>
      </c>
      <c r="E39" s="21" t="s">
        <v>475</v>
      </c>
      <c r="F39" s="21" t="s">
        <v>475</v>
      </c>
      <c r="G39" s="21" t="s">
        <v>475</v>
      </c>
      <c r="H39" s="21" t="s">
        <v>475</v>
      </c>
      <c r="I39" s="21" t="s">
        <v>475</v>
      </c>
      <c r="J39" s="21" t="s">
        <v>475</v>
      </c>
      <c r="K39" s="21" t="s">
        <v>475</v>
      </c>
      <c r="L39" s="21" t="s">
        <v>475</v>
      </c>
      <c r="M39" s="21" t="s">
        <v>475</v>
      </c>
      <c r="N39" s="21" t="s">
        <v>475</v>
      </c>
      <c r="O39" s="21" t="s">
        <v>475</v>
      </c>
      <c r="P39" s="21" t="s">
        <v>475</v>
      </c>
      <c r="Q39" s="21" t="s">
        <v>475</v>
      </c>
      <c r="R39" s="21" t="s">
        <v>475</v>
      </c>
      <c r="S39" s="21" t="s">
        <v>475</v>
      </c>
      <c r="T39" s="21" t="s">
        <v>475</v>
      </c>
      <c r="U39" s="21" t="s">
        <v>475</v>
      </c>
      <c r="V39" s="21" t="s">
        <v>475</v>
      </c>
      <c r="W39" s="21" t="s">
        <v>475</v>
      </c>
      <c r="X39" s="21" t="s">
        <v>475</v>
      </c>
      <c r="Y39" s="21" t="s">
        <v>475</v>
      </c>
      <c r="Z39" s="21" t="s">
        <v>475</v>
      </c>
      <c r="AA39" s="21" t="s">
        <v>475</v>
      </c>
      <c r="AB39" s="21" t="s">
        <v>475</v>
      </c>
      <c r="AC39" s="21" t="s">
        <v>475</v>
      </c>
      <c r="AD39" s="21" t="s">
        <v>475</v>
      </c>
      <c r="AE39" s="21" t="s">
        <v>475</v>
      </c>
      <c r="AF39" s="21" t="s">
        <v>475</v>
      </c>
      <c r="AG39" s="21" t="s">
        <v>475</v>
      </c>
      <c r="AH39" s="21" t="s">
        <v>475</v>
      </c>
      <c r="AI39" s="21" t="s">
        <v>475</v>
      </c>
      <c r="AJ39" s="21" t="s">
        <v>475</v>
      </c>
      <c r="AK39" s="21" t="s">
        <v>475</v>
      </c>
      <c r="AL39" s="21" t="s">
        <v>475</v>
      </c>
      <c r="AM39" s="21" t="s">
        <v>475</v>
      </c>
      <c r="AN39" s="21" t="s">
        <v>475</v>
      </c>
      <c r="AO39" s="21" t="s">
        <v>475</v>
      </c>
      <c r="AP39" s="21" t="s">
        <v>475</v>
      </c>
      <c r="AQ39" s="21" t="s">
        <v>475</v>
      </c>
      <c r="AR39" s="21" t="s">
        <v>475</v>
      </c>
      <c r="AS39" s="21" t="s">
        <v>475</v>
      </c>
      <c r="AT39" s="21" t="s">
        <v>475</v>
      </c>
      <c r="AU39" s="21" t="s">
        <v>475</v>
      </c>
      <c r="AV39" s="21" t="s">
        <v>475</v>
      </c>
      <c r="AW39" s="21" t="s">
        <v>475</v>
      </c>
      <c r="AX39" s="21" t="s">
        <v>475</v>
      </c>
      <c r="AY39" s="21" t="s">
        <v>475</v>
      </c>
      <c r="AZ39" s="21" t="s">
        <v>475</v>
      </c>
      <c r="BA39" s="21" t="s">
        <v>475</v>
      </c>
      <c r="BB39" s="21" t="s">
        <v>475</v>
      </c>
      <c r="BC39" s="21" t="s">
        <v>475</v>
      </c>
      <c r="BD39" s="21" t="s">
        <v>475</v>
      </c>
      <c r="BE39" s="21" t="s">
        <v>475</v>
      </c>
      <c r="BF39" s="21" t="s">
        <v>475</v>
      </c>
      <c r="BG39" s="21" t="s">
        <v>475</v>
      </c>
      <c r="BH39" s="21" t="s">
        <v>475</v>
      </c>
      <c r="BI39" s="21" t="s">
        <v>475</v>
      </c>
      <c r="BJ39" s="21" t="s">
        <v>475</v>
      </c>
      <c r="BK39" s="21" t="s">
        <v>475</v>
      </c>
      <c r="BL39" s="21" t="s">
        <v>475</v>
      </c>
      <c r="BM39" s="21" t="s">
        <v>475</v>
      </c>
      <c r="BN39" s="21" t="s">
        <v>475</v>
      </c>
      <c r="BO39" s="21" t="s">
        <v>475</v>
      </c>
      <c r="BP39" s="21" t="s">
        <v>475</v>
      </c>
      <c r="BQ39" s="21" t="s">
        <v>475</v>
      </c>
      <c r="BR39" s="21" t="s">
        <v>475</v>
      </c>
      <c r="BS39" s="21" t="s">
        <v>475</v>
      </c>
      <c r="BT39" s="21" t="s">
        <v>475</v>
      </c>
      <c r="BU39" s="21" t="s">
        <v>475</v>
      </c>
      <c r="BV39" s="21" t="s">
        <v>475</v>
      </c>
      <c r="BW39" s="21" t="s">
        <v>475</v>
      </c>
      <c r="BX39" s="21" t="s">
        <v>475</v>
      </c>
      <c r="BY39" s="21" t="s">
        <v>475</v>
      </c>
      <c r="BZ39" s="21" t="s">
        <v>475</v>
      </c>
      <c r="CA39" s="21" t="s">
        <v>475</v>
      </c>
      <c r="CB39" s="21" t="s">
        <v>475</v>
      </c>
      <c r="CC39" s="21" t="s">
        <v>475</v>
      </c>
      <c r="CD39" s="21" t="s">
        <v>475</v>
      </c>
      <c r="CE39" s="21" t="s">
        <v>475</v>
      </c>
      <c r="CF39" s="21" t="s">
        <v>475</v>
      </c>
      <c r="CG39" s="21" t="s">
        <v>475</v>
      </c>
      <c r="CH39" s="21" t="s">
        <v>475</v>
      </c>
      <c r="CI39" s="21" t="s">
        <v>475</v>
      </c>
      <c r="CJ39" s="21" t="s">
        <v>475</v>
      </c>
      <c r="CK39" s="21" t="s">
        <v>475</v>
      </c>
      <c r="CL39" s="21" t="s">
        <v>475</v>
      </c>
      <c r="CM39" s="21" t="s">
        <v>475</v>
      </c>
      <c r="CN39" s="21" t="s">
        <v>475</v>
      </c>
      <c r="CO39" s="21" t="s">
        <v>475</v>
      </c>
      <c r="CP39" s="21" t="s">
        <v>475</v>
      </c>
      <c r="CQ39" s="21" t="s">
        <v>475</v>
      </c>
      <c r="CR39" s="21" t="s">
        <v>475</v>
      </c>
      <c r="CS39" s="21" t="s">
        <v>475</v>
      </c>
      <c r="CT39" s="21" t="s">
        <v>475</v>
      </c>
      <c r="CU39" s="21" t="s">
        <v>475</v>
      </c>
      <c r="CV39" s="21" t="s">
        <v>475</v>
      </c>
      <c r="CW39" s="21" t="s">
        <v>475</v>
      </c>
      <c r="CX39" s="21" t="s">
        <v>475</v>
      </c>
      <c r="CY39" s="21" t="s">
        <v>475</v>
      </c>
      <c r="CZ39" s="21" t="s">
        <v>475</v>
      </c>
      <c r="DA39" s="21" t="s">
        <v>475</v>
      </c>
      <c r="DB39" s="21" t="s">
        <v>475</v>
      </c>
      <c r="DC39" s="21" t="s">
        <v>475</v>
      </c>
      <c r="DD39" s="21" t="s">
        <v>475</v>
      </c>
      <c r="DE39" s="21" t="s">
        <v>475</v>
      </c>
      <c r="DF39" s="21" t="s">
        <v>475</v>
      </c>
      <c r="DG39" s="21" t="s">
        <v>475</v>
      </c>
      <c r="DH39" s="21" t="s">
        <v>475</v>
      </c>
      <c r="DI39" s="21" t="s">
        <v>475</v>
      </c>
      <c r="DJ39" s="21" t="s">
        <v>475</v>
      </c>
      <c r="DK39" s="21" t="s">
        <v>475</v>
      </c>
      <c r="DL39" s="21" t="s">
        <v>475</v>
      </c>
      <c r="DM39" s="21" t="s">
        <v>475</v>
      </c>
      <c r="DN39" s="21" t="s">
        <v>475</v>
      </c>
      <c r="DO39" s="21" t="s">
        <v>475</v>
      </c>
      <c r="DP39" s="21" t="s">
        <v>475</v>
      </c>
      <c r="DQ39" s="21" t="s">
        <v>475</v>
      </c>
      <c r="DR39" s="21" t="s">
        <v>475</v>
      </c>
      <c r="DS39" s="21" t="s">
        <v>475</v>
      </c>
      <c r="DT39" s="21" t="s">
        <v>475</v>
      </c>
      <c r="DU39" s="21" t="s">
        <v>475</v>
      </c>
      <c r="DV39" s="21" t="s">
        <v>475</v>
      </c>
      <c r="DW39" s="21" t="s">
        <v>475</v>
      </c>
      <c r="DX39" s="21" t="s">
        <v>475</v>
      </c>
      <c r="DY39" s="21" t="s">
        <v>475</v>
      </c>
      <c r="DZ39" s="21" t="s">
        <v>475</v>
      </c>
      <c r="EA39" s="21" t="s">
        <v>475</v>
      </c>
      <c r="EB39" s="21" t="s">
        <v>475</v>
      </c>
      <c r="EC39" s="21" t="s">
        <v>475</v>
      </c>
      <c r="ED39" s="21" t="s">
        <v>475</v>
      </c>
      <c r="EE39" s="21" t="s">
        <v>475</v>
      </c>
      <c r="EF39" s="21" t="s">
        <v>475</v>
      </c>
      <c r="EG39" s="21" t="s">
        <v>475</v>
      </c>
      <c r="EH39" s="21" t="s">
        <v>475</v>
      </c>
      <c r="EI39" s="21" t="s">
        <v>475</v>
      </c>
      <c r="EJ39" s="21" t="s">
        <v>475</v>
      </c>
      <c r="EK39" s="21" t="s">
        <v>475</v>
      </c>
      <c r="EL39" s="21" t="s">
        <v>475</v>
      </c>
      <c r="EM39" s="21" t="s">
        <v>475</v>
      </c>
      <c r="EN39" s="21" t="s">
        <v>475</v>
      </c>
      <c r="EO39" s="21" t="s">
        <v>475</v>
      </c>
      <c r="EP39" s="21" t="s">
        <v>475</v>
      </c>
      <c r="EQ39" s="21" t="s">
        <v>475</v>
      </c>
      <c r="ER39" s="21" t="s">
        <v>475</v>
      </c>
      <c r="ES39" s="21" t="s">
        <v>475</v>
      </c>
      <c r="ET39" s="21" t="s">
        <v>475</v>
      </c>
      <c r="EU39" s="21" t="s">
        <v>475</v>
      </c>
      <c r="EV39" s="21" t="s">
        <v>475</v>
      </c>
      <c r="EW39" s="21" t="s">
        <v>475</v>
      </c>
      <c r="EX39" s="21" t="s">
        <v>475</v>
      </c>
      <c r="EY39" s="21" t="s">
        <v>475</v>
      </c>
      <c r="EZ39" s="21" t="s">
        <v>475</v>
      </c>
      <c r="FA39" s="21" t="s">
        <v>475</v>
      </c>
      <c r="FB39" s="21" t="s">
        <v>475</v>
      </c>
      <c r="FC39" s="21" t="s">
        <v>475</v>
      </c>
      <c r="FD39" s="21" t="s">
        <v>475</v>
      </c>
      <c r="FE39" s="21" t="s">
        <v>475</v>
      </c>
      <c r="FF39" s="21" t="s">
        <v>475</v>
      </c>
      <c r="FG39" s="21" t="s">
        <v>475</v>
      </c>
      <c r="FH39" s="21" t="s">
        <v>475</v>
      </c>
      <c r="FI39" s="21" t="s">
        <v>475</v>
      </c>
      <c r="FJ39" s="21" t="s">
        <v>475</v>
      </c>
      <c r="FK39" s="21" t="s">
        <v>475</v>
      </c>
      <c r="FL39" s="21" t="s">
        <v>475</v>
      </c>
      <c r="FM39" s="21" t="s">
        <v>475</v>
      </c>
      <c r="FN39" s="21" t="s">
        <v>475</v>
      </c>
      <c r="FO39" s="21" t="s">
        <v>475</v>
      </c>
      <c r="FP39" s="21" t="s">
        <v>475</v>
      </c>
      <c r="FQ39" s="21" t="s">
        <v>475</v>
      </c>
      <c r="FR39" s="21" t="s">
        <v>475</v>
      </c>
      <c r="FS39" s="21" t="s">
        <v>475</v>
      </c>
      <c r="FT39" s="21" t="s">
        <v>475</v>
      </c>
      <c r="FU39" s="21" t="s">
        <v>475</v>
      </c>
      <c r="FV39" s="21" t="s">
        <v>475</v>
      </c>
      <c r="FW39" s="21" t="s">
        <v>475</v>
      </c>
      <c r="FX39" s="21" t="s">
        <v>475</v>
      </c>
      <c r="FY39" s="21" t="s">
        <v>475</v>
      </c>
      <c r="FZ39" s="21" t="s">
        <v>475</v>
      </c>
      <c r="GA39" s="21" t="s">
        <v>475</v>
      </c>
      <c r="GB39" s="21" t="s">
        <v>475</v>
      </c>
      <c r="GC39" s="21" t="s">
        <v>475</v>
      </c>
      <c r="GD39" s="21" t="s">
        <v>475</v>
      </c>
      <c r="GE39" s="21" t="s">
        <v>475</v>
      </c>
      <c r="GF39" s="21" t="s">
        <v>475</v>
      </c>
      <c r="GG39" s="21" t="s">
        <v>475</v>
      </c>
      <c r="GH39" s="21" t="s">
        <v>475</v>
      </c>
      <c r="GI39" s="21" t="s">
        <v>475</v>
      </c>
      <c r="GJ39" s="21" t="s">
        <v>475</v>
      </c>
      <c r="GK39" s="21" t="s">
        <v>475</v>
      </c>
      <c r="GL39" s="21" t="s">
        <v>475</v>
      </c>
      <c r="GM39" s="21" t="s">
        <v>475</v>
      </c>
      <c r="GN39" s="21" t="s">
        <v>475</v>
      </c>
      <c r="GO39" s="21" t="s">
        <v>475</v>
      </c>
      <c r="GP39" s="21" t="s">
        <v>475</v>
      </c>
      <c r="GQ39" s="21" t="s">
        <v>475</v>
      </c>
      <c r="GR39" s="21" t="s">
        <v>475</v>
      </c>
      <c r="GS39" s="21" t="s">
        <v>475</v>
      </c>
      <c r="GT39" s="21" t="s">
        <v>475</v>
      </c>
      <c r="GU39" s="21" t="s">
        <v>475</v>
      </c>
      <c r="GV39" s="21" t="s">
        <v>475</v>
      </c>
      <c r="GW39" s="21" t="s">
        <v>475</v>
      </c>
      <c r="GX39" s="21" t="s">
        <v>475</v>
      </c>
      <c r="GY39" s="21" t="s">
        <v>475</v>
      </c>
      <c r="GZ39" s="21" t="s">
        <v>475</v>
      </c>
      <c r="HA39" s="21" t="s">
        <v>475</v>
      </c>
      <c r="HB39" s="21" t="s">
        <v>475</v>
      </c>
      <c r="HC39" s="21" t="s">
        <v>475</v>
      </c>
      <c r="HD39" s="21" t="s">
        <v>475</v>
      </c>
      <c r="HE39" s="21" t="s">
        <v>475</v>
      </c>
      <c r="HF39" s="21" t="s">
        <v>475</v>
      </c>
      <c r="HG39" s="21" t="s">
        <v>475</v>
      </c>
      <c r="HH39" s="21" t="s">
        <v>475</v>
      </c>
      <c r="HI39" s="21" t="s">
        <v>475</v>
      </c>
      <c r="HJ39" s="21" t="s">
        <v>475</v>
      </c>
      <c r="HK39" s="21" t="s">
        <v>475</v>
      </c>
      <c r="HL39" s="21" t="s">
        <v>475</v>
      </c>
      <c r="HM39" s="21" t="s">
        <v>475</v>
      </c>
      <c r="HN39" s="21" t="s">
        <v>475</v>
      </c>
      <c r="HO39" s="21" t="s">
        <v>475</v>
      </c>
      <c r="HP39" s="21" t="s">
        <v>475</v>
      </c>
      <c r="HQ39" s="21" t="s">
        <v>475</v>
      </c>
      <c r="HR39" s="21" t="s">
        <v>475</v>
      </c>
      <c r="HS39" s="21" t="s">
        <v>475</v>
      </c>
      <c r="HT39" s="21" t="s">
        <v>475</v>
      </c>
      <c r="HU39" s="21" t="s">
        <v>475</v>
      </c>
      <c r="HV39" s="21" t="s">
        <v>475</v>
      </c>
      <c r="HW39" s="21" t="s">
        <v>475</v>
      </c>
      <c r="HX39" s="21" t="s">
        <v>475</v>
      </c>
      <c r="HY39" s="21" t="s">
        <v>475</v>
      </c>
      <c r="HZ39" s="21" t="s">
        <v>475</v>
      </c>
      <c r="IA39" s="21" t="s">
        <v>475</v>
      </c>
      <c r="IB39" s="21" t="s">
        <v>475</v>
      </c>
      <c r="IC39" s="21" t="s">
        <v>475</v>
      </c>
      <c r="ID39" s="21" t="s">
        <v>475</v>
      </c>
      <c r="IE39" s="21" t="s">
        <v>475</v>
      </c>
      <c r="IF39" s="21" t="s">
        <v>475</v>
      </c>
      <c r="IG39" s="21" t="s">
        <v>475</v>
      </c>
      <c r="IH39" s="21" t="s">
        <v>475</v>
      </c>
      <c r="II39" s="21" t="s">
        <v>245</v>
      </c>
    </row>
    <row r="40" spans="1:243" x14ac:dyDescent="0.45">
      <c r="A40" s="57" t="s">
        <v>163</v>
      </c>
      <c r="B40" s="60">
        <f>SUM(B41:B49)</f>
        <v>222450.4</v>
      </c>
      <c r="C40" s="64">
        <f>SUM(C41:C49)</f>
        <v>0</v>
      </c>
      <c r="D40" s="64">
        <f t="shared" ref="D40:BO40" si="158">SUM(D41:D49)</f>
        <v>0</v>
      </c>
      <c r="E40" s="64">
        <f t="shared" si="158"/>
        <v>0</v>
      </c>
      <c r="F40" s="64">
        <f t="shared" si="158"/>
        <v>0</v>
      </c>
      <c r="G40" s="64">
        <f t="shared" si="158"/>
        <v>0</v>
      </c>
      <c r="H40" s="64">
        <f t="shared" si="158"/>
        <v>0</v>
      </c>
      <c r="I40" s="64">
        <f t="shared" si="158"/>
        <v>0</v>
      </c>
      <c r="J40" s="64">
        <f t="shared" si="158"/>
        <v>0</v>
      </c>
      <c r="K40" s="64">
        <f t="shared" si="158"/>
        <v>0</v>
      </c>
      <c r="L40" s="64">
        <f t="shared" si="158"/>
        <v>0</v>
      </c>
      <c r="M40" s="64">
        <f t="shared" si="158"/>
        <v>0</v>
      </c>
      <c r="N40" s="64">
        <f t="shared" si="158"/>
        <v>0</v>
      </c>
      <c r="O40" s="64">
        <f t="shared" si="158"/>
        <v>0</v>
      </c>
      <c r="P40" s="64">
        <f t="shared" si="158"/>
        <v>0</v>
      </c>
      <c r="Q40" s="64">
        <f t="shared" si="158"/>
        <v>0</v>
      </c>
      <c r="R40" s="64">
        <f t="shared" si="158"/>
        <v>0</v>
      </c>
      <c r="S40" s="64">
        <f t="shared" si="158"/>
        <v>0</v>
      </c>
      <c r="T40" s="64">
        <f t="shared" si="158"/>
        <v>0</v>
      </c>
      <c r="U40" s="64">
        <f t="shared" si="158"/>
        <v>0</v>
      </c>
      <c r="V40" s="64">
        <f t="shared" si="158"/>
        <v>0</v>
      </c>
      <c r="W40" s="64">
        <f t="shared" si="158"/>
        <v>0</v>
      </c>
      <c r="X40" s="64">
        <f t="shared" si="158"/>
        <v>0</v>
      </c>
      <c r="Y40" s="64">
        <f t="shared" si="158"/>
        <v>0</v>
      </c>
      <c r="Z40" s="64">
        <f t="shared" si="158"/>
        <v>0</v>
      </c>
      <c r="AA40" s="64">
        <f t="shared" si="158"/>
        <v>4226884.5539999995</v>
      </c>
      <c r="AB40" s="64">
        <f t="shared" si="158"/>
        <v>4226884.5539999995</v>
      </c>
      <c r="AC40" s="64">
        <f t="shared" si="158"/>
        <v>4226884.5539999995</v>
      </c>
      <c r="AD40" s="64">
        <f t="shared" si="158"/>
        <v>4226884.5539999995</v>
      </c>
      <c r="AE40" s="64">
        <f t="shared" si="158"/>
        <v>4226884.5539999995</v>
      </c>
      <c r="AF40" s="64">
        <f t="shared" si="158"/>
        <v>4226884.5539999995</v>
      </c>
      <c r="AG40" s="64">
        <f t="shared" si="158"/>
        <v>4226884.5539999995</v>
      </c>
      <c r="AH40" s="64">
        <f t="shared" si="158"/>
        <v>4226884.5539999995</v>
      </c>
      <c r="AI40" s="64">
        <f t="shared" si="158"/>
        <v>4226884.5539999995</v>
      </c>
      <c r="AJ40" s="64">
        <f t="shared" si="158"/>
        <v>4226884.5539999995</v>
      </c>
      <c r="AK40" s="64">
        <f t="shared" si="158"/>
        <v>4226884.5539999995</v>
      </c>
      <c r="AL40" s="64">
        <f t="shared" si="158"/>
        <v>4226884.5539999995</v>
      </c>
      <c r="AM40" s="64">
        <f t="shared" si="158"/>
        <v>7044807.5900000008</v>
      </c>
      <c r="AN40" s="64">
        <f t="shared" si="158"/>
        <v>7044807.5900000008</v>
      </c>
      <c r="AO40" s="64">
        <f t="shared" si="158"/>
        <v>7044807.5900000008</v>
      </c>
      <c r="AP40" s="64">
        <f t="shared" si="158"/>
        <v>7044807.5900000008</v>
      </c>
      <c r="AQ40" s="64">
        <f t="shared" si="158"/>
        <v>7044807.5900000008</v>
      </c>
      <c r="AR40" s="64">
        <f t="shared" si="158"/>
        <v>7044807.5900000008</v>
      </c>
      <c r="AS40" s="64">
        <f t="shared" si="158"/>
        <v>7044807.5900000008</v>
      </c>
      <c r="AT40" s="64">
        <f t="shared" si="158"/>
        <v>7044807.5900000008</v>
      </c>
      <c r="AU40" s="64">
        <f t="shared" si="158"/>
        <v>7044807.5900000008</v>
      </c>
      <c r="AV40" s="64">
        <f t="shared" si="158"/>
        <v>7044807.5900000008</v>
      </c>
      <c r="AW40" s="64">
        <f t="shared" si="158"/>
        <v>7044807.5900000008</v>
      </c>
      <c r="AX40" s="64">
        <f t="shared" si="158"/>
        <v>7044807.5900000008</v>
      </c>
      <c r="AY40" s="64">
        <f t="shared" si="158"/>
        <v>10355867.157300001</v>
      </c>
      <c r="AZ40" s="64">
        <f t="shared" si="158"/>
        <v>10355867.157300001</v>
      </c>
      <c r="BA40" s="64">
        <f t="shared" si="158"/>
        <v>10355867.157300001</v>
      </c>
      <c r="BB40" s="64">
        <f t="shared" si="158"/>
        <v>10355867.157300001</v>
      </c>
      <c r="BC40" s="64">
        <f t="shared" si="158"/>
        <v>10355867.157300001</v>
      </c>
      <c r="BD40" s="64">
        <f t="shared" si="158"/>
        <v>10355867.157300001</v>
      </c>
      <c r="BE40" s="64">
        <f t="shared" si="158"/>
        <v>10355867.157300001</v>
      </c>
      <c r="BF40" s="64">
        <f t="shared" si="158"/>
        <v>10355867.157300001</v>
      </c>
      <c r="BG40" s="64">
        <f t="shared" si="158"/>
        <v>10355867.157300001</v>
      </c>
      <c r="BH40" s="64">
        <f t="shared" si="158"/>
        <v>10355867.157300001</v>
      </c>
      <c r="BI40" s="64">
        <f t="shared" si="158"/>
        <v>10355867.157300001</v>
      </c>
      <c r="BJ40" s="64">
        <f t="shared" si="158"/>
        <v>10355867.157300001</v>
      </c>
      <c r="BK40" s="64">
        <f t="shared" si="158"/>
        <v>12574981.548149999</v>
      </c>
      <c r="BL40" s="64">
        <f t="shared" si="158"/>
        <v>12574981.548149999</v>
      </c>
      <c r="BM40" s="64">
        <f t="shared" si="158"/>
        <v>12574981.548149999</v>
      </c>
      <c r="BN40" s="64">
        <f t="shared" si="158"/>
        <v>12574981.548149999</v>
      </c>
      <c r="BO40" s="64">
        <f t="shared" si="158"/>
        <v>12574981.548149999</v>
      </c>
      <c r="BP40" s="64">
        <f t="shared" ref="BP40:EA40" si="159">SUM(BP41:BP49)</f>
        <v>12574981.548149999</v>
      </c>
      <c r="BQ40" s="64">
        <f t="shared" si="159"/>
        <v>12574981.548149999</v>
      </c>
      <c r="BR40" s="64">
        <f t="shared" si="159"/>
        <v>12574981.548149999</v>
      </c>
      <c r="BS40" s="64">
        <f t="shared" si="159"/>
        <v>12574981.548149999</v>
      </c>
      <c r="BT40" s="64">
        <f t="shared" si="159"/>
        <v>12574981.548149999</v>
      </c>
      <c r="BU40" s="64">
        <f t="shared" si="159"/>
        <v>12574981.548149999</v>
      </c>
      <c r="BV40" s="64">
        <f t="shared" si="159"/>
        <v>12574981.548149999</v>
      </c>
      <c r="BW40" s="64">
        <f t="shared" si="159"/>
        <v>13173790.193300001</v>
      </c>
      <c r="BX40" s="64">
        <f t="shared" si="159"/>
        <v>13173790.193300001</v>
      </c>
      <c r="BY40" s="64">
        <f t="shared" si="159"/>
        <v>13173790.193300001</v>
      </c>
      <c r="BZ40" s="64">
        <f t="shared" si="159"/>
        <v>13173790.193300001</v>
      </c>
      <c r="CA40" s="64">
        <f t="shared" si="159"/>
        <v>13173790.193300001</v>
      </c>
      <c r="CB40" s="64">
        <f t="shared" si="159"/>
        <v>13173790.193300001</v>
      </c>
      <c r="CC40" s="64">
        <f t="shared" si="159"/>
        <v>13173790.193300001</v>
      </c>
      <c r="CD40" s="64">
        <f t="shared" si="159"/>
        <v>13173790.193300001</v>
      </c>
      <c r="CE40" s="64">
        <f t="shared" si="159"/>
        <v>13173790.193300001</v>
      </c>
      <c r="CF40" s="64">
        <f t="shared" si="159"/>
        <v>13173790.193300001</v>
      </c>
      <c r="CG40" s="64">
        <f t="shared" si="159"/>
        <v>13173790.193300001</v>
      </c>
      <c r="CH40" s="64">
        <f t="shared" si="159"/>
        <v>13173790.193300001</v>
      </c>
      <c r="CI40" s="64">
        <f t="shared" si="159"/>
        <v>13173790.193300001</v>
      </c>
      <c r="CJ40" s="64">
        <f t="shared" si="159"/>
        <v>13173790.193300001</v>
      </c>
      <c r="CK40" s="64">
        <f t="shared" si="159"/>
        <v>13173790.193300001</v>
      </c>
      <c r="CL40" s="64">
        <f t="shared" si="159"/>
        <v>13173790.193300001</v>
      </c>
      <c r="CM40" s="64">
        <f t="shared" si="159"/>
        <v>13173790.193300001</v>
      </c>
      <c r="CN40" s="64">
        <f t="shared" si="159"/>
        <v>13173790.193300001</v>
      </c>
      <c r="CO40" s="64">
        <f t="shared" si="159"/>
        <v>13173790.193300001</v>
      </c>
      <c r="CP40" s="64">
        <f t="shared" si="159"/>
        <v>13173790.193300001</v>
      </c>
      <c r="CQ40" s="64">
        <f t="shared" si="159"/>
        <v>13173790.193300001</v>
      </c>
      <c r="CR40" s="64">
        <f t="shared" si="159"/>
        <v>13173790.193300001</v>
      </c>
      <c r="CS40" s="64">
        <f t="shared" si="159"/>
        <v>13173790.193300001</v>
      </c>
      <c r="CT40" s="64">
        <f t="shared" si="159"/>
        <v>13173790.193300001</v>
      </c>
      <c r="CU40" s="64">
        <f t="shared" si="159"/>
        <v>13772598.838450005</v>
      </c>
      <c r="CV40" s="64">
        <f t="shared" si="159"/>
        <v>13772598.838450005</v>
      </c>
      <c r="CW40" s="64">
        <f t="shared" si="159"/>
        <v>13772598.838450005</v>
      </c>
      <c r="CX40" s="64">
        <f t="shared" si="159"/>
        <v>13772598.838450005</v>
      </c>
      <c r="CY40" s="64">
        <f t="shared" si="159"/>
        <v>13772598.838450005</v>
      </c>
      <c r="CZ40" s="64">
        <f t="shared" si="159"/>
        <v>13772598.838450005</v>
      </c>
      <c r="DA40" s="64">
        <f t="shared" si="159"/>
        <v>13772598.838450005</v>
      </c>
      <c r="DB40" s="64">
        <f t="shared" si="159"/>
        <v>13772598.838450005</v>
      </c>
      <c r="DC40" s="64">
        <f t="shared" si="159"/>
        <v>13772598.838450005</v>
      </c>
      <c r="DD40" s="64">
        <f t="shared" si="159"/>
        <v>13772598.838450005</v>
      </c>
      <c r="DE40" s="64">
        <f t="shared" si="159"/>
        <v>13772598.838450005</v>
      </c>
      <c r="DF40" s="64">
        <f t="shared" si="159"/>
        <v>13772598.838450005</v>
      </c>
      <c r="DG40" s="64">
        <f t="shared" si="159"/>
        <v>13772598.838450005</v>
      </c>
      <c r="DH40" s="64">
        <f t="shared" si="159"/>
        <v>13772598.838450005</v>
      </c>
      <c r="DI40" s="64">
        <f t="shared" si="159"/>
        <v>13772598.838450005</v>
      </c>
      <c r="DJ40" s="64">
        <f t="shared" si="159"/>
        <v>13772598.838450005</v>
      </c>
      <c r="DK40" s="64">
        <f t="shared" si="159"/>
        <v>13772598.838450005</v>
      </c>
      <c r="DL40" s="64">
        <f t="shared" si="159"/>
        <v>13772598.838450005</v>
      </c>
      <c r="DM40" s="64">
        <f t="shared" si="159"/>
        <v>13772598.838450005</v>
      </c>
      <c r="DN40" s="64">
        <f t="shared" si="159"/>
        <v>13772598.838450005</v>
      </c>
      <c r="DO40" s="64">
        <f t="shared" si="159"/>
        <v>13772598.838450005</v>
      </c>
      <c r="DP40" s="64">
        <f t="shared" si="159"/>
        <v>13772598.838450005</v>
      </c>
      <c r="DQ40" s="64">
        <f t="shared" si="159"/>
        <v>13772598.838450005</v>
      </c>
      <c r="DR40" s="64">
        <f t="shared" si="159"/>
        <v>13772598.838450005</v>
      </c>
      <c r="DS40" s="64">
        <f t="shared" si="159"/>
        <v>14371407.483600004</v>
      </c>
      <c r="DT40" s="64">
        <f t="shared" si="159"/>
        <v>14371407.483600004</v>
      </c>
      <c r="DU40" s="64">
        <f t="shared" si="159"/>
        <v>14371407.483600004</v>
      </c>
      <c r="DV40" s="64">
        <f t="shared" si="159"/>
        <v>14371407.483600004</v>
      </c>
      <c r="DW40" s="64">
        <f t="shared" si="159"/>
        <v>14371407.483600004</v>
      </c>
      <c r="DX40" s="64">
        <f t="shared" si="159"/>
        <v>14371407.483600004</v>
      </c>
      <c r="DY40" s="64">
        <f t="shared" si="159"/>
        <v>14371407.483600004</v>
      </c>
      <c r="DZ40" s="64">
        <f t="shared" si="159"/>
        <v>14371407.483600004</v>
      </c>
      <c r="EA40" s="64">
        <f t="shared" si="159"/>
        <v>14371407.483600004</v>
      </c>
      <c r="EB40" s="64">
        <f t="shared" ref="EB40:GM40" si="160">SUM(EB41:EB49)</f>
        <v>14371407.483600004</v>
      </c>
      <c r="EC40" s="64">
        <f t="shared" si="160"/>
        <v>14371407.483600004</v>
      </c>
      <c r="ED40" s="64">
        <f t="shared" si="160"/>
        <v>14371407.483600004</v>
      </c>
      <c r="EE40" s="64">
        <f t="shared" si="160"/>
        <v>14371407.483600004</v>
      </c>
      <c r="EF40" s="64">
        <f t="shared" si="160"/>
        <v>14371407.483600004</v>
      </c>
      <c r="EG40" s="64">
        <f t="shared" si="160"/>
        <v>14371407.483600004</v>
      </c>
      <c r="EH40" s="64">
        <f t="shared" si="160"/>
        <v>14371407.483600004</v>
      </c>
      <c r="EI40" s="64">
        <f t="shared" si="160"/>
        <v>14371407.483600004</v>
      </c>
      <c r="EJ40" s="64">
        <f t="shared" si="160"/>
        <v>14371407.483600004</v>
      </c>
      <c r="EK40" s="64">
        <f t="shared" si="160"/>
        <v>14371407.483600004</v>
      </c>
      <c r="EL40" s="64">
        <f t="shared" si="160"/>
        <v>14371407.483600004</v>
      </c>
      <c r="EM40" s="64">
        <f t="shared" si="160"/>
        <v>14371407.483600004</v>
      </c>
      <c r="EN40" s="64">
        <f t="shared" si="160"/>
        <v>14371407.483600004</v>
      </c>
      <c r="EO40" s="64">
        <f t="shared" si="160"/>
        <v>14371407.483600004</v>
      </c>
      <c r="EP40" s="64">
        <f t="shared" si="160"/>
        <v>14371407.483600004</v>
      </c>
      <c r="EQ40" s="64">
        <f t="shared" si="160"/>
        <v>14970216.128750006</v>
      </c>
      <c r="ER40" s="64">
        <f t="shared" si="160"/>
        <v>14970216.128750006</v>
      </c>
      <c r="ES40" s="64">
        <f t="shared" si="160"/>
        <v>14970216.128750006</v>
      </c>
      <c r="ET40" s="64">
        <f t="shared" si="160"/>
        <v>14970216.128750006</v>
      </c>
      <c r="EU40" s="64">
        <f t="shared" si="160"/>
        <v>14970216.128750006</v>
      </c>
      <c r="EV40" s="64">
        <f t="shared" si="160"/>
        <v>14970216.128750006</v>
      </c>
      <c r="EW40" s="64">
        <f t="shared" si="160"/>
        <v>14970216.128750006</v>
      </c>
      <c r="EX40" s="64">
        <f t="shared" si="160"/>
        <v>14970216.128750006</v>
      </c>
      <c r="EY40" s="64">
        <f t="shared" si="160"/>
        <v>14970216.128750006</v>
      </c>
      <c r="EZ40" s="64">
        <f t="shared" si="160"/>
        <v>14970216.128750006</v>
      </c>
      <c r="FA40" s="64">
        <f t="shared" si="160"/>
        <v>14970216.128750006</v>
      </c>
      <c r="FB40" s="64">
        <f t="shared" si="160"/>
        <v>14970216.128750006</v>
      </c>
      <c r="FC40" s="64">
        <f t="shared" si="160"/>
        <v>14970216.128750006</v>
      </c>
      <c r="FD40" s="64">
        <f t="shared" si="160"/>
        <v>14970216.128750006</v>
      </c>
      <c r="FE40" s="64">
        <f t="shared" si="160"/>
        <v>14970216.128750006</v>
      </c>
      <c r="FF40" s="64">
        <f t="shared" si="160"/>
        <v>14970216.128750006</v>
      </c>
      <c r="FG40" s="64">
        <f t="shared" si="160"/>
        <v>14970216.128750006</v>
      </c>
      <c r="FH40" s="64">
        <f t="shared" si="160"/>
        <v>14970216.128750006</v>
      </c>
      <c r="FI40" s="64">
        <f t="shared" si="160"/>
        <v>14970216.128750006</v>
      </c>
      <c r="FJ40" s="64">
        <f t="shared" si="160"/>
        <v>14970216.128750006</v>
      </c>
      <c r="FK40" s="64">
        <f t="shared" si="160"/>
        <v>14970216.128750006</v>
      </c>
      <c r="FL40" s="64">
        <f t="shared" si="160"/>
        <v>14970216.128750006</v>
      </c>
      <c r="FM40" s="64">
        <f t="shared" si="160"/>
        <v>14970216.128750006</v>
      </c>
      <c r="FN40" s="64">
        <f t="shared" si="160"/>
        <v>14970216.128750006</v>
      </c>
      <c r="FO40" s="64">
        <f t="shared" si="160"/>
        <v>15569024.773900004</v>
      </c>
      <c r="FP40" s="64">
        <f t="shared" si="160"/>
        <v>15569024.773900004</v>
      </c>
      <c r="FQ40" s="64">
        <f t="shared" si="160"/>
        <v>15569024.773900004</v>
      </c>
      <c r="FR40" s="64">
        <f t="shared" si="160"/>
        <v>15569024.773900004</v>
      </c>
      <c r="FS40" s="64">
        <f t="shared" si="160"/>
        <v>15569024.773900004</v>
      </c>
      <c r="FT40" s="64">
        <f t="shared" si="160"/>
        <v>15569024.773900004</v>
      </c>
      <c r="FU40" s="64">
        <f t="shared" si="160"/>
        <v>15569024.773900004</v>
      </c>
      <c r="FV40" s="64">
        <f t="shared" si="160"/>
        <v>15569024.773900004</v>
      </c>
      <c r="FW40" s="64">
        <f t="shared" si="160"/>
        <v>15569024.773900004</v>
      </c>
      <c r="FX40" s="64">
        <f t="shared" si="160"/>
        <v>15569024.773900004</v>
      </c>
      <c r="FY40" s="64">
        <f t="shared" si="160"/>
        <v>15569024.773900004</v>
      </c>
      <c r="FZ40" s="64">
        <f t="shared" si="160"/>
        <v>15569024.773900004</v>
      </c>
      <c r="GA40" s="64">
        <f t="shared" si="160"/>
        <v>15569024.773900004</v>
      </c>
      <c r="GB40" s="64">
        <f t="shared" si="160"/>
        <v>15569024.773900004</v>
      </c>
      <c r="GC40" s="64">
        <f t="shared" si="160"/>
        <v>15569024.773900004</v>
      </c>
      <c r="GD40" s="64">
        <f t="shared" si="160"/>
        <v>15569024.773900004</v>
      </c>
      <c r="GE40" s="64">
        <f t="shared" si="160"/>
        <v>15569024.773900004</v>
      </c>
      <c r="GF40" s="64">
        <f t="shared" si="160"/>
        <v>15569024.773900004</v>
      </c>
      <c r="GG40" s="64">
        <f t="shared" si="160"/>
        <v>15569024.773900004</v>
      </c>
      <c r="GH40" s="64">
        <f t="shared" si="160"/>
        <v>15569024.773900004</v>
      </c>
      <c r="GI40" s="64">
        <f t="shared" si="160"/>
        <v>15569024.773900004</v>
      </c>
      <c r="GJ40" s="64">
        <f t="shared" si="160"/>
        <v>15569024.773900004</v>
      </c>
      <c r="GK40" s="64">
        <f t="shared" si="160"/>
        <v>15569024.773900004</v>
      </c>
      <c r="GL40" s="64">
        <f t="shared" si="160"/>
        <v>15569024.773900004</v>
      </c>
      <c r="GM40" s="64">
        <f t="shared" si="160"/>
        <v>16167833.419050006</v>
      </c>
      <c r="GN40" s="64">
        <f t="shared" ref="GN40:IH40" si="161">SUM(GN41:GN49)</f>
        <v>16167833.419050006</v>
      </c>
      <c r="GO40" s="64">
        <f t="shared" si="161"/>
        <v>16167833.419050006</v>
      </c>
      <c r="GP40" s="64">
        <f t="shared" si="161"/>
        <v>16167833.419050006</v>
      </c>
      <c r="GQ40" s="64">
        <f t="shared" si="161"/>
        <v>16167833.419050006</v>
      </c>
      <c r="GR40" s="64">
        <f t="shared" si="161"/>
        <v>16167833.419050006</v>
      </c>
      <c r="GS40" s="64">
        <f t="shared" si="161"/>
        <v>16167833.419050006</v>
      </c>
      <c r="GT40" s="64">
        <f t="shared" si="161"/>
        <v>16167833.419050006</v>
      </c>
      <c r="GU40" s="64">
        <f t="shared" si="161"/>
        <v>16167833.419050006</v>
      </c>
      <c r="GV40" s="64">
        <f t="shared" si="161"/>
        <v>16167833.419050006</v>
      </c>
      <c r="GW40" s="64">
        <f t="shared" si="161"/>
        <v>16167833.419050006</v>
      </c>
      <c r="GX40" s="64">
        <f t="shared" si="161"/>
        <v>16167833.419050006</v>
      </c>
      <c r="GY40" s="64">
        <f t="shared" si="161"/>
        <v>16167833.419050006</v>
      </c>
      <c r="GZ40" s="64">
        <f t="shared" si="161"/>
        <v>16167833.419050006</v>
      </c>
      <c r="HA40" s="64">
        <f t="shared" si="161"/>
        <v>16167833.419050006</v>
      </c>
      <c r="HB40" s="64">
        <f t="shared" si="161"/>
        <v>16167833.419050006</v>
      </c>
      <c r="HC40" s="64">
        <f t="shared" si="161"/>
        <v>16167833.419050006</v>
      </c>
      <c r="HD40" s="64">
        <f t="shared" si="161"/>
        <v>16167833.419050006</v>
      </c>
      <c r="HE40" s="64">
        <f t="shared" si="161"/>
        <v>16167833.419050006</v>
      </c>
      <c r="HF40" s="64">
        <f t="shared" si="161"/>
        <v>16167833.419050006</v>
      </c>
      <c r="HG40" s="64">
        <f t="shared" si="161"/>
        <v>16167833.419050006</v>
      </c>
      <c r="HH40" s="64">
        <f t="shared" si="161"/>
        <v>16167833.419050006</v>
      </c>
      <c r="HI40" s="64">
        <f t="shared" si="161"/>
        <v>16167833.419050006</v>
      </c>
      <c r="HJ40" s="64">
        <f t="shared" si="161"/>
        <v>16167833.419050006</v>
      </c>
      <c r="HK40" s="64">
        <f t="shared" si="161"/>
        <v>16766642.064200005</v>
      </c>
      <c r="HL40" s="64">
        <f t="shared" si="161"/>
        <v>16766642.064200005</v>
      </c>
      <c r="HM40" s="64">
        <f t="shared" si="161"/>
        <v>16766642.064200005</v>
      </c>
      <c r="HN40" s="64">
        <f t="shared" si="161"/>
        <v>16766642.064200005</v>
      </c>
      <c r="HO40" s="64">
        <f t="shared" si="161"/>
        <v>16766642.064200005</v>
      </c>
      <c r="HP40" s="64">
        <f t="shared" si="161"/>
        <v>16766642.064200005</v>
      </c>
      <c r="HQ40" s="64">
        <f t="shared" si="161"/>
        <v>16766642.064200005</v>
      </c>
      <c r="HR40" s="64">
        <f t="shared" si="161"/>
        <v>16766642.064200005</v>
      </c>
      <c r="HS40" s="64">
        <f t="shared" si="161"/>
        <v>16766642.064200005</v>
      </c>
      <c r="HT40" s="64">
        <f t="shared" si="161"/>
        <v>16766642.064200005</v>
      </c>
      <c r="HU40" s="64">
        <f t="shared" si="161"/>
        <v>16766642.064200005</v>
      </c>
      <c r="HV40" s="64">
        <f t="shared" si="161"/>
        <v>16766642.064200005</v>
      </c>
      <c r="HW40" s="64">
        <f t="shared" si="161"/>
        <v>16766642.064200005</v>
      </c>
      <c r="HX40" s="64">
        <f t="shared" si="161"/>
        <v>16766642.064200005</v>
      </c>
      <c r="HY40" s="64">
        <f t="shared" si="161"/>
        <v>16766642.064200005</v>
      </c>
      <c r="HZ40" s="64">
        <f t="shared" si="161"/>
        <v>16766642.064200005</v>
      </c>
      <c r="IA40" s="64">
        <f t="shared" si="161"/>
        <v>16766642.064200005</v>
      </c>
      <c r="IB40" s="64">
        <f t="shared" si="161"/>
        <v>16766642.064200005</v>
      </c>
      <c r="IC40" s="64">
        <f t="shared" si="161"/>
        <v>16766642.064200005</v>
      </c>
      <c r="ID40" s="64">
        <f t="shared" si="161"/>
        <v>16766642.064200005</v>
      </c>
      <c r="IE40" s="64">
        <f t="shared" si="161"/>
        <v>16766642.064200005</v>
      </c>
      <c r="IF40" s="64">
        <f t="shared" si="161"/>
        <v>16766642.064200005</v>
      </c>
      <c r="IG40" s="64">
        <f t="shared" si="161"/>
        <v>16766642.064200005</v>
      </c>
      <c r="IH40" s="64">
        <f t="shared" si="161"/>
        <v>16766642.064200005</v>
      </c>
      <c r="II40" s="68">
        <f>SUM(C40:IH40)</f>
        <v>2925426799.8234029</v>
      </c>
    </row>
    <row r="41" spans="1:243" x14ac:dyDescent="0.45">
      <c r="A41" s="58" t="s">
        <v>198</v>
      </c>
      <c r="B41" s="61">
        <f>'WH Schedule'!S21</f>
        <v>117712.22400000002</v>
      </c>
      <c r="C41" s="24">
        <f>$B41*C24*C5</f>
        <v>0</v>
      </c>
      <c r="D41" s="24">
        <f t="shared" ref="D41:BO41" si="162">$B41*D24*D5</f>
        <v>0</v>
      </c>
      <c r="E41" s="24">
        <f t="shared" si="162"/>
        <v>0</v>
      </c>
      <c r="F41" s="24">
        <f t="shared" si="162"/>
        <v>0</v>
      </c>
      <c r="G41" s="24">
        <f t="shared" si="162"/>
        <v>0</v>
      </c>
      <c r="H41" s="24">
        <f t="shared" si="162"/>
        <v>0</v>
      </c>
      <c r="I41" s="24">
        <f t="shared" si="162"/>
        <v>0</v>
      </c>
      <c r="J41" s="24">
        <f t="shared" si="162"/>
        <v>0</v>
      </c>
      <c r="K41" s="24">
        <f t="shared" si="162"/>
        <v>0</v>
      </c>
      <c r="L41" s="24">
        <f t="shared" si="162"/>
        <v>0</v>
      </c>
      <c r="M41" s="24">
        <f t="shared" si="162"/>
        <v>0</v>
      </c>
      <c r="N41" s="24">
        <f t="shared" si="162"/>
        <v>0</v>
      </c>
      <c r="O41" s="24">
        <f t="shared" si="162"/>
        <v>0</v>
      </c>
      <c r="P41" s="24">
        <f t="shared" si="162"/>
        <v>0</v>
      </c>
      <c r="Q41" s="24">
        <f t="shared" si="162"/>
        <v>0</v>
      </c>
      <c r="R41" s="24">
        <f t="shared" si="162"/>
        <v>0</v>
      </c>
      <c r="S41" s="24">
        <f t="shared" si="162"/>
        <v>0</v>
      </c>
      <c r="T41" s="24">
        <f t="shared" si="162"/>
        <v>0</v>
      </c>
      <c r="U41" s="24">
        <f t="shared" si="162"/>
        <v>0</v>
      </c>
      <c r="V41" s="24">
        <f t="shared" si="162"/>
        <v>0</v>
      </c>
      <c r="W41" s="24">
        <f t="shared" si="162"/>
        <v>0</v>
      </c>
      <c r="X41" s="24">
        <f t="shared" si="162"/>
        <v>0</v>
      </c>
      <c r="Y41" s="24">
        <f t="shared" si="162"/>
        <v>0</v>
      </c>
      <c r="Z41" s="24">
        <f t="shared" si="162"/>
        <v>0</v>
      </c>
      <c r="AA41" s="24">
        <f t="shared" si="162"/>
        <v>1611186.0660000001</v>
      </c>
      <c r="AB41" s="24">
        <f t="shared" si="162"/>
        <v>1611186.0660000001</v>
      </c>
      <c r="AC41" s="24">
        <f t="shared" si="162"/>
        <v>1611186.0660000001</v>
      </c>
      <c r="AD41" s="24">
        <f t="shared" si="162"/>
        <v>1611186.0660000001</v>
      </c>
      <c r="AE41" s="24">
        <f t="shared" si="162"/>
        <v>1611186.0660000001</v>
      </c>
      <c r="AF41" s="24">
        <f t="shared" si="162"/>
        <v>1611186.0660000001</v>
      </c>
      <c r="AG41" s="24">
        <f t="shared" si="162"/>
        <v>1611186.0660000001</v>
      </c>
      <c r="AH41" s="24">
        <f t="shared" si="162"/>
        <v>1611186.0660000001</v>
      </c>
      <c r="AI41" s="24">
        <f t="shared" si="162"/>
        <v>1611186.0660000001</v>
      </c>
      <c r="AJ41" s="24">
        <f t="shared" si="162"/>
        <v>1611186.0660000001</v>
      </c>
      <c r="AK41" s="24">
        <f t="shared" si="162"/>
        <v>1611186.0660000001</v>
      </c>
      <c r="AL41" s="24">
        <f t="shared" si="162"/>
        <v>1611186.0660000001</v>
      </c>
      <c r="AM41" s="24">
        <f t="shared" si="162"/>
        <v>2685310.1100000003</v>
      </c>
      <c r="AN41" s="24">
        <f t="shared" si="162"/>
        <v>2685310.1100000003</v>
      </c>
      <c r="AO41" s="24">
        <f t="shared" si="162"/>
        <v>2685310.1100000003</v>
      </c>
      <c r="AP41" s="24">
        <f t="shared" si="162"/>
        <v>2685310.1100000003</v>
      </c>
      <c r="AQ41" s="24">
        <f t="shared" si="162"/>
        <v>2685310.1100000003</v>
      </c>
      <c r="AR41" s="24">
        <f t="shared" si="162"/>
        <v>2685310.1100000003</v>
      </c>
      <c r="AS41" s="24">
        <f t="shared" si="162"/>
        <v>2685310.1100000003</v>
      </c>
      <c r="AT41" s="24">
        <f t="shared" si="162"/>
        <v>2685310.1100000003</v>
      </c>
      <c r="AU41" s="24">
        <f t="shared" si="162"/>
        <v>2685310.1100000003</v>
      </c>
      <c r="AV41" s="24">
        <f t="shared" si="162"/>
        <v>2685310.1100000003</v>
      </c>
      <c r="AW41" s="24">
        <f t="shared" si="162"/>
        <v>2685310.1100000003</v>
      </c>
      <c r="AX41" s="24">
        <f t="shared" si="162"/>
        <v>2685310.1100000003</v>
      </c>
      <c r="AY41" s="24">
        <f t="shared" si="162"/>
        <v>3947405.8617000002</v>
      </c>
      <c r="AZ41" s="24">
        <f t="shared" si="162"/>
        <v>3947405.8617000002</v>
      </c>
      <c r="BA41" s="24">
        <f t="shared" si="162"/>
        <v>3947405.8617000002</v>
      </c>
      <c r="BB41" s="24">
        <f t="shared" si="162"/>
        <v>3947405.8617000002</v>
      </c>
      <c r="BC41" s="24">
        <f t="shared" si="162"/>
        <v>3947405.8617000002</v>
      </c>
      <c r="BD41" s="24">
        <f t="shared" si="162"/>
        <v>3947405.8617000002</v>
      </c>
      <c r="BE41" s="24">
        <f t="shared" si="162"/>
        <v>3947405.8617000002</v>
      </c>
      <c r="BF41" s="24">
        <f t="shared" si="162"/>
        <v>3947405.8617000002</v>
      </c>
      <c r="BG41" s="24">
        <f t="shared" si="162"/>
        <v>3947405.8617000002</v>
      </c>
      <c r="BH41" s="24">
        <f t="shared" si="162"/>
        <v>3947405.8617000002</v>
      </c>
      <c r="BI41" s="24">
        <f t="shared" si="162"/>
        <v>3947405.8617000002</v>
      </c>
      <c r="BJ41" s="24">
        <f t="shared" si="162"/>
        <v>3947405.8617000002</v>
      </c>
      <c r="BK41" s="24">
        <f t="shared" si="162"/>
        <v>4793278.5463500004</v>
      </c>
      <c r="BL41" s="24">
        <f t="shared" si="162"/>
        <v>4793278.5463500004</v>
      </c>
      <c r="BM41" s="24">
        <f t="shared" si="162"/>
        <v>4793278.5463500004</v>
      </c>
      <c r="BN41" s="24">
        <f t="shared" si="162"/>
        <v>4793278.5463500004</v>
      </c>
      <c r="BO41" s="24">
        <f t="shared" si="162"/>
        <v>4793278.5463500004</v>
      </c>
      <c r="BP41" s="24">
        <f t="shared" ref="BP41:EA41" si="163">$B41*BP24*BP5</f>
        <v>4793278.5463500004</v>
      </c>
      <c r="BQ41" s="24">
        <f t="shared" si="163"/>
        <v>4793278.5463500004</v>
      </c>
      <c r="BR41" s="24">
        <f t="shared" si="163"/>
        <v>4793278.5463500004</v>
      </c>
      <c r="BS41" s="24">
        <f t="shared" si="163"/>
        <v>4793278.5463500004</v>
      </c>
      <c r="BT41" s="24">
        <f t="shared" si="163"/>
        <v>4793278.5463500004</v>
      </c>
      <c r="BU41" s="24">
        <f t="shared" si="163"/>
        <v>4793278.5463500004</v>
      </c>
      <c r="BV41" s="24">
        <f t="shared" si="163"/>
        <v>4793278.5463500004</v>
      </c>
      <c r="BW41" s="24">
        <f t="shared" si="163"/>
        <v>5021529.9057000009</v>
      </c>
      <c r="BX41" s="24">
        <f t="shared" si="163"/>
        <v>5021529.9057000009</v>
      </c>
      <c r="BY41" s="24">
        <f t="shared" si="163"/>
        <v>5021529.9057000009</v>
      </c>
      <c r="BZ41" s="24">
        <f t="shared" si="163"/>
        <v>5021529.9057000009</v>
      </c>
      <c r="CA41" s="24">
        <f t="shared" si="163"/>
        <v>5021529.9057000009</v>
      </c>
      <c r="CB41" s="24">
        <f t="shared" si="163"/>
        <v>5021529.9057000009</v>
      </c>
      <c r="CC41" s="24">
        <f t="shared" si="163"/>
        <v>5021529.9057000009</v>
      </c>
      <c r="CD41" s="24">
        <f t="shared" si="163"/>
        <v>5021529.9057000009</v>
      </c>
      <c r="CE41" s="24">
        <f t="shared" si="163"/>
        <v>5021529.9057000009</v>
      </c>
      <c r="CF41" s="24">
        <f t="shared" si="163"/>
        <v>5021529.9057000009</v>
      </c>
      <c r="CG41" s="24">
        <f t="shared" si="163"/>
        <v>5021529.9057000009</v>
      </c>
      <c r="CH41" s="24">
        <f t="shared" si="163"/>
        <v>5021529.9057000009</v>
      </c>
      <c r="CI41" s="24">
        <f t="shared" si="163"/>
        <v>5021529.9057000009</v>
      </c>
      <c r="CJ41" s="24">
        <f t="shared" si="163"/>
        <v>5021529.9057000009</v>
      </c>
      <c r="CK41" s="24">
        <f t="shared" si="163"/>
        <v>5021529.9057000009</v>
      </c>
      <c r="CL41" s="24">
        <f t="shared" si="163"/>
        <v>5021529.9057000009</v>
      </c>
      <c r="CM41" s="24">
        <f t="shared" si="163"/>
        <v>5021529.9057000009</v>
      </c>
      <c r="CN41" s="24">
        <f t="shared" si="163"/>
        <v>5021529.9057000009</v>
      </c>
      <c r="CO41" s="24">
        <f t="shared" si="163"/>
        <v>5021529.9057000009</v>
      </c>
      <c r="CP41" s="24">
        <f t="shared" si="163"/>
        <v>5021529.9057000009</v>
      </c>
      <c r="CQ41" s="24">
        <f t="shared" si="163"/>
        <v>5021529.9057000009</v>
      </c>
      <c r="CR41" s="24">
        <f t="shared" si="163"/>
        <v>5021529.9057000009</v>
      </c>
      <c r="CS41" s="24">
        <f t="shared" si="163"/>
        <v>5021529.9057000009</v>
      </c>
      <c r="CT41" s="24">
        <f t="shared" si="163"/>
        <v>5021529.9057000009</v>
      </c>
      <c r="CU41" s="24">
        <f t="shared" si="163"/>
        <v>5249781.2650500014</v>
      </c>
      <c r="CV41" s="24">
        <f t="shared" si="163"/>
        <v>5249781.2650500014</v>
      </c>
      <c r="CW41" s="24">
        <f t="shared" si="163"/>
        <v>5249781.2650500014</v>
      </c>
      <c r="CX41" s="24">
        <f t="shared" si="163"/>
        <v>5249781.2650500014</v>
      </c>
      <c r="CY41" s="24">
        <f t="shared" si="163"/>
        <v>5249781.2650500014</v>
      </c>
      <c r="CZ41" s="24">
        <f t="shared" si="163"/>
        <v>5249781.2650500014</v>
      </c>
      <c r="DA41" s="24">
        <f t="shared" si="163"/>
        <v>5249781.2650500014</v>
      </c>
      <c r="DB41" s="24">
        <f t="shared" si="163"/>
        <v>5249781.2650500014</v>
      </c>
      <c r="DC41" s="24">
        <f t="shared" si="163"/>
        <v>5249781.2650500014</v>
      </c>
      <c r="DD41" s="24">
        <f t="shared" si="163"/>
        <v>5249781.2650500014</v>
      </c>
      <c r="DE41" s="24">
        <f t="shared" si="163"/>
        <v>5249781.2650500014</v>
      </c>
      <c r="DF41" s="24">
        <f t="shared" si="163"/>
        <v>5249781.2650500014</v>
      </c>
      <c r="DG41" s="24">
        <f t="shared" si="163"/>
        <v>5249781.2650500014</v>
      </c>
      <c r="DH41" s="24">
        <f t="shared" si="163"/>
        <v>5249781.2650500014</v>
      </c>
      <c r="DI41" s="24">
        <f t="shared" si="163"/>
        <v>5249781.2650500014</v>
      </c>
      <c r="DJ41" s="24">
        <f t="shared" si="163"/>
        <v>5249781.2650500014</v>
      </c>
      <c r="DK41" s="24">
        <f t="shared" si="163"/>
        <v>5249781.2650500014</v>
      </c>
      <c r="DL41" s="24">
        <f t="shared" si="163"/>
        <v>5249781.2650500014</v>
      </c>
      <c r="DM41" s="24">
        <f t="shared" si="163"/>
        <v>5249781.2650500014</v>
      </c>
      <c r="DN41" s="24">
        <f t="shared" si="163"/>
        <v>5249781.2650500014</v>
      </c>
      <c r="DO41" s="24">
        <f t="shared" si="163"/>
        <v>5249781.2650500014</v>
      </c>
      <c r="DP41" s="24">
        <f t="shared" si="163"/>
        <v>5249781.2650500014</v>
      </c>
      <c r="DQ41" s="24">
        <f t="shared" si="163"/>
        <v>5249781.2650500014</v>
      </c>
      <c r="DR41" s="24">
        <f t="shared" si="163"/>
        <v>5249781.2650500014</v>
      </c>
      <c r="DS41" s="24">
        <f t="shared" si="163"/>
        <v>5478032.624400001</v>
      </c>
      <c r="DT41" s="24">
        <f t="shared" si="163"/>
        <v>5478032.624400001</v>
      </c>
      <c r="DU41" s="24">
        <f t="shared" si="163"/>
        <v>5478032.624400001</v>
      </c>
      <c r="DV41" s="24">
        <f t="shared" si="163"/>
        <v>5478032.624400001</v>
      </c>
      <c r="DW41" s="24">
        <f t="shared" si="163"/>
        <v>5478032.624400001</v>
      </c>
      <c r="DX41" s="24">
        <f t="shared" si="163"/>
        <v>5478032.624400001</v>
      </c>
      <c r="DY41" s="24">
        <f t="shared" si="163"/>
        <v>5478032.624400001</v>
      </c>
      <c r="DZ41" s="24">
        <f t="shared" si="163"/>
        <v>5478032.624400001</v>
      </c>
      <c r="EA41" s="24">
        <f t="shared" si="163"/>
        <v>5478032.624400001</v>
      </c>
      <c r="EB41" s="24">
        <f t="shared" ref="EB41:GM41" si="164">$B41*EB24*EB5</f>
        <v>5478032.624400001</v>
      </c>
      <c r="EC41" s="24">
        <f t="shared" si="164"/>
        <v>5478032.624400001</v>
      </c>
      <c r="ED41" s="24">
        <f t="shared" si="164"/>
        <v>5478032.624400001</v>
      </c>
      <c r="EE41" s="24">
        <f t="shared" si="164"/>
        <v>5478032.624400001</v>
      </c>
      <c r="EF41" s="24">
        <f t="shared" si="164"/>
        <v>5478032.624400001</v>
      </c>
      <c r="EG41" s="24">
        <f t="shared" si="164"/>
        <v>5478032.624400001</v>
      </c>
      <c r="EH41" s="24">
        <f t="shared" si="164"/>
        <v>5478032.624400001</v>
      </c>
      <c r="EI41" s="24">
        <f t="shared" si="164"/>
        <v>5478032.624400001</v>
      </c>
      <c r="EJ41" s="24">
        <f t="shared" si="164"/>
        <v>5478032.624400001</v>
      </c>
      <c r="EK41" s="24">
        <f t="shared" si="164"/>
        <v>5478032.624400001</v>
      </c>
      <c r="EL41" s="24">
        <f t="shared" si="164"/>
        <v>5478032.624400001</v>
      </c>
      <c r="EM41" s="24">
        <f t="shared" si="164"/>
        <v>5478032.624400001</v>
      </c>
      <c r="EN41" s="24">
        <f t="shared" si="164"/>
        <v>5478032.624400001</v>
      </c>
      <c r="EO41" s="24">
        <f t="shared" si="164"/>
        <v>5478032.624400001</v>
      </c>
      <c r="EP41" s="24">
        <f t="shared" si="164"/>
        <v>5478032.624400001</v>
      </c>
      <c r="EQ41" s="24">
        <f t="shared" si="164"/>
        <v>5706283.9837500015</v>
      </c>
      <c r="ER41" s="24">
        <f t="shared" si="164"/>
        <v>5706283.9837500015</v>
      </c>
      <c r="ES41" s="24">
        <f t="shared" si="164"/>
        <v>5706283.9837500015</v>
      </c>
      <c r="ET41" s="24">
        <f t="shared" si="164"/>
        <v>5706283.9837500015</v>
      </c>
      <c r="EU41" s="24">
        <f t="shared" si="164"/>
        <v>5706283.9837500015</v>
      </c>
      <c r="EV41" s="24">
        <f t="shared" si="164"/>
        <v>5706283.9837500015</v>
      </c>
      <c r="EW41" s="24">
        <f t="shared" si="164"/>
        <v>5706283.9837500015</v>
      </c>
      <c r="EX41" s="24">
        <f t="shared" si="164"/>
        <v>5706283.9837500015</v>
      </c>
      <c r="EY41" s="24">
        <f t="shared" si="164"/>
        <v>5706283.9837500015</v>
      </c>
      <c r="EZ41" s="24">
        <f t="shared" si="164"/>
        <v>5706283.9837500015</v>
      </c>
      <c r="FA41" s="24">
        <f t="shared" si="164"/>
        <v>5706283.9837500015</v>
      </c>
      <c r="FB41" s="24">
        <f t="shared" si="164"/>
        <v>5706283.9837500015</v>
      </c>
      <c r="FC41" s="24">
        <f t="shared" si="164"/>
        <v>5706283.9837500015</v>
      </c>
      <c r="FD41" s="24">
        <f t="shared" si="164"/>
        <v>5706283.9837500015</v>
      </c>
      <c r="FE41" s="24">
        <f t="shared" si="164"/>
        <v>5706283.9837500015</v>
      </c>
      <c r="FF41" s="24">
        <f t="shared" si="164"/>
        <v>5706283.9837500015</v>
      </c>
      <c r="FG41" s="24">
        <f t="shared" si="164"/>
        <v>5706283.9837500015</v>
      </c>
      <c r="FH41" s="24">
        <f t="shared" si="164"/>
        <v>5706283.9837500015</v>
      </c>
      <c r="FI41" s="24">
        <f t="shared" si="164"/>
        <v>5706283.9837500015</v>
      </c>
      <c r="FJ41" s="24">
        <f t="shared" si="164"/>
        <v>5706283.9837500015</v>
      </c>
      <c r="FK41" s="24">
        <f t="shared" si="164"/>
        <v>5706283.9837500015</v>
      </c>
      <c r="FL41" s="24">
        <f t="shared" si="164"/>
        <v>5706283.9837500015</v>
      </c>
      <c r="FM41" s="24">
        <f t="shared" si="164"/>
        <v>5706283.9837500015</v>
      </c>
      <c r="FN41" s="24">
        <f t="shared" si="164"/>
        <v>5706283.9837500015</v>
      </c>
      <c r="FO41" s="24">
        <f t="shared" si="164"/>
        <v>5934535.343100002</v>
      </c>
      <c r="FP41" s="24">
        <f t="shared" si="164"/>
        <v>5934535.343100002</v>
      </c>
      <c r="FQ41" s="24">
        <f t="shared" si="164"/>
        <v>5934535.343100002</v>
      </c>
      <c r="FR41" s="24">
        <f t="shared" si="164"/>
        <v>5934535.343100002</v>
      </c>
      <c r="FS41" s="24">
        <f t="shared" si="164"/>
        <v>5934535.343100002</v>
      </c>
      <c r="FT41" s="24">
        <f t="shared" si="164"/>
        <v>5934535.343100002</v>
      </c>
      <c r="FU41" s="24">
        <f t="shared" si="164"/>
        <v>5934535.343100002</v>
      </c>
      <c r="FV41" s="24">
        <f t="shared" si="164"/>
        <v>5934535.343100002</v>
      </c>
      <c r="FW41" s="24">
        <f t="shared" si="164"/>
        <v>5934535.343100002</v>
      </c>
      <c r="FX41" s="24">
        <f t="shared" si="164"/>
        <v>5934535.343100002</v>
      </c>
      <c r="FY41" s="24">
        <f t="shared" si="164"/>
        <v>5934535.343100002</v>
      </c>
      <c r="FZ41" s="24">
        <f t="shared" si="164"/>
        <v>5934535.343100002</v>
      </c>
      <c r="GA41" s="24">
        <f t="shared" si="164"/>
        <v>5934535.343100002</v>
      </c>
      <c r="GB41" s="24">
        <f t="shared" si="164"/>
        <v>5934535.343100002</v>
      </c>
      <c r="GC41" s="24">
        <f t="shared" si="164"/>
        <v>5934535.343100002</v>
      </c>
      <c r="GD41" s="24">
        <f t="shared" si="164"/>
        <v>5934535.343100002</v>
      </c>
      <c r="GE41" s="24">
        <f t="shared" si="164"/>
        <v>5934535.343100002</v>
      </c>
      <c r="GF41" s="24">
        <f t="shared" si="164"/>
        <v>5934535.343100002</v>
      </c>
      <c r="GG41" s="24">
        <f t="shared" si="164"/>
        <v>5934535.343100002</v>
      </c>
      <c r="GH41" s="24">
        <f t="shared" si="164"/>
        <v>5934535.343100002</v>
      </c>
      <c r="GI41" s="24">
        <f t="shared" si="164"/>
        <v>5934535.343100002</v>
      </c>
      <c r="GJ41" s="24">
        <f t="shared" si="164"/>
        <v>5934535.343100002</v>
      </c>
      <c r="GK41" s="24">
        <f t="shared" si="164"/>
        <v>5934535.343100002</v>
      </c>
      <c r="GL41" s="24">
        <f t="shared" si="164"/>
        <v>5934535.343100002</v>
      </c>
      <c r="GM41" s="24">
        <f t="shared" si="164"/>
        <v>6162786.7024500025</v>
      </c>
      <c r="GN41" s="24">
        <f t="shared" ref="GN41:IH41" si="165">$B41*GN24*GN5</f>
        <v>6162786.7024500025</v>
      </c>
      <c r="GO41" s="24">
        <f t="shared" si="165"/>
        <v>6162786.7024500025</v>
      </c>
      <c r="GP41" s="24">
        <f t="shared" si="165"/>
        <v>6162786.7024500025</v>
      </c>
      <c r="GQ41" s="24">
        <f t="shared" si="165"/>
        <v>6162786.7024500025</v>
      </c>
      <c r="GR41" s="24">
        <f t="shared" si="165"/>
        <v>6162786.7024500025</v>
      </c>
      <c r="GS41" s="24">
        <f t="shared" si="165"/>
        <v>6162786.7024500025</v>
      </c>
      <c r="GT41" s="24">
        <f t="shared" si="165"/>
        <v>6162786.7024500025</v>
      </c>
      <c r="GU41" s="24">
        <f t="shared" si="165"/>
        <v>6162786.7024500025</v>
      </c>
      <c r="GV41" s="24">
        <f t="shared" si="165"/>
        <v>6162786.7024500025</v>
      </c>
      <c r="GW41" s="24">
        <f t="shared" si="165"/>
        <v>6162786.7024500025</v>
      </c>
      <c r="GX41" s="24">
        <f t="shared" si="165"/>
        <v>6162786.7024500025</v>
      </c>
      <c r="GY41" s="24">
        <f t="shared" si="165"/>
        <v>6162786.7024500025</v>
      </c>
      <c r="GZ41" s="24">
        <f t="shared" si="165"/>
        <v>6162786.7024500025</v>
      </c>
      <c r="HA41" s="24">
        <f t="shared" si="165"/>
        <v>6162786.7024500025</v>
      </c>
      <c r="HB41" s="24">
        <f t="shared" si="165"/>
        <v>6162786.7024500025</v>
      </c>
      <c r="HC41" s="24">
        <f t="shared" si="165"/>
        <v>6162786.7024500025</v>
      </c>
      <c r="HD41" s="24">
        <f t="shared" si="165"/>
        <v>6162786.7024500025</v>
      </c>
      <c r="HE41" s="24">
        <f t="shared" si="165"/>
        <v>6162786.7024500025</v>
      </c>
      <c r="HF41" s="24">
        <f t="shared" si="165"/>
        <v>6162786.7024500025</v>
      </c>
      <c r="HG41" s="24">
        <f t="shared" si="165"/>
        <v>6162786.7024500025</v>
      </c>
      <c r="HH41" s="24">
        <f t="shared" si="165"/>
        <v>6162786.7024500025</v>
      </c>
      <c r="HI41" s="24">
        <f t="shared" si="165"/>
        <v>6162786.7024500025</v>
      </c>
      <c r="HJ41" s="24">
        <f t="shared" si="165"/>
        <v>6162786.7024500025</v>
      </c>
      <c r="HK41" s="24">
        <f t="shared" si="165"/>
        <v>6391038.0618000021</v>
      </c>
      <c r="HL41" s="24">
        <f t="shared" si="165"/>
        <v>6391038.0618000021</v>
      </c>
      <c r="HM41" s="24">
        <f t="shared" si="165"/>
        <v>6391038.0618000021</v>
      </c>
      <c r="HN41" s="24">
        <f t="shared" si="165"/>
        <v>6391038.0618000021</v>
      </c>
      <c r="HO41" s="24">
        <f t="shared" si="165"/>
        <v>6391038.0618000021</v>
      </c>
      <c r="HP41" s="24">
        <f t="shared" si="165"/>
        <v>6391038.0618000021</v>
      </c>
      <c r="HQ41" s="24">
        <f t="shared" si="165"/>
        <v>6391038.0618000021</v>
      </c>
      <c r="HR41" s="24">
        <f t="shared" si="165"/>
        <v>6391038.0618000021</v>
      </c>
      <c r="HS41" s="24">
        <f t="shared" si="165"/>
        <v>6391038.0618000021</v>
      </c>
      <c r="HT41" s="24">
        <f t="shared" si="165"/>
        <v>6391038.0618000021</v>
      </c>
      <c r="HU41" s="24">
        <f t="shared" si="165"/>
        <v>6391038.0618000021</v>
      </c>
      <c r="HV41" s="24">
        <f t="shared" si="165"/>
        <v>6391038.0618000021</v>
      </c>
      <c r="HW41" s="24">
        <f t="shared" si="165"/>
        <v>6391038.0618000021</v>
      </c>
      <c r="HX41" s="24">
        <f t="shared" si="165"/>
        <v>6391038.0618000021</v>
      </c>
      <c r="HY41" s="24">
        <f t="shared" si="165"/>
        <v>6391038.0618000021</v>
      </c>
      <c r="HZ41" s="24">
        <f t="shared" si="165"/>
        <v>6391038.0618000021</v>
      </c>
      <c r="IA41" s="24">
        <f t="shared" si="165"/>
        <v>6391038.0618000021</v>
      </c>
      <c r="IB41" s="24">
        <f t="shared" si="165"/>
        <v>6391038.0618000021</v>
      </c>
      <c r="IC41" s="24">
        <f t="shared" si="165"/>
        <v>6391038.0618000021</v>
      </c>
      <c r="ID41" s="24">
        <f t="shared" si="165"/>
        <v>6391038.0618000021</v>
      </c>
      <c r="IE41" s="24">
        <f t="shared" si="165"/>
        <v>6391038.0618000021</v>
      </c>
      <c r="IF41" s="24">
        <f t="shared" si="165"/>
        <v>6391038.0618000021</v>
      </c>
      <c r="IG41" s="24">
        <f t="shared" si="165"/>
        <v>6391038.0618000021</v>
      </c>
      <c r="IH41" s="24">
        <f t="shared" si="165"/>
        <v>6391038.0618000021</v>
      </c>
      <c r="II41" s="20">
        <f>SUM(C41:IH41)</f>
        <v>1115101876.2785997</v>
      </c>
    </row>
    <row r="42" spans="1:243" x14ac:dyDescent="0.45">
      <c r="A42" s="58" t="s">
        <v>199</v>
      </c>
      <c r="B42" s="61">
        <f>'WH Schedule'!U21</f>
        <v>58856.112000000008</v>
      </c>
      <c r="C42" s="24">
        <f>$B42*C25*C6</f>
        <v>0</v>
      </c>
      <c r="D42" s="24">
        <f t="shared" ref="D42:BO43" si="166">$B42*D25*D6</f>
        <v>0</v>
      </c>
      <c r="E42" s="24">
        <f t="shared" si="166"/>
        <v>0</v>
      </c>
      <c r="F42" s="24">
        <f t="shared" si="166"/>
        <v>0</v>
      </c>
      <c r="G42" s="24">
        <f t="shared" si="166"/>
        <v>0</v>
      </c>
      <c r="H42" s="24">
        <f t="shared" si="166"/>
        <v>0</v>
      </c>
      <c r="I42" s="24">
        <f t="shared" si="166"/>
        <v>0</v>
      </c>
      <c r="J42" s="24">
        <f t="shared" si="166"/>
        <v>0</v>
      </c>
      <c r="K42" s="24">
        <f t="shared" si="166"/>
        <v>0</v>
      </c>
      <c r="L42" s="24">
        <f t="shared" si="166"/>
        <v>0</v>
      </c>
      <c r="M42" s="24">
        <f t="shared" si="166"/>
        <v>0</v>
      </c>
      <c r="N42" s="24">
        <f t="shared" si="166"/>
        <v>0</v>
      </c>
      <c r="O42" s="24">
        <f t="shared" si="166"/>
        <v>0</v>
      </c>
      <c r="P42" s="24">
        <f t="shared" si="166"/>
        <v>0</v>
      </c>
      <c r="Q42" s="24">
        <f t="shared" si="166"/>
        <v>0</v>
      </c>
      <c r="R42" s="24">
        <f t="shared" si="166"/>
        <v>0</v>
      </c>
      <c r="S42" s="24">
        <f t="shared" si="166"/>
        <v>0</v>
      </c>
      <c r="T42" s="24">
        <f t="shared" si="166"/>
        <v>0</v>
      </c>
      <c r="U42" s="24">
        <f t="shared" si="166"/>
        <v>0</v>
      </c>
      <c r="V42" s="24">
        <f t="shared" si="166"/>
        <v>0</v>
      </c>
      <c r="W42" s="24">
        <f t="shared" si="166"/>
        <v>0</v>
      </c>
      <c r="X42" s="24">
        <f t="shared" si="166"/>
        <v>0</v>
      </c>
      <c r="Y42" s="24">
        <f t="shared" si="166"/>
        <v>0</v>
      </c>
      <c r="Z42" s="24">
        <f t="shared" si="166"/>
        <v>0</v>
      </c>
      <c r="AA42" s="24">
        <f t="shared" si="166"/>
        <v>1147694.1840000001</v>
      </c>
      <c r="AB42" s="24">
        <f t="shared" si="166"/>
        <v>1147694.1840000001</v>
      </c>
      <c r="AC42" s="24">
        <f t="shared" si="166"/>
        <v>1147694.1840000001</v>
      </c>
      <c r="AD42" s="24">
        <f t="shared" si="166"/>
        <v>1147694.1840000001</v>
      </c>
      <c r="AE42" s="24">
        <f t="shared" si="166"/>
        <v>1147694.1840000001</v>
      </c>
      <c r="AF42" s="24">
        <f t="shared" si="166"/>
        <v>1147694.1840000001</v>
      </c>
      <c r="AG42" s="24">
        <f t="shared" si="166"/>
        <v>1147694.1840000001</v>
      </c>
      <c r="AH42" s="24">
        <f t="shared" si="166"/>
        <v>1147694.1840000001</v>
      </c>
      <c r="AI42" s="24">
        <f t="shared" si="166"/>
        <v>1147694.1840000001</v>
      </c>
      <c r="AJ42" s="24">
        <f t="shared" si="166"/>
        <v>1147694.1840000001</v>
      </c>
      <c r="AK42" s="24">
        <f t="shared" si="166"/>
        <v>1147694.1840000001</v>
      </c>
      <c r="AL42" s="24">
        <f t="shared" si="166"/>
        <v>1147694.1840000001</v>
      </c>
      <c r="AM42" s="24">
        <f t="shared" si="166"/>
        <v>1912823.6400000004</v>
      </c>
      <c r="AN42" s="24">
        <f t="shared" si="166"/>
        <v>1912823.6400000004</v>
      </c>
      <c r="AO42" s="24">
        <f t="shared" si="166"/>
        <v>1912823.6400000004</v>
      </c>
      <c r="AP42" s="24">
        <f t="shared" si="166"/>
        <v>1912823.6400000004</v>
      </c>
      <c r="AQ42" s="24">
        <f t="shared" si="166"/>
        <v>1912823.6400000004</v>
      </c>
      <c r="AR42" s="24">
        <f t="shared" si="166"/>
        <v>1912823.6400000004</v>
      </c>
      <c r="AS42" s="24">
        <f t="shared" si="166"/>
        <v>1912823.6400000004</v>
      </c>
      <c r="AT42" s="24">
        <f t="shared" si="166"/>
        <v>1912823.6400000004</v>
      </c>
      <c r="AU42" s="24">
        <f t="shared" si="166"/>
        <v>1912823.6400000004</v>
      </c>
      <c r="AV42" s="24">
        <f t="shared" si="166"/>
        <v>1912823.6400000004</v>
      </c>
      <c r="AW42" s="24">
        <f t="shared" si="166"/>
        <v>1912823.6400000004</v>
      </c>
      <c r="AX42" s="24">
        <f t="shared" si="166"/>
        <v>1912823.6400000004</v>
      </c>
      <c r="AY42" s="24">
        <f t="shared" si="166"/>
        <v>2811850.7508000005</v>
      </c>
      <c r="AZ42" s="24">
        <f t="shared" si="166"/>
        <v>2811850.7508000005</v>
      </c>
      <c r="BA42" s="24">
        <f t="shared" si="166"/>
        <v>2811850.7508000005</v>
      </c>
      <c r="BB42" s="24">
        <f t="shared" si="166"/>
        <v>2811850.7508000005</v>
      </c>
      <c r="BC42" s="24">
        <f t="shared" si="166"/>
        <v>2811850.7508000005</v>
      </c>
      <c r="BD42" s="24">
        <f t="shared" si="166"/>
        <v>2811850.7508000005</v>
      </c>
      <c r="BE42" s="24">
        <f t="shared" si="166"/>
        <v>2811850.7508000005</v>
      </c>
      <c r="BF42" s="24">
        <f t="shared" si="166"/>
        <v>2811850.7508000005</v>
      </c>
      <c r="BG42" s="24">
        <f t="shared" si="166"/>
        <v>2811850.7508000005</v>
      </c>
      <c r="BH42" s="24">
        <f t="shared" si="166"/>
        <v>2811850.7508000005</v>
      </c>
      <c r="BI42" s="24">
        <f t="shared" si="166"/>
        <v>2811850.7508000005</v>
      </c>
      <c r="BJ42" s="24">
        <f t="shared" si="166"/>
        <v>2811850.7508000005</v>
      </c>
      <c r="BK42" s="24">
        <f t="shared" si="166"/>
        <v>3414390.1974000004</v>
      </c>
      <c r="BL42" s="24">
        <f t="shared" si="166"/>
        <v>3414390.1974000004</v>
      </c>
      <c r="BM42" s="24">
        <f t="shared" si="166"/>
        <v>3414390.1974000004</v>
      </c>
      <c r="BN42" s="24">
        <f t="shared" si="166"/>
        <v>3414390.1974000004</v>
      </c>
      <c r="BO42" s="24">
        <f t="shared" si="166"/>
        <v>3414390.1974000004</v>
      </c>
      <c r="BP42" s="24">
        <f t="shared" ref="BP42:EA45" si="167">$B42*BP25*BP6</f>
        <v>3414390.1974000004</v>
      </c>
      <c r="BQ42" s="24">
        <f t="shared" si="167"/>
        <v>3414390.1974000004</v>
      </c>
      <c r="BR42" s="24">
        <f t="shared" si="167"/>
        <v>3414390.1974000004</v>
      </c>
      <c r="BS42" s="24">
        <f t="shared" si="167"/>
        <v>3414390.1974000004</v>
      </c>
      <c r="BT42" s="24">
        <f t="shared" si="167"/>
        <v>3414390.1974000004</v>
      </c>
      <c r="BU42" s="24">
        <f t="shared" si="167"/>
        <v>3414390.1974000004</v>
      </c>
      <c r="BV42" s="24">
        <f t="shared" si="167"/>
        <v>3414390.1974000004</v>
      </c>
      <c r="BW42" s="24">
        <f t="shared" si="167"/>
        <v>3576980.2068000003</v>
      </c>
      <c r="BX42" s="24">
        <f t="shared" si="167"/>
        <v>3576980.2068000003</v>
      </c>
      <c r="BY42" s="24">
        <f t="shared" si="167"/>
        <v>3576980.2068000003</v>
      </c>
      <c r="BZ42" s="24">
        <f t="shared" si="167"/>
        <v>3576980.2068000003</v>
      </c>
      <c r="CA42" s="24">
        <f t="shared" si="167"/>
        <v>3576980.2068000003</v>
      </c>
      <c r="CB42" s="24">
        <f t="shared" si="167"/>
        <v>3576980.2068000003</v>
      </c>
      <c r="CC42" s="24">
        <f t="shared" si="167"/>
        <v>3576980.2068000003</v>
      </c>
      <c r="CD42" s="24">
        <f t="shared" si="167"/>
        <v>3576980.2068000003</v>
      </c>
      <c r="CE42" s="24">
        <f t="shared" si="167"/>
        <v>3576980.2068000003</v>
      </c>
      <c r="CF42" s="24">
        <f t="shared" si="167"/>
        <v>3576980.2068000003</v>
      </c>
      <c r="CG42" s="24">
        <f t="shared" si="167"/>
        <v>3576980.2068000003</v>
      </c>
      <c r="CH42" s="24">
        <f t="shared" si="167"/>
        <v>3576980.2068000003</v>
      </c>
      <c r="CI42" s="24">
        <f t="shared" si="167"/>
        <v>3576980.2068000003</v>
      </c>
      <c r="CJ42" s="24">
        <f t="shared" si="167"/>
        <v>3576980.2068000003</v>
      </c>
      <c r="CK42" s="24">
        <f t="shared" si="167"/>
        <v>3576980.2068000003</v>
      </c>
      <c r="CL42" s="24">
        <f t="shared" si="167"/>
        <v>3576980.2068000003</v>
      </c>
      <c r="CM42" s="24">
        <f t="shared" si="167"/>
        <v>3576980.2068000003</v>
      </c>
      <c r="CN42" s="24">
        <f t="shared" si="167"/>
        <v>3576980.2068000003</v>
      </c>
      <c r="CO42" s="24">
        <f t="shared" si="167"/>
        <v>3576980.2068000003</v>
      </c>
      <c r="CP42" s="24">
        <f t="shared" si="167"/>
        <v>3576980.2068000003</v>
      </c>
      <c r="CQ42" s="24">
        <f t="shared" si="167"/>
        <v>3576980.2068000003</v>
      </c>
      <c r="CR42" s="24">
        <f t="shared" si="167"/>
        <v>3576980.2068000003</v>
      </c>
      <c r="CS42" s="24">
        <f t="shared" si="167"/>
        <v>3576980.2068000003</v>
      </c>
      <c r="CT42" s="24">
        <f t="shared" si="167"/>
        <v>3576980.2068000003</v>
      </c>
      <c r="CU42" s="24">
        <f t="shared" si="167"/>
        <v>3739570.2162000011</v>
      </c>
      <c r="CV42" s="24">
        <f t="shared" si="167"/>
        <v>3739570.2162000011</v>
      </c>
      <c r="CW42" s="24">
        <f t="shared" si="167"/>
        <v>3739570.2162000011</v>
      </c>
      <c r="CX42" s="24">
        <f t="shared" si="167"/>
        <v>3739570.2162000011</v>
      </c>
      <c r="CY42" s="24">
        <f t="shared" si="167"/>
        <v>3739570.2162000011</v>
      </c>
      <c r="CZ42" s="24">
        <f t="shared" si="167"/>
        <v>3739570.2162000011</v>
      </c>
      <c r="DA42" s="24">
        <f t="shared" si="167"/>
        <v>3739570.2162000011</v>
      </c>
      <c r="DB42" s="24">
        <f t="shared" si="167"/>
        <v>3739570.2162000011</v>
      </c>
      <c r="DC42" s="24">
        <f t="shared" si="167"/>
        <v>3739570.2162000011</v>
      </c>
      <c r="DD42" s="24">
        <f t="shared" si="167"/>
        <v>3739570.2162000011</v>
      </c>
      <c r="DE42" s="24">
        <f t="shared" si="167"/>
        <v>3739570.2162000011</v>
      </c>
      <c r="DF42" s="24">
        <f t="shared" si="167"/>
        <v>3739570.2162000011</v>
      </c>
      <c r="DG42" s="24">
        <f t="shared" si="167"/>
        <v>3739570.2162000011</v>
      </c>
      <c r="DH42" s="24">
        <f t="shared" si="167"/>
        <v>3739570.2162000011</v>
      </c>
      <c r="DI42" s="24">
        <f t="shared" si="167"/>
        <v>3739570.2162000011</v>
      </c>
      <c r="DJ42" s="24">
        <f t="shared" si="167"/>
        <v>3739570.2162000011</v>
      </c>
      <c r="DK42" s="24">
        <f t="shared" si="167"/>
        <v>3739570.2162000011</v>
      </c>
      <c r="DL42" s="24">
        <f t="shared" si="167"/>
        <v>3739570.2162000011</v>
      </c>
      <c r="DM42" s="24">
        <f t="shared" si="167"/>
        <v>3739570.2162000011</v>
      </c>
      <c r="DN42" s="24">
        <f t="shared" si="167"/>
        <v>3739570.2162000011</v>
      </c>
      <c r="DO42" s="24">
        <f t="shared" si="167"/>
        <v>3739570.2162000011</v>
      </c>
      <c r="DP42" s="24">
        <f t="shared" si="167"/>
        <v>3739570.2162000011</v>
      </c>
      <c r="DQ42" s="24">
        <f t="shared" si="167"/>
        <v>3739570.2162000011</v>
      </c>
      <c r="DR42" s="24">
        <f t="shared" si="167"/>
        <v>3739570.2162000011</v>
      </c>
      <c r="DS42" s="24">
        <f t="shared" si="167"/>
        <v>3902160.2256000009</v>
      </c>
      <c r="DT42" s="24">
        <f t="shared" si="167"/>
        <v>3902160.2256000009</v>
      </c>
      <c r="DU42" s="24">
        <f t="shared" si="167"/>
        <v>3902160.2256000009</v>
      </c>
      <c r="DV42" s="24">
        <f t="shared" si="167"/>
        <v>3902160.2256000009</v>
      </c>
      <c r="DW42" s="24">
        <f t="shared" si="167"/>
        <v>3902160.2256000009</v>
      </c>
      <c r="DX42" s="24">
        <f t="shared" si="167"/>
        <v>3902160.2256000009</v>
      </c>
      <c r="DY42" s="24">
        <f t="shared" si="167"/>
        <v>3902160.2256000009</v>
      </c>
      <c r="DZ42" s="24">
        <f t="shared" si="167"/>
        <v>3902160.2256000009</v>
      </c>
      <c r="EA42" s="24">
        <f t="shared" si="167"/>
        <v>3902160.2256000009</v>
      </c>
      <c r="EB42" s="24">
        <f t="shared" ref="EB42:GM48" si="168">$B42*EB25*EB6</f>
        <v>3902160.2256000009</v>
      </c>
      <c r="EC42" s="24">
        <f t="shared" si="168"/>
        <v>3902160.2256000009</v>
      </c>
      <c r="ED42" s="24">
        <f t="shared" si="168"/>
        <v>3902160.2256000009</v>
      </c>
      <c r="EE42" s="24">
        <f t="shared" si="168"/>
        <v>3902160.2256000009</v>
      </c>
      <c r="EF42" s="24">
        <f t="shared" si="168"/>
        <v>3902160.2256000009</v>
      </c>
      <c r="EG42" s="24">
        <f t="shared" si="168"/>
        <v>3902160.2256000009</v>
      </c>
      <c r="EH42" s="24">
        <f t="shared" si="168"/>
        <v>3902160.2256000009</v>
      </c>
      <c r="EI42" s="24">
        <f t="shared" si="168"/>
        <v>3902160.2256000009</v>
      </c>
      <c r="EJ42" s="24">
        <f t="shared" si="168"/>
        <v>3902160.2256000009</v>
      </c>
      <c r="EK42" s="24">
        <f t="shared" si="168"/>
        <v>3902160.2256000009</v>
      </c>
      <c r="EL42" s="24">
        <f t="shared" si="168"/>
        <v>3902160.2256000009</v>
      </c>
      <c r="EM42" s="24">
        <f t="shared" si="168"/>
        <v>3902160.2256000009</v>
      </c>
      <c r="EN42" s="24">
        <f t="shared" si="168"/>
        <v>3902160.2256000009</v>
      </c>
      <c r="EO42" s="24">
        <f t="shared" si="168"/>
        <v>3902160.2256000009</v>
      </c>
      <c r="EP42" s="24">
        <f t="shared" si="168"/>
        <v>3902160.2256000009</v>
      </c>
      <c r="EQ42" s="24">
        <f t="shared" si="168"/>
        <v>4064750.2350000013</v>
      </c>
      <c r="ER42" s="24">
        <f t="shared" si="168"/>
        <v>4064750.2350000013</v>
      </c>
      <c r="ES42" s="24">
        <f t="shared" si="168"/>
        <v>4064750.2350000013</v>
      </c>
      <c r="ET42" s="24">
        <f t="shared" si="168"/>
        <v>4064750.2350000013</v>
      </c>
      <c r="EU42" s="24">
        <f t="shared" si="168"/>
        <v>4064750.2350000013</v>
      </c>
      <c r="EV42" s="24">
        <f t="shared" si="168"/>
        <v>4064750.2350000013</v>
      </c>
      <c r="EW42" s="24">
        <f t="shared" si="168"/>
        <v>4064750.2350000013</v>
      </c>
      <c r="EX42" s="24">
        <f t="shared" si="168"/>
        <v>4064750.2350000013</v>
      </c>
      <c r="EY42" s="24">
        <f t="shared" si="168"/>
        <v>4064750.2350000013</v>
      </c>
      <c r="EZ42" s="24">
        <f t="shared" si="168"/>
        <v>4064750.2350000013</v>
      </c>
      <c r="FA42" s="24">
        <f t="shared" si="168"/>
        <v>4064750.2350000013</v>
      </c>
      <c r="FB42" s="24">
        <f t="shared" si="168"/>
        <v>4064750.2350000013</v>
      </c>
      <c r="FC42" s="24">
        <f t="shared" si="168"/>
        <v>4064750.2350000013</v>
      </c>
      <c r="FD42" s="24">
        <f t="shared" si="168"/>
        <v>4064750.2350000013</v>
      </c>
      <c r="FE42" s="24">
        <f t="shared" si="168"/>
        <v>4064750.2350000013</v>
      </c>
      <c r="FF42" s="24">
        <f t="shared" si="168"/>
        <v>4064750.2350000013</v>
      </c>
      <c r="FG42" s="24">
        <f t="shared" si="168"/>
        <v>4064750.2350000013</v>
      </c>
      <c r="FH42" s="24">
        <f t="shared" si="168"/>
        <v>4064750.2350000013</v>
      </c>
      <c r="FI42" s="24">
        <f t="shared" si="168"/>
        <v>4064750.2350000013</v>
      </c>
      <c r="FJ42" s="24">
        <f t="shared" si="168"/>
        <v>4064750.2350000013</v>
      </c>
      <c r="FK42" s="24">
        <f t="shared" si="168"/>
        <v>4064750.2350000013</v>
      </c>
      <c r="FL42" s="24">
        <f t="shared" si="168"/>
        <v>4064750.2350000013</v>
      </c>
      <c r="FM42" s="24">
        <f t="shared" si="168"/>
        <v>4064750.2350000013</v>
      </c>
      <c r="FN42" s="24">
        <f t="shared" si="168"/>
        <v>4064750.2350000013</v>
      </c>
      <c r="FO42" s="24">
        <f t="shared" si="168"/>
        <v>4227340.2444000011</v>
      </c>
      <c r="FP42" s="24">
        <f t="shared" si="168"/>
        <v>4227340.2444000011</v>
      </c>
      <c r="FQ42" s="24">
        <f t="shared" si="168"/>
        <v>4227340.2444000011</v>
      </c>
      <c r="FR42" s="24">
        <f t="shared" si="168"/>
        <v>4227340.2444000011</v>
      </c>
      <c r="FS42" s="24">
        <f t="shared" si="168"/>
        <v>4227340.2444000011</v>
      </c>
      <c r="FT42" s="24">
        <f t="shared" si="168"/>
        <v>4227340.2444000011</v>
      </c>
      <c r="FU42" s="24">
        <f t="shared" si="168"/>
        <v>4227340.2444000011</v>
      </c>
      <c r="FV42" s="24">
        <f t="shared" si="168"/>
        <v>4227340.2444000011</v>
      </c>
      <c r="FW42" s="24">
        <f t="shared" si="168"/>
        <v>4227340.2444000011</v>
      </c>
      <c r="FX42" s="24">
        <f t="shared" si="168"/>
        <v>4227340.2444000011</v>
      </c>
      <c r="FY42" s="24">
        <f t="shared" si="168"/>
        <v>4227340.2444000011</v>
      </c>
      <c r="FZ42" s="24">
        <f t="shared" si="168"/>
        <v>4227340.2444000011</v>
      </c>
      <c r="GA42" s="24">
        <f t="shared" si="168"/>
        <v>4227340.2444000011</v>
      </c>
      <c r="GB42" s="24">
        <f t="shared" si="168"/>
        <v>4227340.2444000011</v>
      </c>
      <c r="GC42" s="24">
        <f t="shared" si="168"/>
        <v>4227340.2444000011</v>
      </c>
      <c r="GD42" s="24">
        <f t="shared" si="168"/>
        <v>4227340.2444000011</v>
      </c>
      <c r="GE42" s="24">
        <f t="shared" si="168"/>
        <v>4227340.2444000011</v>
      </c>
      <c r="GF42" s="24">
        <f t="shared" si="168"/>
        <v>4227340.2444000011</v>
      </c>
      <c r="GG42" s="24">
        <f t="shared" si="168"/>
        <v>4227340.2444000011</v>
      </c>
      <c r="GH42" s="24">
        <f t="shared" si="168"/>
        <v>4227340.2444000011</v>
      </c>
      <c r="GI42" s="24">
        <f t="shared" si="168"/>
        <v>4227340.2444000011</v>
      </c>
      <c r="GJ42" s="24">
        <f t="shared" si="168"/>
        <v>4227340.2444000011</v>
      </c>
      <c r="GK42" s="24">
        <f t="shared" si="168"/>
        <v>4227340.2444000011</v>
      </c>
      <c r="GL42" s="24">
        <f t="shared" si="168"/>
        <v>4227340.2444000011</v>
      </c>
      <c r="GM42" s="24">
        <f t="shared" si="168"/>
        <v>4389930.253800001</v>
      </c>
      <c r="GN42" s="24">
        <f t="shared" ref="GN42:IH47" si="169">$B42*GN25*GN6</f>
        <v>4389930.253800001</v>
      </c>
      <c r="GO42" s="24">
        <f t="shared" si="169"/>
        <v>4389930.253800001</v>
      </c>
      <c r="GP42" s="24">
        <f t="shared" si="169"/>
        <v>4389930.253800001</v>
      </c>
      <c r="GQ42" s="24">
        <f t="shared" si="169"/>
        <v>4389930.253800001</v>
      </c>
      <c r="GR42" s="24">
        <f t="shared" si="169"/>
        <v>4389930.253800001</v>
      </c>
      <c r="GS42" s="24">
        <f t="shared" si="169"/>
        <v>4389930.253800001</v>
      </c>
      <c r="GT42" s="24">
        <f t="shared" si="169"/>
        <v>4389930.253800001</v>
      </c>
      <c r="GU42" s="24">
        <f t="shared" si="169"/>
        <v>4389930.253800001</v>
      </c>
      <c r="GV42" s="24">
        <f t="shared" si="169"/>
        <v>4389930.253800001</v>
      </c>
      <c r="GW42" s="24">
        <f t="shared" si="169"/>
        <v>4389930.253800001</v>
      </c>
      <c r="GX42" s="24">
        <f t="shared" si="169"/>
        <v>4389930.253800001</v>
      </c>
      <c r="GY42" s="24">
        <f t="shared" si="169"/>
        <v>4389930.253800001</v>
      </c>
      <c r="GZ42" s="24">
        <f t="shared" si="169"/>
        <v>4389930.253800001</v>
      </c>
      <c r="HA42" s="24">
        <f t="shared" si="169"/>
        <v>4389930.253800001</v>
      </c>
      <c r="HB42" s="24">
        <f t="shared" si="169"/>
        <v>4389930.253800001</v>
      </c>
      <c r="HC42" s="24">
        <f t="shared" si="169"/>
        <v>4389930.253800001</v>
      </c>
      <c r="HD42" s="24">
        <f t="shared" si="169"/>
        <v>4389930.253800001</v>
      </c>
      <c r="HE42" s="24">
        <f t="shared" si="169"/>
        <v>4389930.253800001</v>
      </c>
      <c r="HF42" s="24">
        <f t="shared" si="169"/>
        <v>4389930.253800001</v>
      </c>
      <c r="HG42" s="24">
        <f t="shared" si="169"/>
        <v>4389930.253800001</v>
      </c>
      <c r="HH42" s="24">
        <f t="shared" si="169"/>
        <v>4389930.253800001</v>
      </c>
      <c r="HI42" s="24">
        <f t="shared" si="169"/>
        <v>4389930.253800001</v>
      </c>
      <c r="HJ42" s="24">
        <f t="shared" si="169"/>
        <v>4389930.253800001</v>
      </c>
      <c r="HK42" s="24">
        <f t="shared" si="169"/>
        <v>4552520.2632000018</v>
      </c>
      <c r="HL42" s="24">
        <f t="shared" si="169"/>
        <v>4552520.2632000018</v>
      </c>
      <c r="HM42" s="24">
        <f t="shared" si="169"/>
        <v>4552520.2632000018</v>
      </c>
      <c r="HN42" s="24">
        <f t="shared" si="169"/>
        <v>4552520.2632000018</v>
      </c>
      <c r="HO42" s="24">
        <f t="shared" si="169"/>
        <v>4552520.2632000018</v>
      </c>
      <c r="HP42" s="24">
        <f t="shared" si="169"/>
        <v>4552520.2632000018</v>
      </c>
      <c r="HQ42" s="24">
        <f t="shared" si="169"/>
        <v>4552520.2632000018</v>
      </c>
      <c r="HR42" s="24">
        <f t="shared" si="169"/>
        <v>4552520.2632000018</v>
      </c>
      <c r="HS42" s="24">
        <f t="shared" si="169"/>
        <v>4552520.2632000018</v>
      </c>
      <c r="HT42" s="24">
        <f t="shared" si="169"/>
        <v>4552520.2632000018</v>
      </c>
      <c r="HU42" s="24">
        <f t="shared" si="169"/>
        <v>4552520.2632000018</v>
      </c>
      <c r="HV42" s="24">
        <f t="shared" si="169"/>
        <v>4552520.2632000018</v>
      </c>
      <c r="HW42" s="24">
        <f t="shared" si="169"/>
        <v>4552520.2632000018</v>
      </c>
      <c r="HX42" s="24">
        <f t="shared" si="169"/>
        <v>4552520.2632000018</v>
      </c>
      <c r="HY42" s="24">
        <f t="shared" si="169"/>
        <v>4552520.2632000018</v>
      </c>
      <c r="HZ42" s="24">
        <f t="shared" si="169"/>
        <v>4552520.2632000018</v>
      </c>
      <c r="IA42" s="24">
        <f t="shared" si="169"/>
        <v>4552520.2632000018</v>
      </c>
      <c r="IB42" s="24">
        <f t="shared" si="169"/>
        <v>4552520.2632000018</v>
      </c>
      <c r="IC42" s="24">
        <f t="shared" si="169"/>
        <v>4552520.2632000018</v>
      </c>
      <c r="ID42" s="24">
        <f t="shared" si="169"/>
        <v>4552520.2632000018</v>
      </c>
      <c r="IE42" s="24">
        <f t="shared" si="169"/>
        <v>4552520.2632000018</v>
      </c>
      <c r="IF42" s="24">
        <f t="shared" si="169"/>
        <v>4552520.2632000018</v>
      </c>
      <c r="IG42" s="24">
        <f t="shared" si="169"/>
        <v>4552520.2632000018</v>
      </c>
      <c r="IH42" s="24">
        <f t="shared" si="169"/>
        <v>4552520.2632000018</v>
      </c>
      <c r="II42" s="20">
        <f t="shared" ref="II42:II54" si="170">SUM(C42:IH42)</f>
        <v>794319144.7464031</v>
      </c>
    </row>
    <row r="43" spans="1:243" x14ac:dyDescent="0.45">
      <c r="A43" s="58" t="s">
        <v>200</v>
      </c>
      <c r="B43" s="61">
        <f>'WH Schedule'!W21</f>
        <v>23122.044000000002</v>
      </c>
      <c r="C43" s="24">
        <f t="shared" ref="C43:R54" si="171">$B43*C26*C7</f>
        <v>0</v>
      </c>
      <c r="D43" s="24">
        <f t="shared" si="171"/>
        <v>0</v>
      </c>
      <c r="E43" s="24">
        <f t="shared" si="171"/>
        <v>0</v>
      </c>
      <c r="F43" s="24">
        <f t="shared" si="171"/>
        <v>0</v>
      </c>
      <c r="G43" s="24">
        <f t="shared" si="171"/>
        <v>0</v>
      </c>
      <c r="H43" s="24">
        <f t="shared" si="171"/>
        <v>0</v>
      </c>
      <c r="I43" s="24">
        <f t="shared" si="171"/>
        <v>0</v>
      </c>
      <c r="J43" s="24">
        <f t="shared" si="171"/>
        <v>0</v>
      </c>
      <c r="K43" s="24">
        <f t="shared" si="171"/>
        <v>0</v>
      </c>
      <c r="L43" s="24">
        <f t="shared" si="171"/>
        <v>0</v>
      </c>
      <c r="M43" s="24">
        <f t="shared" si="171"/>
        <v>0</v>
      </c>
      <c r="N43" s="24">
        <f t="shared" si="171"/>
        <v>0</v>
      </c>
      <c r="O43" s="24">
        <f t="shared" si="171"/>
        <v>0</v>
      </c>
      <c r="P43" s="24">
        <f t="shared" si="171"/>
        <v>0</v>
      </c>
      <c r="Q43" s="24">
        <f t="shared" si="171"/>
        <v>0</v>
      </c>
      <c r="R43" s="24">
        <f t="shared" si="171"/>
        <v>0</v>
      </c>
      <c r="S43" s="24">
        <f t="shared" si="166"/>
        <v>0</v>
      </c>
      <c r="T43" s="24">
        <f t="shared" si="166"/>
        <v>0</v>
      </c>
      <c r="U43" s="24">
        <f t="shared" si="166"/>
        <v>0</v>
      </c>
      <c r="V43" s="24">
        <f t="shared" si="166"/>
        <v>0</v>
      </c>
      <c r="W43" s="24">
        <f t="shared" si="166"/>
        <v>0</v>
      </c>
      <c r="X43" s="24">
        <f t="shared" si="166"/>
        <v>0</v>
      </c>
      <c r="Y43" s="24">
        <f t="shared" si="166"/>
        <v>0</v>
      </c>
      <c r="Z43" s="24">
        <f t="shared" si="166"/>
        <v>0</v>
      </c>
      <c r="AA43" s="24">
        <f t="shared" si="166"/>
        <v>832393.58400000003</v>
      </c>
      <c r="AB43" s="24">
        <f t="shared" si="166"/>
        <v>832393.58400000003</v>
      </c>
      <c r="AC43" s="24">
        <f t="shared" si="166"/>
        <v>832393.58400000003</v>
      </c>
      <c r="AD43" s="24">
        <f t="shared" si="166"/>
        <v>832393.58400000003</v>
      </c>
      <c r="AE43" s="24">
        <f t="shared" si="166"/>
        <v>832393.58400000003</v>
      </c>
      <c r="AF43" s="24">
        <f t="shared" si="166"/>
        <v>832393.58400000003</v>
      </c>
      <c r="AG43" s="24">
        <f t="shared" si="166"/>
        <v>832393.58400000003</v>
      </c>
      <c r="AH43" s="24">
        <f t="shared" si="166"/>
        <v>832393.58400000003</v>
      </c>
      <c r="AI43" s="24">
        <f t="shared" si="166"/>
        <v>832393.58400000003</v>
      </c>
      <c r="AJ43" s="24">
        <f t="shared" si="166"/>
        <v>832393.58400000003</v>
      </c>
      <c r="AK43" s="24">
        <f t="shared" si="166"/>
        <v>832393.58400000003</v>
      </c>
      <c r="AL43" s="24">
        <f t="shared" si="166"/>
        <v>832393.58400000003</v>
      </c>
      <c r="AM43" s="24">
        <f t="shared" si="166"/>
        <v>1387322.6400000001</v>
      </c>
      <c r="AN43" s="24">
        <f t="shared" si="166"/>
        <v>1387322.6400000001</v>
      </c>
      <c r="AO43" s="24">
        <f t="shared" si="166"/>
        <v>1387322.6400000001</v>
      </c>
      <c r="AP43" s="24">
        <f t="shared" si="166"/>
        <v>1387322.6400000001</v>
      </c>
      <c r="AQ43" s="24">
        <f t="shared" si="166"/>
        <v>1387322.6400000001</v>
      </c>
      <c r="AR43" s="24">
        <f t="shared" si="166"/>
        <v>1387322.6400000001</v>
      </c>
      <c r="AS43" s="24">
        <f t="shared" si="166"/>
        <v>1387322.6400000001</v>
      </c>
      <c r="AT43" s="24">
        <f t="shared" si="166"/>
        <v>1387322.6400000001</v>
      </c>
      <c r="AU43" s="24">
        <f t="shared" si="166"/>
        <v>1387322.6400000001</v>
      </c>
      <c r="AV43" s="24">
        <f t="shared" si="166"/>
        <v>1387322.6400000001</v>
      </c>
      <c r="AW43" s="24">
        <f t="shared" si="166"/>
        <v>1387322.6400000001</v>
      </c>
      <c r="AX43" s="24">
        <f t="shared" si="166"/>
        <v>1387322.6400000001</v>
      </c>
      <c r="AY43" s="24">
        <f t="shared" si="166"/>
        <v>2039364.2808000001</v>
      </c>
      <c r="AZ43" s="24">
        <f t="shared" si="166"/>
        <v>2039364.2808000001</v>
      </c>
      <c r="BA43" s="24">
        <f t="shared" si="166"/>
        <v>2039364.2808000001</v>
      </c>
      <c r="BB43" s="24">
        <f t="shared" si="166"/>
        <v>2039364.2808000001</v>
      </c>
      <c r="BC43" s="24">
        <f t="shared" si="166"/>
        <v>2039364.2808000001</v>
      </c>
      <c r="BD43" s="24">
        <f t="shared" si="166"/>
        <v>2039364.2808000001</v>
      </c>
      <c r="BE43" s="24">
        <f t="shared" si="166"/>
        <v>2039364.2808000001</v>
      </c>
      <c r="BF43" s="24">
        <f t="shared" si="166"/>
        <v>2039364.2808000001</v>
      </c>
      <c r="BG43" s="24">
        <f t="shared" si="166"/>
        <v>2039364.2808000001</v>
      </c>
      <c r="BH43" s="24">
        <f t="shared" si="166"/>
        <v>2039364.2808000001</v>
      </c>
      <c r="BI43" s="24">
        <f t="shared" si="166"/>
        <v>2039364.2808000001</v>
      </c>
      <c r="BJ43" s="24">
        <f t="shared" si="166"/>
        <v>2039364.2808000001</v>
      </c>
      <c r="BK43" s="24">
        <f t="shared" si="166"/>
        <v>2476370.9124000003</v>
      </c>
      <c r="BL43" s="24">
        <f t="shared" si="166"/>
        <v>2476370.9124000003</v>
      </c>
      <c r="BM43" s="24">
        <f t="shared" si="166"/>
        <v>2476370.9124000003</v>
      </c>
      <c r="BN43" s="24">
        <f t="shared" si="166"/>
        <v>2476370.9124000003</v>
      </c>
      <c r="BO43" s="24">
        <f t="shared" si="166"/>
        <v>2476370.9124000003</v>
      </c>
      <c r="BP43" s="24">
        <f t="shared" si="167"/>
        <v>2476370.9124000003</v>
      </c>
      <c r="BQ43" s="24">
        <f t="shared" si="167"/>
        <v>2476370.9124000003</v>
      </c>
      <c r="BR43" s="24">
        <f t="shared" si="167"/>
        <v>2476370.9124000003</v>
      </c>
      <c r="BS43" s="24">
        <f t="shared" si="167"/>
        <v>2476370.9124000003</v>
      </c>
      <c r="BT43" s="24">
        <f t="shared" si="167"/>
        <v>2476370.9124000003</v>
      </c>
      <c r="BU43" s="24">
        <f t="shared" si="167"/>
        <v>2476370.9124000003</v>
      </c>
      <c r="BV43" s="24">
        <f t="shared" si="167"/>
        <v>2476370.9124000003</v>
      </c>
      <c r="BW43" s="24">
        <f t="shared" si="167"/>
        <v>2594293.3368000002</v>
      </c>
      <c r="BX43" s="24">
        <f t="shared" si="167"/>
        <v>2594293.3368000002</v>
      </c>
      <c r="BY43" s="24">
        <f t="shared" si="167"/>
        <v>2594293.3368000002</v>
      </c>
      <c r="BZ43" s="24">
        <f t="shared" si="167"/>
        <v>2594293.3368000002</v>
      </c>
      <c r="CA43" s="24">
        <f t="shared" si="167"/>
        <v>2594293.3368000002</v>
      </c>
      <c r="CB43" s="24">
        <f t="shared" si="167"/>
        <v>2594293.3368000002</v>
      </c>
      <c r="CC43" s="24">
        <f t="shared" si="167"/>
        <v>2594293.3368000002</v>
      </c>
      <c r="CD43" s="24">
        <f t="shared" si="167"/>
        <v>2594293.3368000002</v>
      </c>
      <c r="CE43" s="24">
        <f t="shared" si="167"/>
        <v>2594293.3368000002</v>
      </c>
      <c r="CF43" s="24">
        <f t="shared" si="167"/>
        <v>2594293.3368000002</v>
      </c>
      <c r="CG43" s="24">
        <f t="shared" si="167"/>
        <v>2594293.3368000002</v>
      </c>
      <c r="CH43" s="24">
        <f t="shared" si="167"/>
        <v>2594293.3368000002</v>
      </c>
      <c r="CI43" s="24">
        <f t="shared" si="167"/>
        <v>2594293.3368000002</v>
      </c>
      <c r="CJ43" s="24">
        <f t="shared" si="167"/>
        <v>2594293.3368000002</v>
      </c>
      <c r="CK43" s="24">
        <f t="shared" si="167"/>
        <v>2594293.3368000002</v>
      </c>
      <c r="CL43" s="24">
        <f t="shared" si="167"/>
        <v>2594293.3368000002</v>
      </c>
      <c r="CM43" s="24">
        <f t="shared" si="167"/>
        <v>2594293.3368000002</v>
      </c>
      <c r="CN43" s="24">
        <f t="shared" si="167"/>
        <v>2594293.3368000002</v>
      </c>
      <c r="CO43" s="24">
        <f t="shared" si="167"/>
        <v>2594293.3368000002</v>
      </c>
      <c r="CP43" s="24">
        <f t="shared" si="167"/>
        <v>2594293.3368000002</v>
      </c>
      <c r="CQ43" s="24">
        <f t="shared" si="167"/>
        <v>2594293.3368000002</v>
      </c>
      <c r="CR43" s="24">
        <f t="shared" si="167"/>
        <v>2594293.3368000002</v>
      </c>
      <c r="CS43" s="24">
        <f t="shared" si="167"/>
        <v>2594293.3368000002</v>
      </c>
      <c r="CT43" s="24">
        <f t="shared" si="167"/>
        <v>2594293.3368000002</v>
      </c>
      <c r="CU43" s="24">
        <f t="shared" si="167"/>
        <v>2712215.761200001</v>
      </c>
      <c r="CV43" s="24">
        <f t="shared" si="167"/>
        <v>2712215.761200001</v>
      </c>
      <c r="CW43" s="24">
        <f t="shared" si="167"/>
        <v>2712215.761200001</v>
      </c>
      <c r="CX43" s="24">
        <f t="shared" si="167"/>
        <v>2712215.761200001</v>
      </c>
      <c r="CY43" s="24">
        <f t="shared" si="167"/>
        <v>2712215.761200001</v>
      </c>
      <c r="CZ43" s="24">
        <f t="shared" si="167"/>
        <v>2712215.761200001</v>
      </c>
      <c r="DA43" s="24">
        <f t="shared" si="167"/>
        <v>2712215.761200001</v>
      </c>
      <c r="DB43" s="24">
        <f t="shared" si="167"/>
        <v>2712215.761200001</v>
      </c>
      <c r="DC43" s="24">
        <f t="shared" si="167"/>
        <v>2712215.761200001</v>
      </c>
      <c r="DD43" s="24">
        <f t="shared" si="167"/>
        <v>2712215.761200001</v>
      </c>
      <c r="DE43" s="24">
        <f t="shared" si="167"/>
        <v>2712215.761200001</v>
      </c>
      <c r="DF43" s="24">
        <f t="shared" si="167"/>
        <v>2712215.761200001</v>
      </c>
      <c r="DG43" s="24">
        <f t="shared" si="167"/>
        <v>2712215.761200001</v>
      </c>
      <c r="DH43" s="24">
        <f t="shared" si="167"/>
        <v>2712215.761200001</v>
      </c>
      <c r="DI43" s="24">
        <f t="shared" si="167"/>
        <v>2712215.761200001</v>
      </c>
      <c r="DJ43" s="24">
        <f t="shared" si="167"/>
        <v>2712215.761200001</v>
      </c>
      <c r="DK43" s="24">
        <f t="shared" si="167"/>
        <v>2712215.761200001</v>
      </c>
      <c r="DL43" s="24">
        <f t="shared" si="167"/>
        <v>2712215.761200001</v>
      </c>
      <c r="DM43" s="24">
        <f t="shared" si="167"/>
        <v>2712215.761200001</v>
      </c>
      <c r="DN43" s="24">
        <f t="shared" si="167"/>
        <v>2712215.761200001</v>
      </c>
      <c r="DO43" s="24">
        <f t="shared" si="167"/>
        <v>2712215.761200001</v>
      </c>
      <c r="DP43" s="24">
        <f t="shared" si="167"/>
        <v>2712215.761200001</v>
      </c>
      <c r="DQ43" s="24">
        <f t="shared" si="167"/>
        <v>2712215.761200001</v>
      </c>
      <c r="DR43" s="24">
        <f t="shared" si="167"/>
        <v>2712215.761200001</v>
      </c>
      <c r="DS43" s="24">
        <f t="shared" si="167"/>
        <v>2830138.1856000009</v>
      </c>
      <c r="DT43" s="24">
        <f t="shared" si="167"/>
        <v>2830138.1856000009</v>
      </c>
      <c r="DU43" s="24">
        <f t="shared" si="167"/>
        <v>2830138.1856000009</v>
      </c>
      <c r="DV43" s="24">
        <f t="shared" si="167"/>
        <v>2830138.1856000009</v>
      </c>
      <c r="DW43" s="24">
        <f t="shared" si="167"/>
        <v>2830138.1856000009</v>
      </c>
      <c r="DX43" s="24">
        <f t="shared" si="167"/>
        <v>2830138.1856000009</v>
      </c>
      <c r="DY43" s="24">
        <f t="shared" si="167"/>
        <v>2830138.1856000009</v>
      </c>
      <c r="DZ43" s="24">
        <f t="shared" si="167"/>
        <v>2830138.1856000009</v>
      </c>
      <c r="EA43" s="24">
        <f t="shared" si="167"/>
        <v>2830138.1856000009</v>
      </c>
      <c r="EB43" s="24">
        <f t="shared" si="168"/>
        <v>2830138.1856000009</v>
      </c>
      <c r="EC43" s="24">
        <f t="shared" si="168"/>
        <v>2830138.1856000009</v>
      </c>
      <c r="ED43" s="24">
        <f t="shared" si="168"/>
        <v>2830138.1856000009</v>
      </c>
      <c r="EE43" s="24">
        <f t="shared" si="168"/>
        <v>2830138.1856000009</v>
      </c>
      <c r="EF43" s="24">
        <f t="shared" si="168"/>
        <v>2830138.1856000009</v>
      </c>
      <c r="EG43" s="24">
        <f t="shared" si="168"/>
        <v>2830138.1856000009</v>
      </c>
      <c r="EH43" s="24">
        <f t="shared" si="168"/>
        <v>2830138.1856000009</v>
      </c>
      <c r="EI43" s="24">
        <f t="shared" si="168"/>
        <v>2830138.1856000009</v>
      </c>
      <c r="EJ43" s="24">
        <f t="shared" si="168"/>
        <v>2830138.1856000009</v>
      </c>
      <c r="EK43" s="24">
        <f t="shared" si="168"/>
        <v>2830138.1856000009</v>
      </c>
      <c r="EL43" s="24">
        <f t="shared" si="168"/>
        <v>2830138.1856000009</v>
      </c>
      <c r="EM43" s="24">
        <f t="shared" si="168"/>
        <v>2830138.1856000009</v>
      </c>
      <c r="EN43" s="24">
        <f t="shared" si="168"/>
        <v>2830138.1856000009</v>
      </c>
      <c r="EO43" s="24">
        <f t="shared" si="168"/>
        <v>2830138.1856000009</v>
      </c>
      <c r="EP43" s="24">
        <f t="shared" si="168"/>
        <v>2830138.1856000009</v>
      </c>
      <c r="EQ43" s="24">
        <f t="shared" si="168"/>
        <v>2948060.6100000008</v>
      </c>
      <c r="ER43" s="24">
        <f t="shared" si="168"/>
        <v>2948060.6100000008</v>
      </c>
      <c r="ES43" s="24">
        <f t="shared" si="168"/>
        <v>2948060.6100000008</v>
      </c>
      <c r="ET43" s="24">
        <f t="shared" si="168"/>
        <v>2948060.6100000008</v>
      </c>
      <c r="EU43" s="24">
        <f t="shared" si="168"/>
        <v>2948060.6100000008</v>
      </c>
      <c r="EV43" s="24">
        <f t="shared" si="168"/>
        <v>2948060.6100000008</v>
      </c>
      <c r="EW43" s="24">
        <f t="shared" si="168"/>
        <v>2948060.6100000008</v>
      </c>
      <c r="EX43" s="24">
        <f t="shared" si="168"/>
        <v>2948060.6100000008</v>
      </c>
      <c r="EY43" s="24">
        <f t="shared" si="168"/>
        <v>2948060.6100000008</v>
      </c>
      <c r="EZ43" s="24">
        <f t="shared" si="168"/>
        <v>2948060.6100000008</v>
      </c>
      <c r="FA43" s="24">
        <f t="shared" si="168"/>
        <v>2948060.6100000008</v>
      </c>
      <c r="FB43" s="24">
        <f t="shared" si="168"/>
        <v>2948060.6100000008</v>
      </c>
      <c r="FC43" s="24">
        <f t="shared" si="168"/>
        <v>2948060.6100000008</v>
      </c>
      <c r="FD43" s="24">
        <f t="shared" si="168"/>
        <v>2948060.6100000008</v>
      </c>
      <c r="FE43" s="24">
        <f t="shared" si="168"/>
        <v>2948060.6100000008</v>
      </c>
      <c r="FF43" s="24">
        <f t="shared" si="168"/>
        <v>2948060.6100000008</v>
      </c>
      <c r="FG43" s="24">
        <f t="shared" si="168"/>
        <v>2948060.6100000008</v>
      </c>
      <c r="FH43" s="24">
        <f t="shared" si="168"/>
        <v>2948060.6100000008</v>
      </c>
      <c r="FI43" s="24">
        <f t="shared" si="168"/>
        <v>2948060.6100000008</v>
      </c>
      <c r="FJ43" s="24">
        <f t="shared" si="168"/>
        <v>2948060.6100000008</v>
      </c>
      <c r="FK43" s="24">
        <f t="shared" si="168"/>
        <v>2948060.6100000008</v>
      </c>
      <c r="FL43" s="24">
        <f t="shared" si="168"/>
        <v>2948060.6100000008</v>
      </c>
      <c r="FM43" s="24">
        <f t="shared" si="168"/>
        <v>2948060.6100000008</v>
      </c>
      <c r="FN43" s="24">
        <f t="shared" si="168"/>
        <v>2948060.6100000008</v>
      </c>
      <c r="FO43" s="24">
        <f t="shared" si="168"/>
        <v>3065983.0344000007</v>
      </c>
      <c r="FP43" s="24">
        <f t="shared" si="168"/>
        <v>3065983.0344000007</v>
      </c>
      <c r="FQ43" s="24">
        <f t="shared" si="168"/>
        <v>3065983.0344000007</v>
      </c>
      <c r="FR43" s="24">
        <f t="shared" si="168"/>
        <v>3065983.0344000007</v>
      </c>
      <c r="FS43" s="24">
        <f t="shared" si="168"/>
        <v>3065983.0344000007</v>
      </c>
      <c r="FT43" s="24">
        <f t="shared" si="168"/>
        <v>3065983.0344000007</v>
      </c>
      <c r="FU43" s="24">
        <f t="shared" si="168"/>
        <v>3065983.0344000007</v>
      </c>
      <c r="FV43" s="24">
        <f t="shared" si="168"/>
        <v>3065983.0344000007</v>
      </c>
      <c r="FW43" s="24">
        <f t="shared" si="168"/>
        <v>3065983.0344000007</v>
      </c>
      <c r="FX43" s="24">
        <f t="shared" si="168"/>
        <v>3065983.0344000007</v>
      </c>
      <c r="FY43" s="24">
        <f t="shared" si="168"/>
        <v>3065983.0344000007</v>
      </c>
      <c r="FZ43" s="24">
        <f t="shared" si="168"/>
        <v>3065983.0344000007</v>
      </c>
      <c r="GA43" s="24">
        <f t="shared" si="168"/>
        <v>3065983.0344000007</v>
      </c>
      <c r="GB43" s="24">
        <f t="shared" si="168"/>
        <v>3065983.0344000007</v>
      </c>
      <c r="GC43" s="24">
        <f t="shared" si="168"/>
        <v>3065983.0344000007</v>
      </c>
      <c r="GD43" s="24">
        <f t="shared" si="168"/>
        <v>3065983.0344000007</v>
      </c>
      <c r="GE43" s="24">
        <f t="shared" si="168"/>
        <v>3065983.0344000007</v>
      </c>
      <c r="GF43" s="24">
        <f t="shared" si="168"/>
        <v>3065983.0344000007</v>
      </c>
      <c r="GG43" s="24">
        <f t="shared" si="168"/>
        <v>3065983.0344000007</v>
      </c>
      <c r="GH43" s="24">
        <f t="shared" si="168"/>
        <v>3065983.0344000007</v>
      </c>
      <c r="GI43" s="24">
        <f t="shared" si="168"/>
        <v>3065983.0344000007</v>
      </c>
      <c r="GJ43" s="24">
        <f t="shared" si="168"/>
        <v>3065983.0344000007</v>
      </c>
      <c r="GK43" s="24">
        <f t="shared" si="168"/>
        <v>3065983.0344000007</v>
      </c>
      <c r="GL43" s="24">
        <f t="shared" si="168"/>
        <v>3065983.0344000007</v>
      </c>
      <c r="GM43" s="24">
        <f t="shared" si="168"/>
        <v>3183905.4588000006</v>
      </c>
      <c r="GN43" s="24">
        <f t="shared" si="169"/>
        <v>3183905.4588000006</v>
      </c>
      <c r="GO43" s="24">
        <f t="shared" si="169"/>
        <v>3183905.4588000006</v>
      </c>
      <c r="GP43" s="24">
        <f t="shared" si="169"/>
        <v>3183905.4588000006</v>
      </c>
      <c r="GQ43" s="24">
        <f t="shared" si="169"/>
        <v>3183905.4588000006</v>
      </c>
      <c r="GR43" s="24">
        <f t="shared" si="169"/>
        <v>3183905.4588000006</v>
      </c>
      <c r="GS43" s="24">
        <f t="shared" si="169"/>
        <v>3183905.4588000006</v>
      </c>
      <c r="GT43" s="24">
        <f t="shared" si="169"/>
        <v>3183905.4588000006</v>
      </c>
      <c r="GU43" s="24">
        <f t="shared" si="169"/>
        <v>3183905.4588000006</v>
      </c>
      <c r="GV43" s="24">
        <f t="shared" si="169"/>
        <v>3183905.4588000006</v>
      </c>
      <c r="GW43" s="24">
        <f t="shared" si="169"/>
        <v>3183905.4588000006</v>
      </c>
      <c r="GX43" s="24">
        <f t="shared" si="169"/>
        <v>3183905.4588000006</v>
      </c>
      <c r="GY43" s="24">
        <f t="shared" si="169"/>
        <v>3183905.4588000006</v>
      </c>
      <c r="GZ43" s="24">
        <f t="shared" si="169"/>
        <v>3183905.4588000006</v>
      </c>
      <c r="HA43" s="24">
        <f t="shared" si="169"/>
        <v>3183905.4588000006</v>
      </c>
      <c r="HB43" s="24">
        <f t="shared" si="169"/>
        <v>3183905.4588000006</v>
      </c>
      <c r="HC43" s="24">
        <f t="shared" si="169"/>
        <v>3183905.4588000006</v>
      </c>
      <c r="HD43" s="24">
        <f t="shared" si="169"/>
        <v>3183905.4588000006</v>
      </c>
      <c r="HE43" s="24">
        <f t="shared" si="169"/>
        <v>3183905.4588000006</v>
      </c>
      <c r="HF43" s="24">
        <f t="shared" si="169"/>
        <v>3183905.4588000006</v>
      </c>
      <c r="HG43" s="24">
        <f t="shared" si="169"/>
        <v>3183905.4588000006</v>
      </c>
      <c r="HH43" s="24">
        <f t="shared" si="169"/>
        <v>3183905.4588000006</v>
      </c>
      <c r="HI43" s="24">
        <f t="shared" si="169"/>
        <v>3183905.4588000006</v>
      </c>
      <c r="HJ43" s="24">
        <f t="shared" si="169"/>
        <v>3183905.4588000006</v>
      </c>
      <c r="HK43" s="24">
        <f t="shared" si="169"/>
        <v>3301827.883200001</v>
      </c>
      <c r="HL43" s="24">
        <f t="shared" si="169"/>
        <v>3301827.883200001</v>
      </c>
      <c r="HM43" s="24">
        <f t="shared" si="169"/>
        <v>3301827.883200001</v>
      </c>
      <c r="HN43" s="24">
        <f t="shared" si="169"/>
        <v>3301827.883200001</v>
      </c>
      <c r="HO43" s="24">
        <f t="shared" si="169"/>
        <v>3301827.883200001</v>
      </c>
      <c r="HP43" s="24">
        <f t="shared" si="169"/>
        <v>3301827.883200001</v>
      </c>
      <c r="HQ43" s="24">
        <f t="shared" si="169"/>
        <v>3301827.883200001</v>
      </c>
      <c r="HR43" s="24">
        <f t="shared" si="169"/>
        <v>3301827.883200001</v>
      </c>
      <c r="HS43" s="24">
        <f t="shared" si="169"/>
        <v>3301827.883200001</v>
      </c>
      <c r="HT43" s="24">
        <f t="shared" si="169"/>
        <v>3301827.883200001</v>
      </c>
      <c r="HU43" s="24">
        <f t="shared" si="169"/>
        <v>3301827.883200001</v>
      </c>
      <c r="HV43" s="24">
        <f t="shared" si="169"/>
        <v>3301827.883200001</v>
      </c>
      <c r="HW43" s="24">
        <f t="shared" si="169"/>
        <v>3301827.883200001</v>
      </c>
      <c r="HX43" s="24">
        <f t="shared" si="169"/>
        <v>3301827.883200001</v>
      </c>
      <c r="HY43" s="24">
        <f t="shared" si="169"/>
        <v>3301827.883200001</v>
      </c>
      <c r="HZ43" s="24">
        <f t="shared" si="169"/>
        <v>3301827.883200001</v>
      </c>
      <c r="IA43" s="24">
        <f t="shared" si="169"/>
        <v>3301827.883200001</v>
      </c>
      <c r="IB43" s="24">
        <f t="shared" si="169"/>
        <v>3301827.883200001</v>
      </c>
      <c r="IC43" s="24">
        <f t="shared" si="169"/>
        <v>3301827.883200001</v>
      </c>
      <c r="ID43" s="24">
        <f t="shared" si="169"/>
        <v>3301827.883200001</v>
      </c>
      <c r="IE43" s="24">
        <f t="shared" si="169"/>
        <v>3301827.883200001</v>
      </c>
      <c r="IF43" s="24">
        <f t="shared" si="169"/>
        <v>3301827.883200001</v>
      </c>
      <c r="IG43" s="24">
        <f t="shared" si="169"/>
        <v>3301827.883200001</v>
      </c>
      <c r="IH43" s="24">
        <f t="shared" si="169"/>
        <v>3301827.883200001</v>
      </c>
      <c r="II43" s="20">
        <f t="shared" si="170"/>
        <v>576099599.48640132</v>
      </c>
    </row>
    <row r="44" spans="1:243" x14ac:dyDescent="0.45">
      <c r="A44" s="58" t="s">
        <v>203</v>
      </c>
      <c r="B44" s="61">
        <f>'WH Schedule'!Y21</f>
        <v>10510.02</v>
      </c>
      <c r="C44" s="24">
        <f t="shared" si="171"/>
        <v>0</v>
      </c>
      <c r="D44" s="24">
        <f t="shared" ref="D44:BO47" si="172">$B44*D27*D8</f>
        <v>0</v>
      </c>
      <c r="E44" s="24">
        <f t="shared" si="172"/>
        <v>0</v>
      </c>
      <c r="F44" s="24">
        <f t="shared" si="172"/>
        <v>0</v>
      </c>
      <c r="G44" s="24">
        <f t="shared" si="172"/>
        <v>0</v>
      </c>
      <c r="H44" s="24">
        <f t="shared" si="172"/>
        <v>0</v>
      </c>
      <c r="I44" s="24">
        <f t="shared" si="172"/>
        <v>0</v>
      </c>
      <c r="J44" s="24">
        <f t="shared" si="172"/>
        <v>0</v>
      </c>
      <c r="K44" s="24">
        <f t="shared" si="172"/>
        <v>0</v>
      </c>
      <c r="L44" s="24">
        <f t="shared" si="172"/>
        <v>0</v>
      </c>
      <c r="M44" s="24">
        <f t="shared" si="172"/>
        <v>0</v>
      </c>
      <c r="N44" s="24">
        <f t="shared" si="172"/>
        <v>0</v>
      </c>
      <c r="O44" s="24">
        <f t="shared" si="172"/>
        <v>0</v>
      </c>
      <c r="P44" s="24">
        <f t="shared" si="172"/>
        <v>0</v>
      </c>
      <c r="Q44" s="24">
        <f t="shared" si="172"/>
        <v>0</v>
      </c>
      <c r="R44" s="24">
        <f t="shared" si="172"/>
        <v>0</v>
      </c>
      <c r="S44" s="24">
        <f t="shared" si="172"/>
        <v>0</v>
      </c>
      <c r="T44" s="24">
        <f t="shared" si="172"/>
        <v>0</v>
      </c>
      <c r="U44" s="24">
        <f t="shared" si="172"/>
        <v>0</v>
      </c>
      <c r="V44" s="24">
        <f t="shared" si="172"/>
        <v>0</v>
      </c>
      <c r="W44" s="24">
        <f t="shared" si="172"/>
        <v>0</v>
      </c>
      <c r="X44" s="24">
        <f t="shared" si="172"/>
        <v>0</v>
      </c>
      <c r="Y44" s="24">
        <f t="shared" si="172"/>
        <v>0</v>
      </c>
      <c r="Z44" s="24">
        <f t="shared" si="172"/>
        <v>0</v>
      </c>
      <c r="AA44" s="24">
        <f t="shared" si="172"/>
        <v>378360.72000000003</v>
      </c>
      <c r="AB44" s="24">
        <f t="shared" si="172"/>
        <v>378360.72000000003</v>
      </c>
      <c r="AC44" s="24">
        <f t="shared" si="172"/>
        <v>378360.72000000003</v>
      </c>
      <c r="AD44" s="24">
        <f t="shared" si="172"/>
        <v>378360.72000000003</v>
      </c>
      <c r="AE44" s="24">
        <f t="shared" si="172"/>
        <v>378360.72000000003</v>
      </c>
      <c r="AF44" s="24">
        <f t="shared" si="172"/>
        <v>378360.72000000003</v>
      </c>
      <c r="AG44" s="24">
        <f t="shared" si="172"/>
        <v>378360.72000000003</v>
      </c>
      <c r="AH44" s="24">
        <f t="shared" si="172"/>
        <v>378360.72000000003</v>
      </c>
      <c r="AI44" s="24">
        <f t="shared" si="172"/>
        <v>378360.72000000003</v>
      </c>
      <c r="AJ44" s="24">
        <f t="shared" si="172"/>
        <v>378360.72000000003</v>
      </c>
      <c r="AK44" s="24">
        <f t="shared" si="172"/>
        <v>378360.72000000003</v>
      </c>
      <c r="AL44" s="24">
        <f t="shared" si="172"/>
        <v>378360.72000000003</v>
      </c>
      <c r="AM44" s="24">
        <f t="shared" si="172"/>
        <v>630601.20000000007</v>
      </c>
      <c r="AN44" s="24">
        <f t="shared" si="172"/>
        <v>630601.20000000007</v>
      </c>
      <c r="AO44" s="24">
        <f t="shared" si="172"/>
        <v>630601.20000000007</v>
      </c>
      <c r="AP44" s="24">
        <f t="shared" si="172"/>
        <v>630601.20000000007</v>
      </c>
      <c r="AQ44" s="24">
        <f t="shared" si="172"/>
        <v>630601.20000000007</v>
      </c>
      <c r="AR44" s="24">
        <f t="shared" si="172"/>
        <v>630601.20000000007</v>
      </c>
      <c r="AS44" s="24">
        <f t="shared" si="172"/>
        <v>630601.20000000007</v>
      </c>
      <c r="AT44" s="24">
        <f t="shared" si="172"/>
        <v>630601.20000000007</v>
      </c>
      <c r="AU44" s="24">
        <f t="shared" si="172"/>
        <v>630601.20000000007</v>
      </c>
      <c r="AV44" s="24">
        <f t="shared" si="172"/>
        <v>630601.20000000007</v>
      </c>
      <c r="AW44" s="24">
        <f t="shared" si="172"/>
        <v>630601.20000000007</v>
      </c>
      <c r="AX44" s="24">
        <f t="shared" si="172"/>
        <v>630601.20000000007</v>
      </c>
      <c r="AY44" s="24">
        <f t="shared" si="172"/>
        <v>926983.76399999997</v>
      </c>
      <c r="AZ44" s="24">
        <f t="shared" si="172"/>
        <v>926983.76399999997</v>
      </c>
      <c r="BA44" s="24">
        <f t="shared" si="172"/>
        <v>926983.76399999997</v>
      </c>
      <c r="BB44" s="24">
        <f t="shared" si="172"/>
        <v>926983.76399999997</v>
      </c>
      <c r="BC44" s="24">
        <f t="shared" si="172"/>
        <v>926983.76399999997</v>
      </c>
      <c r="BD44" s="24">
        <f t="shared" si="172"/>
        <v>926983.76399999997</v>
      </c>
      <c r="BE44" s="24">
        <f t="shared" si="172"/>
        <v>926983.76399999997</v>
      </c>
      <c r="BF44" s="24">
        <f t="shared" si="172"/>
        <v>926983.76399999997</v>
      </c>
      <c r="BG44" s="24">
        <f t="shared" si="172"/>
        <v>926983.76399999997</v>
      </c>
      <c r="BH44" s="24">
        <f t="shared" si="172"/>
        <v>926983.76399999997</v>
      </c>
      <c r="BI44" s="24">
        <f t="shared" si="172"/>
        <v>926983.76399999997</v>
      </c>
      <c r="BJ44" s="24">
        <f t="shared" si="172"/>
        <v>926983.76399999997</v>
      </c>
      <c r="BK44" s="24">
        <f t="shared" si="172"/>
        <v>1125623.142</v>
      </c>
      <c r="BL44" s="24">
        <f t="shared" si="172"/>
        <v>1125623.142</v>
      </c>
      <c r="BM44" s="24">
        <f t="shared" si="172"/>
        <v>1125623.142</v>
      </c>
      <c r="BN44" s="24">
        <f t="shared" si="172"/>
        <v>1125623.142</v>
      </c>
      <c r="BO44" s="24">
        <f t="shared" si="172"/>
        <v>1125623.142</v>
      </c>
      <c r="BP44" s="24">
        <f t="shared" si="167"/>
        <v>1125623.142</v>
      </c>
      <c r="BQ44" s="24">
        <f t="shared" si="167"/>
        <v>1125623.142</v>
      </c>
      <c r="BR44" s="24">
        <f t="shared" si="167"/>
        <v>1125623.142</v>
      </c>
      <c r="BS44" s="24">
        <f t="shared" si="167"/>
        <v>1125623.142</v>
      </c>
      <c r="BT44" s="24">
        <f t="shared" si="167"/>
        <v>1125623.142</v>
      </c>
      <c r="BU44" s="24">
        <f t="shared" si="167"/>
        <v>1125623.142</v>
      </c>
      <c r="BV44" s="24">
        <f t="shared" si="167"/>
        <v>1125623.142</v>
      </c>
      <c r="BW44" s="24">
        <f t="shared" si="167"/>
        <v>1179224.2440000002</v>
      </c>
      <c r="BX44" s="24">
        <f t="shared" si="167"/>
        <v>1179224.2440000002</v>
      </c>
      <c r="BY44" s="24">
        <f t="shared" si="167"/>
        <v>1179224.2440000002</v>
      </c>
      <c r="BZ44" s="24">
        <f t="shared" si="167"/>
        <v>1179224.2440000002</v>
      </c>
      <c r="CA44" s="24">
        <f t="shared" si="167"/>
        <v>1179224.2440000002</v>
      </c>
      <c r="CB44" s="24">
        <f t="shared" si="167"/>
        <v>1179224.2440000002</v>
      </c>
      <c r="CC44" s="24">
        <f t="shared" si="167"/>
        <v>1179224.2440000002</v>
      </c>
      <c r="CD44" s="24">
        <f t="shared" si="167"/>
        <v>1179224.2440000002</v>
      </c>
      <c r="CE44" s="24">
        <f t="shared" si="167"/>
        <v>1179224.2440000002</v>
      </c>
      <c r="CF44" s="24">
        <f t="shared" si="167"/>
        <v>1179224.2440000002</v>
      </c>
      <c r="CG44" s="24">
        <f t="shared" si="167"/>
        <v>1179224.2440000002</v>
      </c>
      <c r="CH44" s="24">
        <f t="shared" si="167"/>
        <v>1179224.2440000002</v>
      </c>
      <c r="CI44" s="24">
        <f t="shared" si="167"/>
        <v>1179224.2440000002</v>
      </c>
      <c r="CJ44" s="24">
        <f t="shared" si="167"/>
        <v>1179224.2440000002</v>
      </c>
      <c r="CK44" s="24">
        <f t="shared" si="167"/>
        <v>1179224.2440000002</v>
      </c>
      <c r="CL44" s="24">
        <f t="shared" si="167"/>
        <v>1179224.2440000002</v>
      </c>
      <c r="CM44" s="24">
        <f t="shared" si="167"/>
        <v>1179224.2440000002</v>
      </c>
      <c r="CN44" s="24">
        <f t="shared" si="167"/>
        <v>1179224.2440000002</v>
      </c>
      <c r="CO44" s="24">
        <f t="shared" si="167"/>
        <v>1179224.2440000002</v>
      </c>
      <c r="CP44" s="24">
        <f t="shared" si="167"/>
        <v>1179224.2440000002</v>
      </c>
      <c r="CQ44" s="24">
        <f t="shared" si="167"/>
        <v>1179224.2440000002</v>
      </c>
      <c r="CR44" s="24">
        <f t="shared" si="167"/>
        <v>1179224.2440000002</v>
      </c>
      <c r="CS44" s="24">
        <f t="shared" si="167"/>
        <v>1179224.2440000002</v>
      </c>
      <c r="CT44" s="24">
        <f t="shared" si="167"/>
        <v>1179224.2440000002</v>
      </c>
      <c r="CU44" s="24">
        <f t="shared" si="167"/>
        <v>1232825.3460000004</v>
      </c>
      <c r="CV44" s="24">
        <f t="shared" si="167"/>
        <v>1232825.3460000004</v>
      </c>
      <c r="CW44" s="24">
        <f t="shared" si="167"/>
        <v>1232825.3460000004</v>
      </c>
      <c r="CX44" s="24">
        <f t="shared" si="167"/>
        <v>1232825.3460000004</v>
      </c>
      <c r="CY44" s="24">
        <f t="shared" si="167"/>
        <v>1232825.3460000004</v>
      </c>
      <c r="CZ44" s="24">
        <f t="shared" si="167"/>
        <v>1232825.3460000004</v>
      </c>
      <c r="DA44" s="24">
        <f t="shared" si="167"/>
        <v>1232825.3460000004</v>
      </c>
      <c r="DB44" s="24">
        <f t="shared" si="167"/>
        <v>1232825.3460000004</v>
      </c>
      <c r="DC44" s="24">
        <f t="shared" si="167"/>
        <v>1232825.3460000004</v>
      </c>
      <c r="DD44" s="24">
        <f t="shared" si="167"/>
        <v>1232825.3460000004</v>
      </c>
      <c r="DE44" s="24">
        <f t="shared" si="167"/>
        <v>1232825.3460000004</v>
      </c>
      <c r="DF44" s="24">
        <f t="shared" si="167"/>
        <v>1232825.3460000004</v>
      </c>
      <c r="DG44" s="24">
        <f t="shared" si="167"/>
        <v>1232825.3460000004</v>
      </c>
      <c r="DH44" s="24">
        <f t="shared" si="167"/>
        <v>1232825.3460000004</v>
      </c>
      <c r="DI44" s="24">
        <f t="shared" si="167"/>
        <v>1232825.3460000004</v>
      </c>
      <c r="DJ44" s="24">
        <f t="shared" si="167"/>
        <v>1232825.3460000004</v>
      </c>
      <c r="DK44" s="24">
        <f t="shared" si="167"/>
        <v>1232825.3460000004</v>
      </c>
      <c r="DL44" s="24">
        <f t="shared" si="167"/>
        <v>1232825.3460000004</v>
      </c>
      <c r="DM44" s="24">
        <f t="shared" si="167"/>
        <v>1232825.3460000004</v>
      </c>
      <c r="DN44" s="24">
        <f t="shared" si="167"/>
        <v>1232825.3460000004</v>
      </c>
      <c r="DO44" s="24">
        <f t="shared" si="167"/>
        <v>1232825.3460000004</v>
      </c>
      <c r="DP44" s="24">
        <f t="shared" si="167"/>
        <v>1232825.3460000004</v>
      </c>
      <c r="DQ44" s="24">
        <f t="shared" si="167"/>
        <v>1232825.3460000004</v>
      </c>
      <c r="DR44" s="24">
        <f t="shared" si="167"/>
        <v>1232825.3460000004</v>
      </c>
      <c r="DS44" s="24">
        <f t="shared" si="167"/>
        <v>1286426.4480000003</v>
      </c>
      <c r="DT44" s="24">
        <f t="shared" si="167"/>
        <v>1286426.4480000003</v>
      </c>
      <c r="DU44" s="24">
        <f t="shared" si="167"/>
        <v>1286426.4480000003</v>
      </c>
      <c r="DV44" s="24">
        <f t="shared" si="167"/>
        <v>1286426.4480000003</v>
      </c>
      <c r="DW44" s="24">
        <f t="shared" si="167"/>
        <v>1286426.4480000003</v>
      </c>
      <c r="DX44" s="24">
        <f t="shared" si="167"/>
        <v>1286426.4480000003</v>
      </c>
      <c r="DY44" s="24">
        <f t="shared" si="167"/>
        <v>1286426.4480000003</v>
      </c>
      <c r="DZ44" s="24">
        <f t="shared" si="167"/>
        <v>1286426.4480000003</v>
      </c>
      <c r="EA44" s="24">
        <f t="shared" si="167"/>
        <v>1286426.4480000003</v>
      </c>
      <c r="EB44" s="24">
        <f t="shared" si="168"/>
        <v>1286426.4480000003</v>
      </c>
      <c r="EC44" s="24">
        <f t="shared" si="168"/>
        <v>1286426.4480000003</v>
      </c>
      <c r="ED44" s="24">
        <f t="shared" si="168"/>
        <v>1286426.4480000003</v>
      </c>
      <c r="EE44" s="24">
        <f t="shared" si="168"/>
        <v>1286426.4480000003</v>
      </c>
      <c r="EF44" s="24">
        <f t="shared" si="168"/>
        <v>1286426.4480000003</v>
      </c>
      <c r="EG44" s="24">
        <f t="shared" si="168"/>
        <v>1286426.4480000003</v>
      </c>
      <c r="EH44" s="24">
        <f t="shared" si="168"/>
        <v>1286426.4480000003</v>
      </c>
      <c r="EI44" s="24">
        <f t="shared" si="168"/>
        <v>1286426.4480000003</v>
      </c>
      <c r="EJ44" s="24">
        <f t="shared" si="168"/>
        <v>1286426.4480000003</v>
      </c>
      <c r="EK44" s="24">
        <f t="shared" si="168"/>
        <v>1286426.4480000003</v>
      </c>
      <c r="EL44" s="24">
        <f t="shared" si="168"/>
        <v>1286426.4480000003</v>
      </c>
      <c r="EM44" s="24">
        <f t="shared" si="168"/>
        <v>1286426.4480000003</v>
      </c>
      <c r="EN44" s="24">
        <f t="shared" si="168"/>
        <v>1286426.4480000003</v>
      </c>
      <c r="EO44" s="24">
        <f t="shared" si="168"/>
        <v>1286426.4480000003</v>
      </c>
      <c r="EP44" s="24">
        <f t="shared" si="168"/>
        <v>1286426.4480000003</v>
      </c>
      <c r="EQ44" s="24">
        <f t="shared" si="168"/>
        <v>1340027.5500000003</v>
      </c>
      <c r="ER44" s="24">
        <f t="shared" si="168"/>
        <v>1340027.5500000003</v>
      </c>
      <c r="ES44" s="24">
        <f t="shared" si="168"/>
        <v>1340027.5500000003</v>
      </c>
      <c r="ET44" s="24">
        <f t="shared" si="168"/>
        <v>1340027.5500000003</v>
      </c>
      <c r="EU44" s="24">
        <f t="shared" si="168"/>
        <v>1340027.5500000003</v>
      </c>
      <c r="EV44" s="24">
        <f t="shared" si="168"/>
        <v>1340027.5500000003</v>
      </c>
      <c r="EW44" s="24">
        <f t="shared" si="168"/>
        <v>1340027.5500000003</v>
      </c>
      <c r="EX44" s="24">
        <f t="shared" si="168"/>
        <v>1340027.5500000003</v>
      </c>
      <c r="EY44" s="24">
        <f t="shared" si="168"/>
        <v>1340027.5500000003</v>
      </c>
      <c r="EZ44" s="24">
        <f t="shared" si="168"/>
        <v>1340027.5500000003</v>
      </c>
      <c r="FA44" s="24">
        <f t="shared" si="168"/>
        <v>1340027.5500000003</v>
      </c>
      <c r="FB44" s="24">
        <f t="shared" si="168"/>
        <v>1340027.5500000003</v>
      </c>
      <c r="FC44" s="24">
        <f t="shared" si="168"/>
        <v>1340027.5500000003</v>
      </c>
      <c r="FD44" s="24">
        <f t="shared" si="168"/>
        <v>1340027.5500000003</v>
      </c>
      <c r="FE44" s="24">
        <f t="shared" si="168"/>
        <v>1340027.5500000003</v>
      </c>
      <c r="FF44" s="24">
        <f t="shared" si="168"/>
        <v>1340027.5500000003</v>
      </c>
      <c r="FG44" s="24">
        <f t="shared" si="168"/>
        <v>1340027.5500000003</v>
      </c>
      <c r="FH44" s="24">
        <f t="shared" si="168"/>
        <v>1340027.5500000003</v>
      </c>
      <c r="FI44" s="24">
        <f t="shared" si="168"/>
        <v>1340027.5500000003</v>
      </c>
      <c r="FJ44" s="24">
        <f t="shared" si="168"/>
        <v>1340027.5500000003</v>
      </c>
      <c r="FK44" s="24">
        <f t="shared" si="168"/>
        <v>1340027.5500000003</v>
      </c>
      <c r="FL44" s="24">
        <f t="shared" si="168"/>
        <v>1340027.5500000003</v>
      </c>
      <c r="FM44" s="24">
        <f t="shared" si="168"/>
        <v>1340027.5500000003</v>
      </c>
      <c r="FN44" s="24">
        <f t="shared" si="168"/>
        <v>1340027.5500000003</v>
      </c>
      <c r="FO44" s="24">
        <f t="shared" si="168"/>
        <v>1393628.6520000002</v>
      </c>
      <c r="FP44" s="24">
        <f t="shared" si="168"/>
        <v>1393628.6520000002</v>
      </c>
      <c r="FQ44" s="24">
        <f t="shared" si="168"/>
        <v>1393628.6520000002</v>
      </c>
      <c r="FR44" s="24">
        <f t="shared" si="168"/>
        <v>1393628.6520000002</v>
      </c>
      <c r="FS44" s="24">
        <f t="shared" si="168"/>
        <v>1393628.6520000002</v>
      </c>
      <c r="FT44" s="24">
        <f t="shared" si="168"/>
        <v>1393628.6520000002</v>
      </c>
      <c r="FU44" s="24">
        <f t="shared" si="168"/>
        <v>1393628.6520000002</v>
      </c>
      <c r="FV44" s="24">
        <f t="shared" si="168"/>
        <v>1393628.6520000002</v>
      </c>
      <c r="FW44" s="24">
        <f t="shared" si="168"/>
        <v>1393628.6520000002</v>
      </c>
      <c r="FX44" s="24">
        <f t="shared" si="168"/>
        <v>1393628.6520000002</v>
      </c>
      <c r="FY44" s="24">
        <f t="shared" si="168"/>
        <v>1393628.6520000002</v>
      </c>
      <c r="FZ44" s="24">
        <f t="shared" si="168"/>
        <v>1393628.6520000002</v>
      </c>
      <c r="GA44" s="24">
        <f t="shared" si="168"/>
        <v>1393628.6520000002</v>
      </c>
      <c r="GB44" s="24">
        <f t="shared" si="168"/>
        <v>1393628.6520000002</v>
      </c>
      <c r="GC44" s="24">
        <f t="shared" si="168"/>
        <v>1393628.6520000002</v>
      </c>
      <c r="GD44" s="24">
        <f t="shared" si="168"/>
        <v>1393628.6520000002</v>
      </c>
      <c r="GE44" s="24">
        <f t="shared" si="168"/>
        <v>1393628.6520000002</v>
      </c>
      <c r="GF44" s="24">
        <f t="shared" si="168"/>
        <v>1393628.6520000002</v>
      </c>
      <c r="GG44" s="24">
        <f t="shared" si="168"/>
        <v>1393628.6520000002</v>
      </c>
      <c r="GH44" s="24">
        <f t="shared" si="168"/>
        <v>1393628.6520000002</v>
      </c>
      <c r="GI44" s="24">
        <f t="shared" si="168"/>
        <v>1393628.6520000002</v>
      </c>
      <c r="GJ44" s="24">
        <f t="shared" si="168"/>
        <v>1393628.6520000002</v>
      </c>
      <c r="GK44" s="24">
        <f t="shared" si="168"/>
        <v>1393628.6520000002</v>
      </c>
      <c r="GL44" s="24">
        <f t="shared" si="168"/>
        <v>1393628.6520000002</v>
      </c>
      <c r="GM44" s="24">
        <f t="shared" si="168"/>
        <v>1447229.7540000004</v>
      </c>
      <c r="GN44" s="24">
        <f t="shared" si="169"/>
        <v>1447229.7540000004</v>
      </c>
      <c r="GO44" s="24">
        <f t="shared" si="169"/>
        <v>1447229.7540000004</v>
      </c>
      <c r="GP44" s="24">
        <f t="shared" si="169"/>
        <v>1447229.7540000004</v>
      </c>
      <c r="GQ44" s="24">
        <f t="shared" si="169"/>
        <v>1447229.7540000004</v>
      </c>
      <c r="GR44" s="24">
        <f t="shared" si="169"/>
        <v>1447229.7540000004</v>
      </c>
      <c r="GS44" s="24">
        <f t="shared" si="169"/>
        <v>1447229.7540000004</v>
      </c>
      <c r="GT44" s="24">
        <f t="shared" si="169"/>
        <v>1447229.7540000004</v>
      </c>
      <c r="GU44" s="24">
        <f t="shared" si="169"/>
        <v>1447229.7540000004</v>
      </c>
      <c r="GV44" s="24">
        <f t="shared" si="169"/>
        <v>1447229.7540000004</v>
      </c>
      <c r="GW44" s="24">
        <f t="shared" si="169"/>
        <v>1447229.7540000004</v>
      </c>
      <c r="GX44" s="24">
        <f t="shared" si="169"/>
        <v>1447229.7540000004</v>
      </c>
      <c r="GY44" s="24">
        <f t="shared" si="169"/>
        <v>1447229.7540000004</v>
      </c>
      <c r="GZ44" s="24">
        <f t="shared" si="169"/>
        <v>1447229.7540000004</v>
      </c>
      <c r="HA44" s="24">
        <f t="shared" si="169"/>
        <v>1447229.7540000004</v>
      </c>
      <c r="HB44" s="24">
        <f t="shared" si="169"/>
        <v>1447229.7540000004</v>
      </c>
      <c r="HC44" s="24">
        <f t="shared" si="169"/>
        <v>1447229.7540000004</v>
      </c>
      <c r="HD44" s="24">
        <f t="shared" si="169"/>
        <v>1447229.7540000004</v>
      </c>
      <c r="HE44" s="24">
        <f t="shared" si="169"/>
        <v>1447229.7540000004</v>
      </c>
      <c r="HF44" s="24">
        <f t="shared" si="169"/>
        <v>1447229.7540000004</v>
      </c>
      <c r="HG44" s="24">
        <f t="shared" si="169"/>
        <v>1447229.7540000004</v>
      </c>
      <c r="HH44" s="24">
        <f t="shared" si="169"/>
        <v>1447229.7540000004</v>
      </c>
      <c r="HI44" s="24">
        <f t="shared" si="169"/>
        <v>1447229.7540000004</v>
      </c>
      <c r="HJ44" s="24">
        <f t="shared" si="169"/>
        <v>1447229.7540000004</v>
      </c>
      <c r="HK44" s="24">
        <f t="shared" si="169"/>
        <v>1500830.8560000004</v>
      </c>
      <c r="HL44" s="24">
        <f t="shared" si="169"/>
        <v>1500830.8560000004</v>
      </c>
      <c r="HM44" s="24">
        <f t="shared" si="169"/>
        <v>1500830.8560000004</v>
      </c>
      <c r="HN44" s="24">
        <f t="shared" si="169"/>
        <v>1500830.8560000004</v>
      </c>
      <c r="HO44" s="24">
        <f t="shared" si="169"/>
        <v>1500830.8560000004</v>
      </c>
      <c r="HP44" s="24">
        <f t="shared" si="169"/>
        <v>1500830.8560000004</v>
      </c>
      <c r="HQ44" s="24">
        <f t="shared" si="169"/>
        <v>1500830.8560000004</v>
      </c>
      <c r="HR44" s="24">
        <f t="shared" si="169"/>
        <v>1500830.8560000004</v>
      </c>
      <c r="HS44" s="24">
        <f t="shared" si="169"/>
        <v>1500830.8560000004</v>
      </c>
      <c r="HT44" s="24">
        <f t="shared" si="169"/>
        <v>1500830.8560000004</v>
      </c>
      <c r="HU44" s="24">
        <f t="shared" si="169"/>
        <v>1500830.8560000004</v>
      </c>
      <c r="HV44" s="24">
        <f t="shared" si="169"/>
        <v>1500830.8560000004</v>
      </c>
      <c r="HW44" s="24">
        <f t="shared" si="169"/>
        <v>1500830.8560000004</v>
      </c>
      <c r="HX44" s="24">
        <f t="shared" si="169"/>
        <v>1500830.8560000004</v>
      </c>
      <c r="HY44" s="24">
        <f t="shared" si="169"/>
        <v>1500830.8560000004</v>
      </c>
      <c r="HZ44" s="24">
        <f t="shared" si="169"/>
        <v>1500830.8560000004</v>
      </c>
      <c r="IA44" s="24">
        <f t="shared" si="169"/>
        <v>1500830.8560000004</v>
      </c>
      <c r="IB44" s="24">
        <f t="shared" si="169"/>
        <v>1500830.8560000004</v>
      </c>
      <c r="IC44" s="24">
        <f t="shared" si="169"/>
        <v>1500830.8560000004</v>
      </c>
      <c r="ID44" s="24">
        <f t="shared" si="169"/>
        <v>1500830.8560000004</v>
      </c>
      <c r="IE44" s="24">
        <f t="shared" si="169"/>
        <v>1500830.8560000004</v>
      </c>
      <c r="IF44" s="24">
        <f t="shared" si="169"/>
        <v>1500830.8560000004</v>
      </c>
      <c r="IG44" s="24">
        <f t="shared" si="169"/>
        <v>1500830.8560000004</v>
      </c>
      <c r="IH44" s="24">
        <f t="shared" si="169"/>
        <v>1500830.8560000004</v>
      </c>
      <c r="II44" s="20">
        <f t="shared" si="170"/>
        <v>261863454.31200081</v>
      </c>
    </row>
    <row r="45" spans="1:243" x14ac:dyDescent="0.45">
      <c r="A45" s="58" t="s">
        <v>202</v>
      </c>
      <c r="B45" s="61">
        <f>'WH Schedule'!S22</f>
        <v>0</v>
      </c>
      <c r="C45" s="24">
        <f t="shared" si="171"/>
        <v>0</v>
      </c>
      <c r="D45" s="24">
        <f t="shared" si="172"/>
        <v>0</v>
      </c>
      <c r="E45" s="24">
        <f t="shared" si="172"/>
        <v>0</v>
      </c>
      <c r="F45" s="24">
        <f t="shared" si="172"/>
        <v>0</v>
      </c>
      <c r="G45" s="24">
        <f t="shared" si="172"/>
        <v>0</v>
      </c>
      <c r="H45" s="24">
        <f t="shared" si="172"/>
        <v>0</v>
      </c>
      <c r="I45" s="24">
        <f t="shared" si="172"/>
        <v>0</v>
      </c>
      <c r="J45" s="24">
        <f t="shared" si="172"/>
        <v>0</v>
      </c>
      <c r="K45" s="24">
        <f t="shared" si="172"/>
        <v>0</v>
      </c>
      <c r="L45" s="24">
        <f t="shared" si="172"/>
        <v>0</v>
      </c>
      <c r="M45" s="24">
        <f t="shared" si="172"/>
        <v>0</v>
      </c>
      <c r="N45" s="24">
        <f t="shared" si="172"/>
        <v>0</v>
      </c>
      <c r="O45" s="24">
        <f t="shared" si="172"/>
        <v>0</v>
      </c>
      <c r="P45" s="24">
        <f t="shared" si="172"/>
        <v>0</v>
      </c>
      <c r="Q45" s="24">
        <f t="shared" si="172"/>
        <v>0</v>
      </c>
      <c r="R45" s="24">
        <f t="shared" si="172"/>
        <v>0</v>
      </c>
      <c r="S45" s="24">
        <f t="shared" si="172"/>
        <v>0</v>
      </c>
      <c r="T45" s="24">
        <f t="shared" si="172"/>
        <v>0</v>
      </c>
      <c r="U45" s="24">
        <f t="shared" si="172"/>
        <v>0</v>
      </c>
      <c r="V45" s="24">
        <f t="shared" si="172"/>
        <v>0</v>
      </c>
      <c r="W45" s="24">
        <f t="shared" si="172"/>
        <v>0</v>
      </c>
      <c r="X45" s="24">
        <f t="shared" si="172"/>
        <v>0</v>
      </c>
      <c r="Y45" s="24">
        <f t="shared" si="172"/>
        <v>0</v>
      </c>
      <c r="Z45" s="24">
        <f t="shared" si="172"/>
        <v>0</v>
      </c>
      <c r="AA45" s="24">
        <f t="shared" si="172"/>
        <v>0</v>
      </c>
      <c r="AB45" s="24">
        <f t="shared" si="172"/>
        <v>0</v>
      </c>
      <c r="AC45" s="24">
        <f t="shared" si="172"/>
        <v>0</v>
      </c>
      <c r="AD45" s="24">
        <f t="shared" si="172"/>
        <v>0</v>
      </c>
      <c r="AE45" s="24">
        <f t="shared" si="172"/>
        <v>0</v>
      </c>
      <c r="AF45" s="24">
        <f t="shared" si="172"/>
        <v>0</v>
      </c>
      <c r="AG45" s="24">
        <f t="shared" si="172"/>
        <v>0</v>
      </c>
      <c r="AH45" s="24">
        <f t="shared" si="172"/>
        <v>0</v>
      </c>
      <c r="AI45" s="24">
        <f t="shared" si="172"/>
        <v>0</v>
      </c>
      <c r="AJ45" s="24">
        <f t="shared" si="172"/>
        <v>0</v>
      </c>
      <c r="AK45" s="24">
        <f t="shared" si="172"/>
        <v>0</v>
      </c>
      <c r="AL45" s="24">
        <f t="shared" si="172"/>
        <v>0</v>
      </c>
      <c r="AM45" s="24">
        <f t="shared" si="172"/>
        <v>0</v>
      </c>
      <c r="AN45" s="24">
        <f t="shared" si="172"/>
        <v>0</v>
      </c>
      <c r="AO45" s="24">
        <f t="shared" si="172"/>
        <v>0</v>
      </c>
      <c r="AP45" s="24">
        <f t="shared" si="172"/>
        <v>0</v>
      </c>
      <c r="AQ45" s="24">
        <f t="shared" si="172"/>
        <v>0</v>
      </c>
      <c r="AR45" s="24">
        <f t="shared" si="172"/>
        <v>0</v>
      </c>
      <c r="AS45" s="24">
        <f t="shared" si="172"/>
        <v>0</v>
      </c>
      <c r="AT45" s="24">
        <f t="shared" si="172"/>
        <v>0</v>
      </c>
      <c r="AU45" s="24">
        <f t="shared" si="172"/>
        <v>0</v>
      </c>
      <c r="AV45" s="24">
        <f t="shared" si="172"/>
        <v>0</v>
      </c>
      <c r="AW45" s="24">
        <f t="shared" si="172"/>
        <v>0</v>
      </c>
      <c r="AX45" s="24">
        <f t="shared" si="172"/>
        <v>0</v>
      </c>
      <c r="AY45" s="24">
        <f t="shared" si="172"/>
        <v>0</v>
      </c>
      <c r="AZ45" s="24">
        <f t="shared" si="172"/>
        <v>0</v>
      </c>
      <c r="BA45" s="24">
        <f t="shared" si="172"/>
        <v>0</v>
      </c>
      <c r="BB45" s="24">
        <f t="shared" si="172"/>
        <v>0</v>
      </c>
      <c r="BC45" s="24">
        <f t="shared" si="172"/>
        <v>0</v>
      </c>
      <c r="BD45" s="24">
        <f t="shared" si="172"/>
        <v>0</v>
      </c>
      <c r="BE45" s="24">
        <f t="shared" si="172"/>
        <v>0</v>
      </c>
      <c r="BF45" s="24">
        <f t="shared" si="172"/>
        <v>0</v>
      </c>
      <c r="BG45" s="24">
        <f t="shared" si="172"/>
        <v>0</v>
      </c>
      <c r="BH45" s="24">
        <f t="shared" si="172"/>
        <v>0</v>
      </c>
      <c r="BI45" s="24">
        <f t="shared" si="172"/>
        <v>0</v>
      </c>
      <c r="BJ45" s="24">
        <f t="shared" si="172"/>
        <v>0</v>
      </c>
      <c r="BK45" s="24">
        <f t="shared" si="172"/>
        <v>0</v>
      </c>
      <c r="BL45" s="24">
        <f t="shared" si="172"/>
        <v>0</v>
      </c>
      <c r="BM45" s="24">
        <f t="shared" si="172"/>
        <v>0</v>
      </c>
      <c r="BN45" s="24">
        <f t="shared" si="172"/>
        <v>0</v>
      </c>
      <c r="BO45" s="24">
        <f t="shared" si="172"/>
        <v>0</v>
      </c>
      <c r="BP45" s="24">
        <f t="shared" si="167"/>
        <v>0</v>
      </c>
      <c r="BQ45" s="24">
        <f t="shared" si="167"/>
        <v>0</v>
      </c>
      <c r="BR45" s="24">
        <f t="shared" si="167"/>
        <v>0</v>
      </c>
      <c r="BS45" s="24">
        <f t="shared" si="167"/>
        <v>0</v>
      </c>
      <c r="BT45" s="24">
        <f t="shared" si="167"/>
        <v>0</v>
      </c>
      <c r="BU45" s="24">
        <f t="shared" si="167"/>
        <v>0</v>
      </c>
      <c r="BV45" s="24">
        <f t="shared" si="167"/>
        <v>0</v>
      </c>
      <c r="BW45" s="24">
        <f t="shared" si="167"/>
        <v>0</v>
      </c>
      <c r="BX45" s="24">
        <f t="shared" si="167"/>
        <v>0</v>
      </c>
      <c r="BY45" s="24">
        <f t="shared" si="167"/>
        <v>0</v>
      </c>
      <c r="BZ45" s="24">
        <f t="shared" si="167"/>
        <v>0</v>
      </c>
      <c r="CA45" s="24">
        <f t="shared" si="167"/>
        <v>0</v>
      </c>
      <c r="CB45" s="24">
        <f t="shared" si="167"/>
        <v>0</v>
      </c>
      <c r="CC45" s="24">
        <f t="shared" si="167"/>
        <v>0</v>
      </c>
      <c r="CD45" s="24">
        <f t="shared" si="167"/>
        <v>0</v>
      </c>
      <c r="CE45" s="24">
        <f t="shared" si="167"/>
        <v>0</v>
      </c>
      <c r="CF45" s="24">
        <f t="shared" si="167"/>
        <v>0</v>
      </c>
      <c r="CG45" s="24">
        <f t="shared" si="167"/>
        <v>0</v>
      </c>
      <c r="CH45" s="24">
        <f t="shared" si="167"/>
        <v>0</v>
      </c>
      <c r="CI45" s="24">
        <f t="shared" si="167"/>
        <v>0</v>
      </c>
      <c r="CJ45" s="24">
        <f t="shared" si="167"/>
        <v>0</v>
      </c>
      <c r="CK45" s="24">
        <f t="shared" si="167"/>
        <v>0</v>
      </c>
      <c r="CL45" s="24">
        <f t="shared" si="167"/>
        <v>0</v>
      </c>
      <c r="CM45" s="24">
        <f t="shared" si="167"/>
        <v>0</v>
      </c>
      <c r="CN45" s="24">
        <f t="shared" si="167"/>
        <v>0</v>
      </c>
      <c r="CO45" s="24">
        <f t="shared" si="167"/>
        <v>0</v>
      </c>
      <c r="CP45" s="24">
        <f t="shared" si="167"/>
        <v>0</v>
      </c>
      <c r="CQ45" s="24">
        <f t="shared" si="167"/>
        <v>0</v>
      </c>
      <c r="CR45" s="24">
        <f t="shared" si="167"/>
        <v>0</v>
      </c>
      <c r="CS45" s="24">
        <f t="shared" si="167"/>
        <v>0</v>
      </c>
      <c r="CT45" s="24">
        <f t="shared" si="167"/>
        <v>0</v>
      </c>
      <c r="CU45" s="24">
        <f t="shared" si="167"/>
        <v>0</v>
      </c>
      <c r="CV45" s="24">
        <f t="shared" si="167"/>
        <v>0</v>
      </c>
      <c r="CW45" s="24">
        <f t="shared" si="167"/>
        <v>0</v>
      </c>
      <c r="CX45" s="24">
        <f t="shared" si="167"/>
        <v>0</v>
      </c>
      <c r="CY45" s="24">
        <f t="shared" si="167"/>
        <v>0</v>
      </c>
      <c r="CZ45" s="24">
        <f t="shared" si="167"/>
        <v>0</v>
      </c>
      <c r="DA45" s="24">
        <f t="shared" si="167"/>
        <v>0</v>
      </c>
      <c r="DB45" s="24">
        <f t="shared" si="167"/>
        <v>0</v>
      </c>
      <c r="DC45" s="24">
        <f t="shared" si="167"/>
        <v>0</v>
      </c>
      <c r="DD45" s="24">
        <f t="shared" si="167"/>
        <v>0</v>
      </c>
      <c r="DE45" s="24">
        <f t="shared" si="167"/>
        <v>0</v>
      </c>
      <c r="DF45" s="24">
        <f t="shared" si="167"/>
        <v>0</v>
      </c>
      <c r="DG45" s="24">
        <f t="shared" si="167"/>
        <v>0</v>
      </c>
      <c r="DH45" s="24">
        <f t="shared" si="167"/>
        <v>0</v>
      </c>
      <c r="DI45" s="24">
        <f t="shared" si="167"/>
        <v>0</v>
      </c>
      <c r="DJ45" s="24">
        <f t="shared" si="167"/>
        <v>0</v>
      </c>
      <c r="DK45" s="24">
        <f t="shared" si="167"/>
        <v>0</v>
      </c>
      <c r="DL45" s="24">
        <f t="shared" si="167"/>
        <v>0</v>
      </c>
      <c r="DM45" s="24">
        <f t="shared" si="167"/>
        <v>0</v>
      </c>
      <c r="DN45" s="24">
        <f t="shared" si="167"/>
        <v>0</v>
      </c>
      <c r="DO45" s="24">
        <f t="shared" si="167"/>
        <v>0</v>
      </c>
      <c r="DP45" s="24">
        <f t="shared" si="167"/>
        <v>0</v>
      </c>
      <c r="DQ45" s="24">
        <f t="shared" si="167"/>
        <v>0</v>
      </c>
      <c r="DR45" s="24">
        <f t="shared" si="167"/>
        <v>0</v>
      </c>
      <c r="DS45" s="24">
        <f t="shared" si="167"/>
        <v>0</v>
      </c>
      <c r="DT45" s="24">
        <f t="shared" si="167"/>
        <v>0</v>
      </c>
      <c r="DU45" s="24">
        <f t="shared" si="167"/>
        <v>0</v>
      </c>
      <c r="DV45" s="24">
        <f t="shared" si="167"/>
        <v>0</v>
      </c>
      <c r="DW45" s="24">
        <f t="shared" si="167"/>
        <v>0</v>
      </c>
      <c r="DX45" s="24">
        <f t="shared" si="167"/>
        <v>0</v>
      </c>
      <c r="DY45" s="24">
        <f t="shared" si="167"/>
        <v>0</v>
      </c>
      <c r="DZ45" s="24">
        <f t="shared" si="167"/>
        <v>0</v>
      </c>
      <c r="EA45" s="24">
        <f t="shared" ref="EA45:GL49" si="173">$B45*EA28*EA9</f>
        <v>0</v>
      </c>
      <c r="EB45" s="24">
        <f t="shared" si="173"/>
        <v>0</v>
      </c>
      <c r="EC45" s="24">
        <f t="shared" si="173"/>
        <v>0</v>
      </c>
      <c r="ED45" s="24">
        <f t="shared" si="173"/>
        <v>0</v>
      </c>
      <c r="EE45" s="24">
        <f t="shared" si="173"/>
        <v>0</v>
      </c>
      <c r="EF45" s="24">
        <f t="shared" si="173"/>
        <v>0</v>
      </c>
      <c r="EG45" s="24">
        <f t="shared" si="173"/>
        <v>0</v>
      </c>
      <c r="EH45" s="24">
        <f t="shared" si="173"/>
        <v>0</v>
      </c>
      <c r="EI45" s="24">
        <f t="shared" si="173"/>
        <v>0</v>
      </c>
      <c r="EJ45" s="24">
        <f t="shared" si="173"/>
        <v>0</v>
      </c>
      <c r="EK45" s="24">
        <f t="shared" si="173"/>
        <v>0</v>
      </c>
      <c r="EL45" s="24">
        <f t="shared" si="173"/>
        <v>0</v>
      </c>
      <c r="EM45" s="24">
        <f t="shared" si="173"/>
        <v>0</v>
      </c>
      <c r="EN45" s="24">
        <f t="shared" si="173"/>
        <v>0</v>
      </c>
      <c r="EO45" s="24">
        <f t="shared" si="173"/>
        <v>0</v>
      </c>
      <c r="EP45" s="24">
        <f t="shared" si="173"/>
        <v>0</v>
      </c>
      <c r="EQ45" s="24">
        <f t="shared" si="173"/>
        <v>0</v>
      </c>
      <c r="ER45" s="24">
        <f t="shared" si="173"/>
        <v>0</v>
      </c>
      <c r="ES45" s="24">
        <f t="shared" si="173"/>
        <v>0</v>
      </c>
      <c r="ET45" s="24">
        <f t="shared" si="173"/>
        <v>0</v>
      </c>
      <c r="EU45" s="24">
        <f t="shared" si="173"/>
        <v>0</v>
      </c>
      <c r="EV45" s="24">
        <f t="shared" si="173"/>
        <v>0</v>
      </c>
      <c r="EW45" s="24">
        <f t="shared" si="173"/>
        <v>0</v>
      </c>
      <c r="EX45" s="24">
        <f t="shared" si="173"/>
        <v>0</v>
      </c>
      <c r="EY45" s="24">
        <f t="shared" si="173"/>
        <v>0</v>
      </c>
      <c r="EZ45" s="24">
        <f t="shared" si="173"/>
        <v>0</v>
      </c>
      <c r="FA45" s="24">
        <f t="shared" si="173"/>
        <v>0</v>
      </c>
      <c r="FB45" s="24">
        <f t="shared" si="173"/>
        <v>0</v>
      </c>
      <c r="FC45" s="24">
        <f t="shared" si="173"/>
        <v>0</v>
      </c>
      <c r="FD45" s="24">
        <f t="shared" si="173"/>
        <v>0</v>
      </c>
      <c r="FE45" s="24">
        <f t="shared" si="173"/>
        <v>0</v>
      </c>
      <c r="FF45" s="24">
        <f t="shared" si="173"/>
        <v>0</v>
      </c>
      <c r="FG45" s="24">
        <f t="shared" si="173"/>
        <v>0</v>
      </c>
      <c r="FH45" s="24">
        <f t="shared" si="173"/>
        <v>0</v>
      </c>
      <c r="FI45" s="24">
        <f t="shared" si="173"/>
        <v>0</v>
      </c>
      <c r="FJ45" s="24">
        <f t="shared" si="173"/>
        <v>0</v>
      </c>
      <c r="FK45" s="24">
        <f t="shared" si="173"/>
        <v>0</v>
      </c>
      <c r="FL45" s="24">
        <f t="shared" si="173"/>
        <v>0</v>
      </c>
      <c r="FM45" s="24">
        <f t="shared" si="173"/>
        <v>0</v>
      </c>
      <c r="FN45" s="24">
        <f t="shared" si="173"/>
        <v>0</v>
      </c>
      <c r="FO45" s="24">
        <f t="shared" si="173"/>
        <v>0</v>
      </c>
      <c r="FP45" s="24">
        <f t="shared" si="173"/>
        <v>0</v>
      </c>
      <c r="FQ45" s="24">
        <f t="shared" si="173"/>
        <v>0</v>
      </c>
      <c r="FR45" s="24">
        <f t="shared" si="173"/>
        <v>0</v>
      </c>
      <c r="FS45" s="24">
        <f t="shared" si="173"/>
        <v>0</v>
      </c>
      <c r="FT45" s="24">
        <f t="shared" si="173"/>
        <v>0</v>
      </c>
      <c r="FU45" s="24">
        <f t="shared" si="173"/>
        <v>0</v>
      </c>
      <c r="FV45" s="24">
        <f t="shared" si="173"/>
        <v>0</v>
      </c>
      <c r="FW45" s="24">
        <f t="shared" si="173"/>
        <v>0</v>
      </c>
      <c r="FX45" s="24">
        <f t="shared" si="173"/>
        <v>0</v>
      </c>
      <c r="FY45" s="24">
        <f t="shared" si="173"/>
        <v>0</v>
      </c>
      <c r="FZ45" s="24">
        <f t="shared" si="173"/>
        <v>0</v>
      </c>
      <c r="GA45" s="24">
        <f t="shared" si="173"/>
        <v>0</v>
      </c>
      <c r="GB45" s="24">
        <f t="shared" si="173"/>
        <v>0</v>
      </c>
      <c r="GC45" s="24">
        <f t="shared" si="173"/>
        <v>0</v>
      </c>
      <c r="GD45" s="24">
        <f t="shared" si="173"/>
        <v>0</v>
      </c>
      <c r="GE45" s="24">
        <f t="shared" si="173"/>
        <v>0</v>
      </c>
      <c r="GF45" s="24">
        <f t="shared" si="173"/>
        <v>0</v>
      </c>
      <c r="GG45" s="24">
        <f t="shared" si="173"/>
        <v>0</v>
      </c>
      <c r="GH45" s="24">
        <f t="shared" si="173"/>
        <v>0</v>
      </c>
      <c r="GI45" s="24">
        <f t="shared" si="173"/>
        <v>0</v>
      </c>
      <c r="GJ45" s="24">
        <f t="shared" si="173"/>
        <v>0</v>
      </c>
      <c r="GK45" s="24">
        <f t="shared" si="173"/>
        <v>0</v>
      </c>
      <c r="GL45" s="24">
        <f t="shared" si="173"/>
        <v>0</v>
      </c>
      <c r="GM45" s="24">
        <f t="shared" si="168"/>
        <v>0</v>
      </c>
      <c r="GN45" s="24">
        <f t="shared" si="169"/>
        <v>0</v>
      </c>
      <c r="GO45" s="24">
        <f t="shared" si="169"/>
        <v>0</v>
      </c>
      <c r="GP45" s="24">
        <f t="shared" si="169"/>
        <v>0</v>
      </c>
      <c r="GQ45" s="24">
        <f t="shared" si="169"/>
        <v>0</v>
      </c>
      <c r="GR45" s="24">
        <f t="shared" si="169"/>
        <v>0</v>
      </c>
      <c r="GS45" s="24">
        <f t="shared" si="169"/>
        <v>0</v>
      </c>
      <c r="GT45" s="24">
        <f t="shared" si="169"/>
        <v>0</v>
      </c>
      <c r="GU45" s="24">
        <f t="shared" si="169"/>
        <v>0</v>
      </c>
      <c r="GV45" s="24">
        <f t="shared" si="169"/>
        <v>0</v>
      </c>
      <c r="GW45" s="24">
        <f t="shared" si="169"/>
        <v>0</v>
      </c>
      <c r="GX45" s="24">
        <f t="shared" si="169"/>
        <v>0</v>
      </c>
      <c r="GY45" s="24">
        <f t="shared" si="169"/>
        <v>0</v>
      </c>
      <c r="GZ45" s="24">
        <f t="shared" si="169"/>
        <v>0</v>
      </c>
      <c r="HA45" s="24">
        <f t="shared" si="169"/>
        <v>0</v>
      </c>
      <c r="HB45" s="24">
        <f t="shared" si="169"/>
        <v>0</v>
      </c>
      <c r="HC45" s="24">
        <f t="shared" si="169"/>
        <v>0</v>
      </c>
      <c r="HD45" s="24">
        <f t="shared" si="169"/>
        <v>0</v>
      </c>
      <c r="HE45" s="24">
        <f t="shared" si="169"/>
        <v>0</v>
      </c>
      <c r="HF45" s="24">
        <f t="shared" si="169"/>
        <v>0</v>
      </c>
      <c r="HG45" s="24">
        <f t="shared" si="169"/>
        <v>0</v>
      </c>
      <c r="HH45" s="24">
        <f t="shared" si="169"/>
        <v>0</v>
      </c>
      <c r="HI45" s="24">
        <f t="shared" si="169"/>
        <v>0</v>
      </c>
      <c r="HJ45" s="24">
        <f t="shared" si="169"/>
        <v>0</v>
      </c>
      <c r="HK45" s="24">
        <f t="shared" si="169"/>
        <v>0</v>
      </c>
      <c r="HL45" s="24">
        <f t="shared" si="169"/>
        <v>0</v>
      </c>
      <c r="HM45" s="24">
        <f t="shared" si="169"/>
        <v>0</v>
      </c>
      <c r="HN45" s="24">
        <f t="shared" si="169"/>
        <v>0</v>
      </c>
      <c r="HO45" s="24">
        <f t="shared" si="169"/>
        <v>0</v>
      </c>
      <c r="HP45" s="24">
        <f t="shared" si="169"/>
        <v>0</v>
      </c>
      <c r="HQ45" s="24">
        <f t="shared" si="169"/>
        <v>0</v>
      </c>
      <c r="HR45" s="24">
        <f t="shared" si="169"/>
        <v>0</v>
      </c>
      <c r="HS45" s="24">
        <f t="shared" si="169"/>
        <v>0</v>
      </c>
      <c r="HT45" s="24">
        <f t="shared" si="169"/>
        <v>0</v>
      </c>
      <c r="HU45" s="24">
        <f t="shared" si="169"/>
        <v>0</v>
      </c>
      <c r="HV45" s="24">
        <f t="shared" si="169"/>
        <v>0</v>
      </c>
      <c r="HW45" s="24">
        <f t="shared" si="169"/>
        <v>0</v>
      </c>
      <c r="HX45" s="24">
        <f t="shared" si="169"/>
        <v>0</v>
      </c>
      <c r="HY45" s="24">
        <f t="shared" si="169"/>
        <v>0</v>
      </c>
      <c r="HZ45" s="24">
        <f t="shared" si="169"/>
        <v>0</v>
      </c>
      <c r="IA45" s="24">
        <f t="shared" si="169"/>
        <v>0</v>
      </c>
      <c r="IB45" s="24">
        <f t="shared" si="169"/>
        <v>0</v>
      </c>
      <c r="IC45" s="24">
        <f t="shared" si="169"/>
        <v>0</v>
      </c>
      <c r="ID45" s="24">
        <f t="shared" si="169"/>
        <v>0</v>
      </c>
      <c r="IE45" s="24">
        <f t="shared" si="169"/>
        <v>0</v>
      </c>
      <c r="IF45" s="24">
        <f t="shared" si="169"/>
        <v>0</v>
      </c>
      <c r="IG45" s="24">
        <f t="shared" si="169"/>
        <v>0</v>
      </c>
      <c r="IH45" s="24">
        <f t="shared" si="169"/>
        <v>0</v>
      </c>
      <c r="II45" s="20">
        <f t="shared" si="170"/>
        <v>0</v>
      </c>
    </row>
    <row r="46" spans="1:243" x14ac:dyDescent="0.45">
      <c r="A46" s="58" t="s">
        <v>204</v>
      </c>
      <c r="B46" s="61">
        <f>'WH Schedule'!U22</f>
        <v>0</v>
      </c>
      <c r="C46" s="24">
        <f t="shared" si="171"/>
        <v>0</v>
      </c>
      <c r="D46" s="24">
        <f t="shared" si="172"/>
        <v>0</v>
      </c>
      <c r="E46" s="24">
        <f t="shared" si="172"/>
        <v>0</v>
      </c>
      <c r="F46" s="24">
        <f t="shared" si="172"/>
        <v>0</v>
      </c>
      <c r="G46" s="24">
        <f t="shared" si="172"/>
        <v>0</v>
      </c>
      <c r="H46" s="24">
        <f t="shared" si="172"/>
        <v>0</v>
      </c>
      <c r="I46" s="24">
        <f t="shared" si="172"/>
        <v>0</v>
      </c>
      <c r="J46" s="24">
        <f t="shared" si="172"/>
        <v>0</v>
      </c>
      <c r="K46" s="24">
        <f t="shared" si="172"/>
        <v>0</v>
      </c>
      <c r="L46" s="24">
        <f t="shared" si="172"/>
        <v>0</v>
      </c>
      <c r="M46" s="24">
        <f t="shared" si="172"/>
        <v>0</v>
      </c>
      <c r="N46" s="24">
        <f t="shared" si="172"/>
        <v>0</v>
      </c>
      <c r="O46" s="24">
        <f t="shared" si="172"/>
        <v>0</v>
      </c>
      <c r="P46" s="24">
        <f t="shared" si="172"/>
        <v>0</v>
      </c>
      <c r="Q46" s="24">
        <f t="shared" si="172"/>
        <v>0</v>
      </c>
      <c r="R46" s="24">
        <f t="shared" si="172"/>
        <v>0</v>
      </c>
      <c r="S46" s="24">
        <f t="shared" si="172"/>
        <v>0</v>
      </c>
      <c r="T46" s="24">
        <f t="shared" si="172"/>
        <v>0</v>
      </c>
      <c r="U46" s="24">
        <f t="shared" si="172"/>
        <v>0</v>
      </c>
      <c r="V46" s="24">
        <f t="shared" si="172"/>
        <v>0</v>
      </c>
      <c r="W46" s="24">
        <f t="shared" si="172"/>
        <v>0</v>
      </c>
      <c r="X46" s="24">
        <f t="shared" si="172"/>
        <v>0</v>
      </c>
      <c r="Y46" s="24">
        <f t="shared" si="172"/>
        <v>0</v>
      </c>
      <c r="Z46" s="24">
        <f t="shared" si="172"/>
        <v>0</v>
      </c>
      <c r="AA46" s="24">
        <f t="shared" si="172"/>
        <v>0</v>
      </c>
      <c r="AB46" s="24">
        <f t="shared" si="172"/>
        <v>0</v>
      </c>
      <c r="AC46" s="24">
        <f t="shared" si="172"/>
        <v>0</v>
      </c>
      <c r="AD46" s="24">
        <f t="shared" si="172"/>
        <v>0</v>
      </c>
      <c r="AE46" s="24">
        <f t="shared" si="172"/>
        <v>0</v>
      </c>
      <c r="AF46" s="24">
        <f t="shared" si="172"/>
        <v>0</v>
      </c>
      <c r="AG46" s="24">
        <f t="shared" si="172"/>
        <v>0</v>
      </c>
      <c r="AH46" s="24">
        <f t="shared" si="172"/>
        <v>0</v>
      </c>
      <c r="AI46" s="24">
        <f t="shared" si="172"/>
        <v>0</v>
      </c>
      <c r="AJ46" s="24">
        <f t="shared" si="172"/>
        <v>0</v>
      </c>
      <c r="AK46" s="24">
        <f t="shared" si="172"/>
        <v>0</v>
      </c>
      <c r="AL46" s="24">
        <f t="shared" si="172"/>
        <v>0</v>
      </c>
      <c r="AM46" s="24">
        <f t="shared" si="172"/>
        <v>0</v>
      </c>
      <c r="AN46" s="24">
        <f t="shared" si="172"/>
        <v>0</v>
      </c>
      <c r="AO46" s="24">
        <f t="shared" si="172"/>
        <v>0</v>
      </c>
      <c r="AP46" s="24">
        <f t="shared" si="172"/>
        <v>0</v>
      </c>
      <c r="AQ46" s="24">
        <f t="shared" si="172"/>
        <v>0</v>
      </c>
      <c r="AR46" s="24">
        <f t="shared" si="172"/>
        <v>0</v>
      </c>
      <c r="AS46" s="24">
        <f t="shared" si="172"/>
        <v>0</v>
      </c>
      <c r="AT46" s="24">
        <f t="shared" si="172"/>
        <v>0</v>
      </c>
      <c r="AU46" s="24">
        <f t="shared" si="172"/>
        <v>0</v>
      </c>
      <c r="AV46" s="24">
        <f t="shared" si="172"/>
        <v>0</v>
      </c>
      <c r="AW46" s="24">
        <f t="shared" si="172"/>
        <v>0</v>
      </c>
      <c r="AX46" s="24">
        <f t="shared" si="172"/>
        <v>0</v>
      </c>
      <c r="AY46" s="24">
        <f t="shared" si="172"/>
        <v>0</v>
      </c>
      <c r="AZ46" s="24">
        <f t="shared" si="172"/>
        <v>0</v>
      </c>
      <c r="BA46" s="24">
        <f t="shared" si="172"/>
        <v>0</v>
      </c>
      <c r="BB46" s="24">
        <f t="shared" si="172"/>
        <v>0</v>
      </c>
      <c r="BC46" s="24">
        <f t="shared" si="172"/>
        <v>0</v>
      </c>
      <c r="BD46" s="24">
        <f t="shared" si="172"/>
        <v>0</v>
      </c>
      <c r="BE46" s="24">
        <f t="shared" si="172"/>
        <v>0</v>
      </c>
      <c r="BF46" s="24">
        <f t="shared" si="172"/>
        <v>0</v>
      </c>
      <c r="BG46" s="24">
        <f t="shared" si="172"/>
        <v>0</v>
      </c>
      <c r="BH46" s="24">
        <f t="shared" si="172"/>
        <v>0</v>
      </c>
      <c r="BI46" s="24">
        <f t="shared" si="172"/>
        <v>0</v>
      </c>
      <c r="BJ46" s="24">
        <f t="shared" si="172"/>
        <v>0</v>
      </c>
      <c r="BK46" s="24">
        <f t="shared" si="172"/>
        <v>0</v>
      </c>
      <c r="BL46" s="24">
        <f t="shared" si="172"/>
        <v>0</v>
      </c>
      <c r="BM46" s="24">
        <f t="shared" si="172"/>
        <v>0</v>
      </c>
      <c r="BN46" s="24">
        <f t="shared" si="172"/>
        <v>0</v>
      </c>
      <c r="BO46" s="24">
        <f t="shared" si="172"/>
        <v>0</v>
      </c>
      <c r="BP46" s="24">
        <f t="shared" ref="BP46:EA54" si="174">$B46*BP29*BP10</f>
        <v>0</v>
      </c>
      <c r="BQ46" s="24">
        <f t="shared" si="174"/>
        <v>0</v>
      </c>
      <c r="BR46" s="24">
        <f t="shared" si="174"/>
        <v>0</v>
      </c>
      <c r="BS46" s="24">
        <f t="shared" si="174"/>
        <v>0</v>
      </c>
      <c r="BT46" s="24">
        <f t="shared" si="174"/>
        <v>0</v>
      </c>
      <c r="BU46" s="24">
        <f t="shared" si="174"/>
        <v>0</v>
      </c>
      <c r="BV46" s="24">
        <f t="shared" si="174"/>
        <v>0</v>
      </c>
      <c r="BW46" s="24">
        <f t="shared" si="174"/>
        <v>0</v>
      </c>
      <c r="BX46" s="24">
        <f t="shared" si="174"/>
        <v>0</v>
      </c>
      <c r="BY46" s="24">
        <f t="shared" si="174"/>
        <v>0</v>
      </c>
      <c r="BZ46" s="24">
        <f t="shared" si="174"/>
        <v>0</v>
      </c>
      <c r="CA46" s="24">
        <f t="shared" si="174"/>
        <v>0</v>
      </c>
      <c r="CB46" s="24">
        <f t="shared" si="174"/>
        <v>0</v>
      </c>
      <c r="CC46" s="24">
        <f t="shared" si="174"/>
        <v>0</v>
      </c>
      <c r="CD46" s="24">
        <f t="shared" si="174"/>
        <v>0</v>
      </c>
      <c r="CE46" s="24">
        <f t="shared" si="174"/>
        <v>0</v>
      </c>
      <c r="CF46" s="24">
        <f t="shared" si="174"/>
        <v>0</v>
      </c>
      <c r="CG46" s="24">
        <f t="shared" si="174"/>
        <v>0</v>
      </c>
      <c r="CH46" s="24">
        <f t="shared" si="174"/>
        <v>0</v>
      </c>
      <c r="CI46" s="24">
        <f t="shared" si="174"/>
        <v>0</v>
      </c>
      <c r="CJ46" s="24">
        <f t="shared" si="174"/>
        <v>0</v>
      </c>
      <c r="CK46" s="24">
        <f t="shared" si="174"/>
        <v>0</v>
      </c>
      <c r="CL46" s="24">
        <f t="shared" si="174"/>
        <v>0</v>
      </c>
      <c r="CM46" s="24">
        <f t="shared" si="174"/>
        <v>0</v>
      </c>
      <c r="CN46" s="24">
        <f t="shared" si="174"/>
        <v>0</v>
      </c>
      <c r="CO46" s="24">
        <f t="shared" si="174"/>
        <v>0</v>
      </c>
      <c r="CP46" s="24">
        <f t="shared" si="174"/>
        <v>0</v>
      </c>
      <c r="CQ46" s="24">
        <f t="shared" si="174"/>
        <v>0</v>
      </c>
      <c r="CR46" s="24">
        <f t="shared" si="174"/>
        <v>0</v>
      </c>
      <c r="CS46" s="24">
        <f t="shared" si="174"/>
        <v>0</v>
      </c>
      <c r="CT46" s="24">
        <f t="shared" si="174"/>
        <v>0</v>
      </c>
      <c r="CU46" s="24">
        <f t="shared" si="174"/>
        <v>0</v>
      </c>
      <c r="CV46" s="24">
        <f t="shared" si="174"/>
        <v>0</v>
      </c>
      <c r="CW46" s="24">
        <f t="shared" si="174"/>
        <v>0</v>
      </c>
      <c r="CX46" s="24">
        <f t="shared" si="174"/>
        <v>0</v>
      </c>
      <c r="CY46" s="24">
        <f t="shared" si="174"/>
        <v>0</v>
      </c>
      <c r="CZ46" s="24">
        <f t="shared" si="174"/>
        <v>0</v>
      </c>
      <c r="DA46" s="24">
        <f t="shared" si="174"/>
        <v>0</v>
      </c>
      <c r="DB46" s="24">
        <f t="shared" si="174"/>
        <v>0</v>
      </c>
      <c r="DC46" s="24">
        <f t="shared" si="174"/>
        <v>0</v>
      </c>
      <c r="DD46" s="24">
        <f t="shared" si="174"/>
        <v>0</v>
      </c>
      <c r="DE46" s="24">
        <f t="shared" si="174"/>
        <v>0</v>
      </c>
      <c r="DF46" s="24">
        <f t="shared" si="174"/>
        <v>0</v>
      </c>
      <c r="DG46" s="24">
        <f t="shared" si="174"/>
        <v>0</v>
      </c>
      <c r="DH46" s="24">
        <f t="shared" si="174"/>
        <v>0</v>
      </c>
      <c r="DI46" s="24">
        <f t="shared" si="174"/>
        <v>0</v>
      </c>
      <c r="DJ46" s="24">
        <f t="shared" si="174"/>
        <v>0</v>
      </c>
      <c r="DK46" s="24">
        <f t="shared" si="174"/>
        <v>0</v>
      </c>
      <c r="DL46" s="24">
        <f t="shared" si="174"/>
        <v>0</v>
      </c>
      <c r="DM46" s="24">
        <f t="shared" si="174"/>
        <v>0</v>
      </c>
      <c r="DN46" s="24">
        <f t="shared" si="174"/>
        <v>0</v>
      </c>
      <c r="DO46" s="24">
        <f t="shared" si="174"/>
        <v>0</v>
      </c>
      <c r="DP46" s="24">
        <f t="shared" si="174"/>
        <v>0</v>
      </c>
      <c r="DQ46" s="24">
        <f t="shared" si="174"/>
        <v>0</v>
      </c>
      <c r="DR46" s="24">
        <f t="shared" si="174"/>
        <v>0</v>
      </c>
      <c r="DS46" s="24">
        <f t="shared" si="174"/>
        <v>0</v>
      </c>
      <c r="DT46" s="24">
        <f t="shared" si="174"/>
        <v>0</v>
      </c>
      <c r="DU46" s="24">
        <f t="shared" si="174"/>
        <v>0</v>
      </c>
      <c r="DV46" s="24">
        <f t="shared" si="174"/>
        <v>0</v>
      </c>
      <c r="DW46" s="24">
        <f t="shared" si="174"/>
        <v>0</v>
      </c>
      <c r="DX46" s="24">
        <f t="shared" si="174"/>
        <v>0</v>
      </c>
      <c r="DY46" s="24">
        <f t="shared" si="174"/>
        <v>0</v>
      </c>
      <c r="DZ46" s="24">
        <f t="shared" si="174"/>
        <v>0</v>
      </c>
      <c r="EA46" s="24">
        <f t="shared" si="174"/>
        <v>0</v>
      </c>
      <c r="EB46" s="24">
        <f t="shared" si="173"/>
        <v>0</v>
      </c>
      <c r="EC46" s="24">
        <f t="shared" si="173"/>
        <v>0</v>
      </c>
      <c r="ED46" s="24">
        <f t="shared" si="173"/>
        <v>0</v>
      </c>
      <c r="EE46" s="24">
        <f t="shared" si="173"/>
        <v>0</v>
      </c>
      <c r="EF46" s="24">
        <f t="shared" si="173"/>
        <v>0</v>
      </c>
      <c r="EG46" s="24">
        <f t="shared" si="173"/>
        <v>0</v>
      </c>
      <c r="EH46" s="24">
        <f t="shared" si="173"/>
        <v>0</v>
      </c>
      <c r="EI46" s="24">
        <f t="shared" si="173"/>
        <v>0</v>
      </c>
      <c r="EJ46" s="24">
        <f t="shared" si="173"/>
        <v>0</v>
      </c>
      <c r="EK46" s="24">
        <f t="shared" si="173"/>
        <v>0</v>
      </c>
      <c r="EL46" s="24">
        <f t="shared" si="173"/>
        <v>0</v>
      </c>
      <c r="EM46" s="24">
        <f t="shared" si="173"/>
        <v>0</v>
      </c>
      <c r="EN46" s="24">
        <f t="shared" si="173"/>
        <v>0</v>
      </c>
      <c r="EO46" s="24">
        <f t="shared" si="173"/>
        <v>0</v>
      </c>
      <c r="EP46" s="24">
        <f t="shared" si="173"/>
        <v>0</v>
      </c>
      <c r="EQ46" s="24">
        <f t="shared" si="173"/>
        <v>0</v>
      </c>
      <c r="ER46" s="24">
        <f t="shared" si="173"/>
        <v>0</v>
      </c>
      <c r="ES46" s="24">
        <f t="shared" si="173"/>
        <v>0</v>
      </c>
      <c r="ET46" s="24">
        <f t="shared" si="173"/>
        <v>0</v>
      </c>
      <c r="EU46" s="24">
        <f t="shared" si="173"/>
        <v>0</v>
      </c>
      <c r="EV46" s="24">
        <f t="shared" si="173"/>
        <v>0</v>
      </c>
      <c r="EW46" s="24">
        <f t="shared" si="173"/>
        <v>0</v>
      </c>
      <c r="EX46" s="24">
        <f t="shared" si="173"/>
        <v>0</v>
      </c>
      <c r="EY46" s="24">
        <f t="shared" si="173"/>
        <v>0</v>
      </c>
      <c r="EZ46" s="24">
        <f t="shared" si="173"/>
        <v>0</v>
      </c>
      <c r="FA46" s="24">
        <f t="shared" si="173"/>
        <v>0</v>
      </c>
      <c r="FB46" s="24">
        <f t="shared" si="173"/>
        <v>0</v>
      </c>
      <c r="FC46" s="24">
        <f t="shared" si="173"/>
        <v>0</v>
      </c>
      <c r="FD46" s="24">
        <f t="shared" si="173"/>
        <v>0</v>
      </c>
      <c r="FE46" s="24">
        <f t="shared" si="173"/>
        <v>0</v>
      </c>
      <c r="FF46" s="24">
        <f t="shared" si="173"/>
        <v>0</v>
      </c>
      <c r="FG46" s="24">
        <f t="shared" si="173"/>
        <v>0</v>
      </c>
      <c r="FH46" s="24">
        <f t="shared" si="173"/>
        <v>0</v>
      </c>
      <c r="FI46" s="24">
        <f t="shared" si="173"/>
        <v>0</v>
      </c>
      <c r="FJ46" s="24">
        <f t="shared" si="173"/>
        <v>0</v>
      </c>
      <c r="FK46" s="24">
        <f t="shared" si="173"/>
        <v>0</v>
      </c>
      <c r="FL46" s="24">
        <f t="shared" si="173"/>
        <v>0</v>
      </c>
      <c r="FM46" s="24">
        <f t="shared" si="173"/>
        <v>0</v>
      </c>
      <c r="FN46" s="24">
        <f t="shared" si="173"/>
        <v>0</v>
      </c>
      <c r="FO46" s="24">
        <f t="shared" si="173"/>
        <v>0</v>
      </c>
      <c r="FP46" s="24">
        <f t="shared" si="173"/>
        <v>0</v>
      </c>
      <c r="FQ46" s="24">
        <f t="shared" si="173"/>
        <v>0</v>
      </c>
      <c r="FR46" s="24">
        <f t="shared" si="173"/>
        <v>0</v>
      </c>
      <c r="FS46" s="24">
        <f t="shared" si="173"/>
        <v>0</v>
      </c>
      <c r="FT46" s="24">
        <f t="shared" si="173"/>
        <v>0</v>
      </c>
      <c r="FU46" s="24">
        <f t="shared" si="173"/>
        <v>0</v>
      </c>
      <c r="FV46" s="24">
        <f t="shared" si="173"/>
        <v>0</v>
      </c>
      <c r="FW46" s="24">
        <f t="shared" si="173"/>
        <v>0</v>
      </c>
      <c r="FX46" s="24">
        <f t="shared" si="173"/>
        <v>0</v>
      </c>
      <c r="FY46" s="24">
        <f t="shared" si="173"/>
        <v>0</v>
      </c>
      <c r="FZ46" s="24">
        <f t="shared" si="173"/>
        <v>0</v>
      </c>
      <c r="GA46" s="24">
        <f t="shared" si="173"/>
        <v>0</v>
      </c>
      <c r="GB46" s="24">
        <f t="shared" si="173"/>
        <v>0</v>
      </c>
      <c r="GC46" s="24">
        <f t="shared" si="173"/>
        <v>0</v>
      </c>
      <c r="GD46" s="24">
        <f t="shared" si="173"/>
        <v>0</v>
      </c>
      <c r="GE46" s="24">
        <f t="shared" si="173"/>
        <v>0</v>
      </c>
      <c r="GF46" s="24">
        <f t="shared" si="173"/>
        <v>0</v>
      </c>
      <c r="GG46" s="24">
        <f t="shared" si="173"/>
        <v>0</v>
      </c>
      <c r="GH46" s="24">
        <f t="shared" si="173"/>
        <v>0</v>
      </c>
      <c r="GI46" s="24">
        <f t="shared" si="173"/>
        <v>0</v>
      </c>
      <c r="GJ46" s="24">
        <f t="shared" si="173"/>
        <v>0</v>
      </c>
      <c r="GK46" s="24">
        <f t="shared" si="173"/>
        <v>0</v>
      </c>
      <c r="GL46" s="24">
        <f t="shared" si="173"/>
        <v>0</v>
      </c>
      <c r="GM46" s="24">
        <f t="shared" si="168"/>
        <v>0</v>
      </c>
      <c r="GN46" s="24">
        <f t="shared" si="169"/>
        <v>0</v>
      </c>
      <c r="GO46" s="24">
        <f t="shared" si="169"/>
        <v>0</v>
      </c>
      <c r="GP46" s="24">
        <f t="shared" si="169"/>
        <v>0</v>
      </c>
      <c r="GQ46" s="24">
        <f t="shared" si="169"/>
        <v>0</v>
      </c>
      <c r="GR46" s="24">
        <f t="shared" si="169"/>
        <v>0</v>
      </c>
      <c r="GS46" s="24">
        <f t="shared" si="169"/>
        <v>0</v>
      </c>
      <c r="GT46" s="24">
        <f t="shared" si="169"/>
        <v>0</v>
      </c>
      <c r="GU46" s="24">
        <f t="shared" si="169"/>
        <v>0</v>
      </c>
      <c r="GV46" s="24">
        <f t="shared" si="169"/>
        <v>0</v>
      </c>
      <c r="GW46" s="24">
        <f t="shared" si="169"/>
        <v>0</v>
      </c>
      <c r="GX46" s="24">
        <f t="shared" si="169"/>
        <v>0</v>
      </c>
      <c r="GY46" s="24">
        <f t="shared" si="169"/>
        <v>0</v>
      </c>
      <c r="GZ46" s="24">
        <f t="shared" si="169"/>
        <v>0</v>
      </c>
      <c r="HA46" s="24">
        <f t="shared" si="169"/>
        <v>0</v>
      </c>
      <c r="HB46" s="24">
        <f t="shared" si="169"/>
        <v>0</v>
      </c>
      <c r="HC46" s="24">
        <f t="shared" si="169"/>
        <v>0</v>
      </c>
      <c r="HD46" s="24">
        <f t="shared" si="169"/>
        <v>0</v>
      </c>
      <c r="HE46" s="24">
        <f t="shared" si="169"/>
        <v>0</v>
      </c>
      <c r="HF46" s="24">
        <f t="shared" si="169"/>
        <v>0</v>
      </c>
      <c r="HG46" s="24">
        <f t="shared" si="169"/>
        <v>0</v>
      </c>
      <c r="HH46" s="24">
        <f t="shared" si="169"/>
        <v>0</v>
      </c>
      <c r="HI46" s="24">
        <f t="shared" si="169"/>
        <v>0</v>
      </c>
      <c r="HJ46" s="24">
        <f t="shared" si="169"/>
        <v>0</v>
      </c>
      <c r="HK46" s="24">
        <f t="shared" si="169"/>
        <v>0</v>
      </c>
      <c r="HL46" s="24">
        <f t="shared" si="169"/>
        <v>0</v>
      </c>
      <c r="HM46" s="24">
        <f t="shared" si="169"/>
        <v>0</v>
      </c>
      <c r="HN46" s="24">
        <f t="shared" si="169"/>
        <v>0</v>
      </c>
      <c r="HO46" s="24">
        <f t="shared" si="169"/>
        <v>0</v>
      </c>
      <c r="HP46" s="24">
        <f t="shared" si="169"/>
        <v>0</v>
      </c>
      <c r="HQ46" s="24">
        <f t="shared" si="169"/>
        <v>0</v>
      </c>
      <c r="HR46" s="24">
        <f t="shared" si="169"/>
        <v>0</v>
      </c>
      <c r="HS46" s="24">
        <f t="shared" si="169"/>
        <v>0</v>
      </c>
      <c r="HT46" s="24">
        <f t="shared" si="169"/>
        <v>0</v>
      </c>
      <c r="HU46" s="24">
        <f t="shared" si="169"/>
        <v>0</v>
      </c>
      <c r="HV46" s="24">
        <f t="shared" si="169"/>
        <v>0</v>
      </c>
      <c r="HW46" s="24">
        <f t="shared" si="169"/>
        <v>0</v>
      </c>
      <c r="HX46" s="24">
        <f t="shared" si="169"/>
        <v>0</v>
      </c>
      <c r="HY46" s="24">
        <f t="shared" si="169"/>
        <v>0</v>
      </c>
      <c r="HZ46" s="24">
        <f t="shared" si="169"/>
        <v>0</v>
      </c>
      <c r="IA46" s="24">
        <f t="shared" si="169"/>
        <v>0</v>
      </c>
      <c r="IB46" s="24">
        <f t="shared" si="169"/>
        <v>0</v>
      </c>
      <c r="IC46" s="24">
        <f t="shared" si="169"/>
        <v>0</v>
      </c>
      <c r="ID46" s="24">
        <f t="shared" si="169"/>
        <v>0</v>
      </c>
      <c r="IE46" s="24">
        <f t="shared" si="169"/>
        <v>0</v>
      </c>
      <c r="IF46" s="24">
        <f t="shared" si="169"/>
        <v>0</v>
      </c>
      <c r="IG46" s="24">
        <f t="shared" si="169"/>
        <v>0</v>
      </c>
      <c r="IH46" s="24">
        <f t="shared" si="169"/>
        <v>0</v>
      </c>
      <c r="II46" s="20">
        <f t="shared" si="170"/>
        <v>0</v>
      </c>
    </row>
    <row r="47" spans="1:243" x14ac:dyDescent="0.45">
      <c r="A47" s="58" t="s">
        <v>205</v>
      </c>
      <c r="B47" s="61">
        <f>'WH Schedule'!W22</f>
        <v>0</v>
      </c>
      <c r="C47" s="24">
        <f t="shared" si="171"/>
        <v>0</v>
      </c>
      <c r="D47" s="24">
        <f t="shared" si="172"/>
        <v>0</v>
      </c>
      <c r="E47" s="24">
        <f t="shared" si="172"/>
        <v>0</v>
      </c>
      <c r="F47" s="24">
        <f t="shared" si="172"/>
        <v>0</v>
      </c>
      <c r="G47" s="24">
        <f t="shared" si="172"/>
        <v>0</v>
      </c>
      <c r="H47" s="24">
        <f t="shared" si="172"/>
        <v>0</v>
      </c>
      <c r="I47" s="24">
        <f t="shared" si="172"/>
        <v>0</v>
      </c>
      <c r="J47" s="24">
        <f t="shared" si="172"/>
        <v>0</v>
      </c>
      <c r="K47" s="24">
        <f t="shared" si="172"/>
        <v>0</v>
      </c>
      <c r="L47" s="24">
        <f t="shared" si="172"/>
        <v>0</v>
      </c>
      <c r="M47" s="24">
        <f t="shared" si="172"/>
        <v>0</v>
      </c>
      <c r="N47" s="24">
        <f t="shared" si="172"/>
        <v>0</v>
      </c>
      <c r="O47" s="24">
        <f t="shared" si="172"/>
        <v>0</v>
      </c>
      <c r="P47" s="24">
        <f t="shared" si="172"/>
        <v>0</v>
      </c>
      <c r="Q47" s="24">
        <f t="shared" si="172"/>
        <v>0</v>
      </c>
      <c r="R47" s="24">
        <f t="shared" si="172"/>
        <v>0</v>
      </c>
      <c r="S47" s="24">
        <f t="shared" si="172"/>
        <v>0</v>
      </c>
      <c r="T47" s="24">
        <f t="shared" si="172"/>
        <v>0</v>
      </c>
      <c r="U47" s="24">
        <f t="shared" si="172"/>
        <v>0</v>
      </c>
      <c r="V47" s="24">
        <f t="shared" si="172"/>
        <v>0</v>
      </c>
      <c r="W47" s="24">
        <f t="shared" si="172"/>
        <v>0</v>
      </c>
      <c r="X47" s="24">
        <f t="shared" si="172"/>
        <v>0</v>
      </c>
      <c r="Y47" s="24">
        <f t="shared" si="172"/>
        <v>0</v>
      </c>
      <c r="Z47" s="24">
        <f t="shared" si="172"/>
        <v>0</v>
      </c>
      <c r="AA47" s="24">
        <f t="shared" si="172"/>
        <v>0</v>
      </c>
      <c r="AB47" s="24">
        <f t="shared" si="172"/>
        <v>0</v>
      </c>
      <c r="AC47" s="24">
        <f t="shared" si="172"/>
        <v>0</v>
      </c>
      <c r="AD47" s="24">
        <f t="shared" si="172"/>
        <v>0</v>
      </c>
      <c r="AE47" s="24">
        <f t="shared" si="172"/>
        <v>0</v>
      </c>
      <c r="AF47" s="24">
        <f t="shared" si="172"/>
        <v>0</v>
      </c>
      <c r="AG47" s="24">
        <f t="shared" si="172"/>
        <v>0</v>
      </c>
      <c r="AH47" s="24">
        <f t="shared" si="172"/>
        <v>0</v>
      </c>
      <c r="AI47" s="24">
        <f t="shared" si="172"/>
        <v>0</v>
      </c>
      <c r="AJ47" s="24">
        <f t="shared" si="172"/>
        <v>0</v>
      </c>
      <c r="AK47" s="24">
        <f t="shared" si="172"/>
        <v>0</v>
      </c>
      <c r="AL47" s="24">
        <f t="shared" si="172"/>
        <v>0</v>
      </c>
      <c r="AM47" s="24">
        <f t="shared" si="172"/>
        <v>0</v>
      </c>
      <c r="AN47" s="24">
        <f t="shared" si="172"/>
        <v>0</v>
      </c>
      <c r="AO47" s="24">
        <f t="shared" si="172"/>
        <v>0</v>
      </c>
      <c r="AP47" s="24">
        <f t="shared" si="172"/>
        <v>0</v>
      </c>
      <c r="AQ47" s="24">
        <f t="shared" si="172"/>
        <v>0</v>
      </c>
      <c r="AR47" s="24">
        <f t="shared" si="172"/>
        <v>0</v>
      </c>
      <c r="AS47" s="24">
        <f t="shared" si="172"/>
        <v>0</v>
      </c>
      <c r="AT47" s="24">
        <f t="shared" si="172"/>
        <v>0</v>
      </c>
      <c r="AU47" s="24">
        <f t="shared" si="172"/>
        <v>0</v>
      </c>
      <c r="AV47" s="24">
        <f t="shared" si="172"/>
        <v>0</v>
      </c>
      <c r="AW47" s="24">
        <f t="shared" si="172"/>
        <v>0</v>
      </c>
      <c r="AX47" s="24">
        <f t="shared" si="172"/>
        <v>0</v>
      </c>
      <c r="AY47" s="24">
        <f t="shared" si="172"/>
        <v>0</v>
      </c>
      <c r="AZ47" s="24">
        <f t="shared" si="172"/>
        <v>0</v>
      </c>
      <c r="BA47" s="24">
        <f t="shared" si="172"/>
        <v>0</v>
      </c>
      <c r="BB47" s="24">
        <f t="shared" si="172"/>
        <v>0</v>
      </c>
      <c r="BC47" s="24">
        <f t="shared" si="172"/>
        <v>0</v>
      </c>
      <c r="BD47" s="24">
        <f t="shared" si="172"/>
        <v>0</v>
      </c>
      <c r="BE47" s="24">
        <f t="shared" si="172"/>
        <v>0</v>
      </c>
      <c r="BF47" s="24">
        <f t="shared" si="172"/>
        <v>0</v>
      </c>
      <c r="BG47" s="24">
        <f t="shared" si="172"/>
        <v>0</v>
      </c>
      <c r="BH47" s="24">
        <f t="shared" si="172"/>
        <v>0</v>
      </c>
      <c r="BI47" s="24">
        <f t="shared" si="172"/>
        <v>0</v>
      </c>
      <c r="BJ47" s="24">
        <f t="shared" si="172"/>
        <v>0</v>
      </c>
      <c r="BK47" s="24">
        <f t="shared" si="172"/>
        <v>0</v>
      </c>
      <c r="BL47" s="24">
        <f t="shared" si="172"/>
        <v>0</v>
      </c>
      <c r="BM47" s="24">
        <f t="shared" si="172"/>
        <v>0</v>
      </c>
      <c r="BN47" s="24">
        <f t="shared" si="172"/>
        <v>0</v>
      </c>
      <c r="BO47" s="24">
        <f t="shared" ref="BO47:DZ50" si="175">$B47*BO30*BO11</f>
        <v>0</v>
      </c>
      <c r="BP47" s="24">
        <f t="shared" si="175"/>
        <v>0</v>
      </c>
      <c r="BQ47" s="24">
        <f t="shared" si="175"/>
        <v>0</v>
      </c>
      <c r="BR47" s="24">
        <f t="shared" si="175"/>
        <v>0</v>
      </c>
      <c r="BS47" s="24">
        <f t="shared" si="175"/>
        <v>0</v>
      </c>
      <c r="BT47" s="24">
        <f t="shared" si="175"/>
        <v>0</v>
      </c>
      <c r="BU47" s="24">
        <f t="shared" si="175"/>
        <v>0</v>
      </c>
      <c r="BV47" s="24">
        <f t="shared" si="175"/>
        <v>0</v>
      </c>
      <c r="BW47" s="24">
        <f t="shared" si="175"/>
        <v>0</v>
      </c>
      <c r="BX47" s="24">
        <f t="shared" si="175"/>
        <v>0</v>
      </c>
      <c r="BY47" s="24">
        <f t="shared" si="175"/>
        <v>0</v>
      </c>
      <c r="BZ47" s="24">
        <f t="shared" si="175"/>
        <v>0</v>
      </c>
      <c r="CA47" s="24">
        <f t="shared" si="175"/>
        <v>0</v>
      </c>
      <c r="CB47" s="24">
        <f t="shared" si="175"/>
        <v>0</v>
      </c>
      <c r="CC47" s="24">
        <f t="shared" si="175"/>
        <v>0</v>
      </c>
      <c r="CD47" s="24">
        <f t="shared" si="175"/>
        <v>0</v>
      </c>
      <c r="CE47" s="24">
        <f t="shared" si="175"/>
        <v>0</v>
      </c>
      <c r="CF47" s="24">
        <f t="shared" si="175"/>
        <v>0</v>
      </c>
      <c r="CG47" s="24">
        <f t="shared" si="175"/>
        <v>0</v>
      </c>
      <c r="CH47" s="24">
        <f t="shared" si="175"/>
        <v>0</v>
      </c>
      <c r="CI47" s="24">
        <f t="shared" si="175"/>
        <v>0</v>
      </c>
      <c r="CJ47" s="24">
        <f t="shared" si="175"/>
        <v>0</v>
      </c>
      <c r="CK47" s="24">
        <f t="shared" si="175"/>
        <v>0</v>
      </c>
      <c r="CL47" s="24">
        <f t="shared" si="175"/>
        <v>0</v>
      </c>
      <c r="CM47" s="24">
        <f t="shared" si="175"/>
        <v>0</v>
      </c>
      <c r="CN47" s="24">
        <f t="shared" si="175"/>
        <v>0</v>
      </c>
      <c r="CO47" s="24">
        <f t="shared" si="175"/>
        <v>0</v>
      </c>
      <c r="CP47" s="24">
        <f t="shared" si="175"/>
        <v>0</v>
      </c>
      <c r="CQ47" s="24">
        <f t="shared" si="175"/>
        <v>0</v>
      </c>
      <c r="CR47" s="24">
        <f t="shared" si="175"/>
        <v>0</v>
      </c>
      <c r="CS47" s="24">
        <f t="shared" si="175"/>
        <v>0</v>
      </c>
      <c r="CT47" s="24">
        <f t="shared" si="175"/>
        <v>0</v>
      </c>
      <c r="CU47" s="24">
        <f t="shared" si="175"/>
        <v>0</v>
      </c>
      <c r="CV47" s="24">
        <f t="shared" si="175"/>
        <v>0</v>
      </c>
      <c r="CW47" s="24">
        <f t="shared" si="175"/>
        <v>0</v>
      </c>
      <c r="CX47" s="24">
        <f t="shared" si="175"/>
        <v>0</v>
      </c>
      <c r="CY47" s="24">
        <f t="shared" si="175"/>
        <v>0</v>
      </c>
      <c r="CZ47" s="24">
        <f t="shared" si="175"/>
        <v>0</v>
      </c>
      <c r="DA47" s="24">
        <f t="shared" si="175"/>
        <v>0</v>
      </c>
      <c r="DB47" s="24">
        <f t="shared" si="175"/>
        <v>0</v>
      </c>
      <c r="DC47" s="24">
        <f t="shared" si="175"/>
        <v>0</v>
      </c>
      <c r="DD47" s="24">
        <f t="shared" si="175"/>
        <v>0</v>
      </c>
      <c r="DE47" s="24">
        <f t="shared" si="175"/>
        <v>0</v>
      </c>
      <c r="DF47" s="24">
        <f t="shared" si="175"/>
        <v>0</v>
      </c>
      <c r="DG47" s="24">
        <f t="shared" si="175"/>
        <v>0</v>
      </c>
      <c r="DH47" s="24">
        <f t="shared" si="175"/>
        <v>0</v>
      </c>
      <c r="DI47" s="24">
        <f t="shared" si="175"/>
        <v>0</v>
      </c>
      <c r="DJ47" s="24">
        <f t="shared" si="175"/>
        <v>0</v>
      </c>
      <c r="DK47" s="24">
        <f t="shared" si="175"/>
        <v>0</v>
      </c>
      <c r="DL47" s="24">
        <f t="shared" si="175"/>
        <v>0</v>
      </c>
      <c r="DM47" s="24">
        <f t="shared" si="175"/>
        <v>0</v>
      </c>
      <c r="DN47" s="24">
        <f t="shared" si="175"/>
        <v>0</v>
      </c>
      <c r="DO47" s="24">
        <f t="shared" si="175"/>
        <v>0</v>
      </c>
      <c r="DP47" s="24">
        <f t="shared" si="175"/>
        <v>0</v>
      </c>
      <c r="DQ47" s="24">
        <f t="shared" si="175"/>
        <v>0</v>
      </c>
      <c r="DR47" s="24">
        <f t="shared" si="175"/>
        <v>0</v>
      </c>
      <c r="DS47" s="24">
        <f t="shared" si="175"/>
        <v>0</v>
      </c>
      <c r="DT47" s="24">
        <f t="shared" si="175"/>
        <v>0</v>
      </c>
      <c r="DU47" s="24">
        <f t="shared" si="175"/>
        <v>0</v>
      </c>
      <c r="DV47" s="24">
        <f t="shared" si="175"/>
        <v>0</v>
      </c>
      <c r="DW47" s="24">
        <f t="shared" si="175"/>
        <v>0</v>
      </c>
      <c r="DX47" s="24">
        <f t="shared" si="175"/>
        <v>0</v>
      </c>
      <c r="DY47" s="24">
        <f t="shared" si="175"/>
        <v>0</v>
      </c>
      <c r="DZ47" s="24">
        <f t="shared" si="175"/>
        <v>0</v>
      </c>
      <c r="EA47" s="24">
        <f t="shared" si="174"/>
        <v>0</v>
      </c>
      <c r="EB47" s="24">
        <f t="shared" si="173"/>
        <v>0</v>
      </c>
      <c r="EC47" s="24">
        <f t="shared" si="173"/>
        <v>0</v>
      </c>
      <c r="ED47" s="24">
        <f t="shared" si="173"/>
        <v>0</v>
      </c>
      <c r="EE47" s="24">
        <f t="shared" si="173"/>
        <v>0</v>
      </c>
      <c r="EF47" s="24">
        <f t="shared" si="173"/>
        <v>0</v>
      </c>
      <c r="EG47" s="24">
        <f t="shared" si="173"/>
        <v>0</v>
      </c>
      <c r="EH47" s="24">
        <f t="shared" si="173"/>
        <v>0</v>
      </c>
      <c r="EI47" s="24">
        <f t="shared" si="173"/>
        <v>0</v>
      </c>
      <c r="EJ47" s="24">
        <f t="shared" si="173"/>
        <v>0</v>
      </c>
      <c r="EK47" s="24">
        <f t="shared" si="173"/>
        <v>0</v>
      </c>
      <c r="EL47" s="24">
        <f t="shared" si="173"/>
        <v>0</v>
      </c>
      <c r="EM47" s="24">
        <f t="shared" si="173"/>
        <v>0</v>
      </c>
      <c r="EN47" s="24">
        <f t="shared" si="173"/>
        <v>0</v>
      </c>
      <c r="EO47" s="24">
        <f t="shared" si="173"/>
        <v>0</v>
      </c>
      <c r="EP47" s="24">
        <f t="shared" si="173"/>
        <v>0</v>
      </c>
      <c r="EQ47" s="24">
        <f t="shared" si="173"/>
        <v>0</v>
      </c>
      <c r="ER47" s="24">
        <f t="shared" si="173"/>
        <v>0</v>
      </c>
      <c r="ES47" s="24">
        <f t="shared" si="173"/>
        <v>0</v>
      </c>
      <c r="ET47" s="24">
        <f t="shared" si="173"/>
        <v>0</v>
      </c>
      <c r="EU47" s="24">
        <f t="shared" si="173"/>
        <v>0</v>
      </c>
      <c r="EV47" s="24">
        <f t="shared" si="173"/>
        <v>0</v>
      </c>
      <c r="EW47" s="24">
        <f t="shared" si="173"/>
        <v>0</v>
      </c>
      <c r="EX47" s="24">
        <f t="shared" si="173"/>
        <v>0</v>
      </c>
      <c r="EY47" s="24">
        <f t="shared" si="173"/>
        <v>0</v>
      </c>
      <c r="EZ47" s="24">
        <f t="shared" si="173"/>
        <v>0</v>
      </c>
      <c r="FA47" s="24">
        <f t="shared" si="173"/>
        <v>0</v>
      </c>
      <c r="FB47" s="24">
        <f t="shared" si="173"/>
        <v>0</v>
      </c>
      <c r="FC47" s="24">
        <f t="shared" si="173"/>
        <v>0</v>
      </c>
      <c r="FD47" s="24">
        <f t="shared" si="173"/>
        <v>0</v>
      </c>
      <c r="FE47" s="24">
        <f t="shared" si="173"/>
        <v>0</v>
      </c>
      <c r="FF47" s="24">
        <f t="shared" si="173"/>
        <v>0</v>
      </c>
      <c r="FG47" s="24">
        <f t="shared" si="173"/>
        <v>0</v>
      </c>
      <c r="FH47" s="24">
        <f t="shared" si="173"/>
        <v>0</v>
      </c>
      <c r="FI47" s="24">
        <f t="shared" si="173"/>
        <v>0</v>
      </c>
      <c r="FJ47" s="24">
        <f t="shared" si="173"/>
        <v>0</v>
      </c>
      <c r="FK47" s="24">
        <f t="shared" si="173"/>
        <v>0</v>
      </c>
      <c r="FL47" s="24">
        <f t="shared" si="173"/>
        <v>0</v>
      </c>
      <c r="FM47" s="24">
        <f t="shared" si="173"/>
        <v>0</v>
      </c>
      <c r="FN47" s="24">
        <f t="shared" si="173"/>
        <v>0</v>
      </c>
      <c r="FO47" s="24">
        <f t="shared" si="173"/>
        <v>0</v>
      </c>
      <c r="FP47" s="24">
        <f t="shared" si="173"/>
        <v>0</v>
      </c>
      <c r="FQ47" s="24">
        <f t="shared" si="173"/>
        <v>0</v>
      </c>
      <c r="FR47" s="24">
        <f t="shared" si="173"/>
        <v>0</v>
      </c>
      <c r="FS47" s="24">
        <f t="shared" si="173"/>
        <v>0</v>
      </c>
      <c r="FT47" s="24">
        <f t="shared" si="173"/>
        <v>0</v>
      </c>
      <c r="FU47" s="24">
        <f t="shared" si="173"/>
        <v>0</v>
      </c>
      <c r="FV47" s="24">
        <f t="shared" si="173"/>
        <v>0</v>
      </c>
      <c r="FW47" s="24">
        <f t="shared" si="173"/>
        <v>0</v>
      </c>
      <c r="FX47" s="24">
        <f t="shared" si="173"/>
        <v>0</v>
      </c>
      <c r="FY47" s="24">
        <f t="shared" si="173"/>
        <v>0</v>
      </c>
      <c r="FZ47" s="24">
        <f t="shared" si="173"/>
        <v>0</v>
      </c>
      <c r="GA47" s="24">
        <f t="shared" si="173"/>
        <v>0</v>
      </c>
      <c r="GB47" s="24">
        <f t="shared" si="173"/>
        <v>0</v>
      </c>
      <c r="GC47" s="24">
        <f t="shared" si="173"/>
        <v>0</v>
      </c>
      <c r="GD47" s="24">
        <f t="shared" si="173"/>
        <v>0</v>
      </c>
      <c r="GE47" s="24">
        <f t="shared" si="173"/>
        <v>0</v>
      </c>
      <c r="GF47" s="24">
        <f t="shared" si="173"/>
        <v>0</v>
      </c>
      <c r="GG47" s="24">
        <f t="shared" si="173"/>
        <v>0</v>
      </c>
      <c r="GH47" s="24">
        <f t="shared" si="173"/>
        <v>0</v>
      </c>
      <c r="GI47" s="24">
        <f t="shared" si="173"/>
        <v>0</v>
      </c>
      <c r="GJ47" s="24">
        <f t="shared" si="173"/>
        <v>0</v>
      </c>
      <c r="GK47" s="24">
        <f t="shared" si="173"/>
        <v>0</v>
      </c>
      <c r="GL47" s="24">
        <f t="shared" si="173"/>
        <v>0</v>
      </c>
      <c r="GM47" s="24">
        <f t="shared" si="168"/>
        <v>0</v>
      </c>
      <c r="GN47" s="24">
        <f t="shared" si="169"/>
        <v>0</v>
      </c>
      <c r="GO47" s="24">
        <f t="shared" si="169"/>
        <v>0</v>
      </c>
      <c r="GP47" s="24">
        <f t="shared" si="169"/>
        <v>0</v>
      </c>
      <c r="GQ47" s="24">
        <f t="shared" si="169"/>
        <v>0</v>
      </c>
      <c r="GR47" s="24">
        <f t="shared" si="169"/>
        <v>0</v>
      </c>
      <c r="GS47" s="24">
        <f t="shared" si="169"/>
        <v>0</v>
      </c>
      <c r="GT47" s="24">
        <f t="shared" si="169"/>
        <v>0</v>
      </c>
      <c r="GU47" s="24">
        <f t="shared" si="169"/>
        <v>0</v>
      </c>
      <c r="GV47" s="24">
        <f t="shared" si="169"/>
        <v>0</v>
      </c>
      <c r="GW47" s="24">
        <f t="shared" si="169"/>
        <v>0</v>
      </c>
      <c r="GX47" s="24">
        <f t="shared" si="169"/>
        <v>0</v>
      </c>
      <c r="GY47" s="24">
        <f t="shared" si="169"/>
        <v>0</v>
      </c>
      <c r="GZ47" s="24">
        <f t="shared" si="169"/>
        <v>0</v>
      </c>
      <c r="HA47" s="24">
        <f t="shared" si="169"/>
        <v>0</v>
      </c>
      <c r="HB47" s="24">
        <f t="shared" si="169"/>
        <v>0</v>
      </c>
      <c r="HC47" s="24">
        <f t="shared" si="169"/>
        <v>0</v>
      </c>
      <c r="HD47" s="24">
        <f t="shared" si="169"/>
        <v>0</v>
      </c>
      <c r="HE47" s="24">
        <f t="shared" si="169"/>
        <v>0</v>
      </c>
      <c r="HF47" s="24">
        <f t="shared" si="169"/>
        <v>0</v>
      </c>
      <c r="HG47" s="24">
        <f t="shared" si="169"/>
        <v>0</v>
      </c>
      <c r="HH47" s="24">
        <f t="shared" ref="HH47:IH47" si="176">$B47*HH30*HH11</f>
        <v>0</v>
      </c>
      <c r="HI47" s="24">
        <f t="shared" si="176"/>
        <v>0</v>
      </c>
      <c r="HJ47" s="24">
        <f t="shared" si="176"/>
        <v>0</v>
      </c>
      <c r="HK47" s="24">
        <f t="shared" si="176"/>
        <v>0</v>
      </c>
      <c r="HL47" s="24">
        <f t="shared" si="176"/>
        <v>0</v>
      </c>
      <c r="HM47" s="24">
        <f t="shared" si="176"/>
        <v>0</v>
      </c>
      <c r="HN47" s="24">
        <f t="shared" si="176"/>
        <v>0</v>
      </c>
      <c r="HO47" s="24">
        <f t="shared" si="176"/>
        <v>0</v>
      </c>
      <c r="HP47" s="24">
        <f t="shared" si="176"/>
        <v>0</v>
      </c>
      <c r="HQ47" s="24">
        <f t="shared" si="176"/>
        <v>0</v>
      </c>
      <c r="HR47" s="24">
        <f t="shared" si="176"/>
        <v>0</v>
      </c>
      <c r="HS47" s="24">
        <f t="shared" si="176"/>
        <v>0</v>
      </c>
      <c r="HT47" s="24">
        <f t="shared" si="176"/>
        <v>0</v>
      </c>
      <c r="HU47" s="24">
        <f t="shared" si="176"/>
        <v>0</v>
      </c>
      <c r="HV47" s="24">
        <f t="shared" si="176"/>
        <v>0</v>
      </c>
      <c r="HW47" s="24">
        <f t="shared" si="176"/>
        <v>0</v>
      </c>
      <c r="HX47" s="24">
        <f t="shared" si="176"/>
        <v>0</v>
      </c>
      <c r="HY47" s="24">
        <f t="shared" si="176"/>
        <v>0</v>
      </c>
      <c r="HZ47" s="24">
        <f t="shared" si="176"/>
        <v>0</v>
      </c>
      <c r="IA47" s="24">
        <f t="shared" si="176"/>
        <v>0</v>
      </c>
      <c r="IB47" s="24">
        <f t="shared" si="176"/>
        <v>0</v>
      </c>
      <c r="IC47" s="24">
        <f t="shared" si="176"/>
        <v>0</v>
      </c>
      <c r="ID47" s="24">
        <f t="shared" si="176"/>
        <v>0</v>
      </c>
      <c r="IE47" s="24">
        <f t="shared" si="176"/>
        <v>0</v>
      </c>
      <c r="IF47" s="24">
        <f t="shared" si="176"/>
        <v>0</v>
      </c>
      <c r="IG47" s="24">
        <f t="shared" si="176"/>
        <v>0</v>
      </c>
      <c r="IH47" s="24">
        <f t="shared" si="176"/>
        <v>0</v>
      </c>
      <c r="II47" s="20">
        <f t="shared" si="170"/>
        <v>0</v>
      </c>
    </row>
    <row r="48" spans="1:243" x14ac:dyDescent="0.45">
      <c r="A48" s="58" t="s">
        <v>201</v>
      </c>
      <c r="B48" s="61">
        <f>'WH Schedule'!Y22</f>
        <v>0</v>
      </c>
      <c r="C48" s="24">
        <f t="shared" si="171"/>
        <v>0</v>
      </c>
      <c r="D48" s="24">
        <f t="shared" ref="D48:BO51" si="177">$B48*D31*D12</f>
        <v>0</v>
      </c>
      <c r="E48" s="24">
        <f t="shared" si="177"/>
        <v>0</v>
      </c>
      <c r="F48" s="24">
        <f t="shared" si="177"/>
        <v>0</v>
      </c>
      <c r="G48" s="24">
        <f t="shared" si="177"/>
        <v>0</v>
      </c>
      <c r="H48" s="24">
        <f t="shared" si="177"/>
        <v>0</v>
      </c>
      <c r="I48" s="24">
        <f t="shared" si="177"/>
        <v>0</v>
      </c>
      <c r="J48" s="24">
        <f t="shared" si="177"/>
        <v>0</v>
      </c>
      <c r="K48" s="24">
        <f t="shared" si="177"/>
        <v>0</v>
      </c>
      <c r="L48" s="24">
        <f t="shared" si="177"/>
        <v>0</v>
      </c>
      <c r="M48" s="24">
        <f t="shared" si="177"/>
        <v>0</v>
      </c>
      <c r="N48" s="24">
        <f t="shared" si="177"/>
        <v>0</v>
      </c>
      <c r="O48" s="24">
        <f t="shared" si="177"/>
        <v>0</v>
      </c>
      <c r="P48" s="24">
        <f t="shared" si="177"/>
        <v>0</v>
      </c>
      <c r="Q48" s="24">
        <f t="shared" si="177"/>
        <v>0</v>
      </c>
      <c r="R48" s="24">
        <f t="shared" si="177"/>
        <v>0</v>
      </c>
      <c r="S48" s="24">
        <f t="shared" si="177"/>
        <v>0</v>
      </c>
      <c r="T48" s="24">
        <f t="shared" si="177"/>
        <v>0</v>
      </c>
      <c r="U48" s="24">
        <f t="shared" si="177"/>
        <v>0</v>
      </c>
      <c r="V48" s="24">
        <f t="shared" si="177"/>
        <v>0</v>
      </c>
      <c r="W48" s="24">
        <f t="shared" si="177"/>
        <v>0</v>
      </c>
      <c r="X48" s="24">
        <f t="shared" si="177"/>
        <v>0</v>
      </c>
      <c r="Y48" s="24">
        <f t="shared" si="177"/>
        <v>0</v>
      </c>
      <c r="Z48" s="24">
        <f t="shared" si="177"/>
        <v>0</v>
      </c>
      <c r="AA48" s="24">
        <f t="shared" si="177"/>
        <v>0</v>
      </c>
      <c r="AB48" s="24">
        <f t="shared" si="177"/>
        <v>0</v>
      </c>
      <c r="AC48" s="24">
        <f t="shared" si="177"/>
        <v>0</v>
      </c>
      <c r="AD48" s="24">
        <f t="shared" si="177"/>
        <v>0</v>
      </c>
      <c r="AE48" s="24">
        <f t="shared" si="177"/>
        <v>0</v>
      </c>
      <c r="AF48" s="24">
        <f t="shared" si="177"/>
        <v>0</v>
      </c>
      <c r="AG48" s="24">
        <f t="shared" si="177"/>
        <v>0</v>
      </c>
      <c r="AH48" s="24">
        <f t="shared" si="177"/>
        <v>0</v>
      </c>
      <c r="AI48" s="24">
        <f t="shared" si="177"/>
        <v>0</v>
      </c>
      <c r="AJ48" s="24">
        <f t="shared" si="177"/>
        <v>0</v>
      </c>
      <c r="AK48" s="24">
        <f t="shared" si="177"/>
        <v>0</v>
      </c>
      <c r="AL48" s="24">
        <f t="shared" si="177"/>
        <v>0</v>
      </c>
      <c r="AM48" s="24">
        <f t="shared" si="177"/>
        <v>0</v>
      </c>
      <c r="AN48" s="24">
        <f t="shared" si="177"/>
        <v>0</v>
      </c>
      <c r="AO48" s="24">
        <f t="shared" si="177"/>
        <v>0</v>
      </c>
      <c r="AP48" s="24">
        <f t="shared" si="177"/>
        <v>0</v>
      </c>
      <c r="AQ48" s="24">
        <f t="shared" si="177"/>
        <v>0</v>
      </c>
      <c r="AR48" s="24">
        <f t="shared" si="177"/>
        <v>0</v>
      </c>
      <c r="AS48" s="24">
        <f t="shared" si="177"/>
        <v>0</v>
      </c>
      <c r="AT48" s="24">
        <f t="shared" si="177"/>
        <v>0</v>
      </c>
      <c r="AU48" s="24">
        <f t="shared" si="177"/>
        <v>0</v>
      </c>
      <c r="AV48" s="24">
        <f t="shared" si="177"/>
        <v>0</v>
      </c>
      <c r="AW48" s="24">
        <f t="shared" si="177"/>
        <v>0</v>
      </c>
      <c r="AX48" s="24">
        <f t="shared" si="177"/>
        <v>0</v>
      </c>
      <c r="AY48" s="24">
        <f t="shared" si="177"/>
        <v>0</v>
      </c>
      <c r="AZ48" s="24">
        <f t="shared" si="177"/>
        <v>0</v>
      </c>
      <c r="BA48" s="24">
        <f t="shared" si="177"/>
        <v>0</v>
      </c>
      <c r="BB48" s="24">
        <f t="shared" si="177"/>
        <v>0</v>
      </c>
      <c r="BC48" s="24">
        <f t="shared" si="177"/>
        <v>0</v>
      </c>
      <c r="BD48" s="24">
        <f t="shared" si="177"/>
        <v>0</v>
      </c>
      <c r="BE48" s="24">
        <f t="shared" si="177"/>
        <v>0</v>
      </c>
      <c r="BF48" s="24">
        <f t="shared" si="177"/>
        <v>0</v>
      </c>
      <c r="BG48" s="24">
        <f t="shared" si="177"/>
        <v>0</v>
      </c>
      <c r="BH48" s="24">
        <f t="shared" si="177"/>
        <v>0</v>
      </c>
      <c r="BI48" s="24">
        <f t="shared" si="177"/>
        <v>0</v>
      </c>
      <c r="BJ48" s="24">
        <f t="shared" si="177"/>
        <v>0</v>
      </c>
      <c r="BK48" s="24">
        <f t="shared" si="177"/>
        <v>0</v>
      </c>
      <c r="BL48" s="24">
        <f t="shared" si="177"/>
        <v>0</v>
      </c>
      <c r="BM48" s="24">
        <f t="shared" si="177"/>
        <v>0</v>
      </c>
      <c r="BN48" s="24">
        <f t="shared" si="177"/>
        <v>0</v>
      </c>
      <c r="BO48" s="24">
        <f t="shared" si="177"/>
        <v>0</v>
      </c>
      <c r="BP48" s="24">
        <f t="shared" si="175"/>
        <v>0</v>
      </c>
      <c r="BQ48" s="24">
        <f t="shared" si="175"/>
        <v>0</v>
      </c>
      <c r="BR48" s="24">
        <f t="shared" si="175"/>
        <v>0</v>
      </c>
      <c r="BS48" s="24">
        <f t="shared" si="175"/>
        <v>0</v>
      </c>
      <c r="BT48" s="24">
        <f t="shared" si="175"/>
        <v>0</v>
      </c>
      <c r="BU48" s="24">
        <f t="shared" si="175"/>
        <v>0</v>
      </c>
      <c r="BV48" s="24">
        <f t="shared" si="175"/>
        <v>0</v>
      </c>
      <c r="BW48" s="24">
        <f t="shared" si="175"/>
        <v>0</v>
      </c>
      <c r="BX48" s="24">
        <f t="shared" si="175"/>
        <v>0</v>
      </c>
      <c r="BY48" s="24">
        <f t="shared" si="175"/>
        <v>0</v>
      </c>
      <c r="BZ48" s="24">
        <f t="shared" si="175"/>
        <v>0</v>
      </c>
      <c r="CA48" s="24">
        <f t="shared" si="175"/>
        <v>0</v>
      </c>
      <c r="CB48" s="24">
        <f t="shared" si="175"/>
        <v>0</v>
      </c>
      <c r="CC48" s="24">
        <f t="shared" si="175"/>
        <v>0</v>
      </c>
      <c r="CD48" s="24">
        <f t="shared" si="175"/>
        <v>0</v>
      </c>
      <c r="CE48" s="24">
        <f t="shared" si="175"/>
        <v>0</v>
      </c>
      <c r="CF48" s="24">
        <f t="shared" si="175"/>
        <v>0</v>
      </c>
      <c r="CG48" s="24">
        <f t="shared" si="175"/>
        <v>0</v>
      </c>
      <c r="CH48" s="24">
        <f t="shared" si="175"/>
        <v>0</v>
      </c>
      <c r="CI48" s="24">
        <f t="shared" si="175"/>
        <v>0</v>
      </c>
      <c r="CJ48" s="24">
        <f t="shared" si="175"/>
        <v>0</v>
      </c>
      <c r="CK48" s="24">
        <f t="shared" si="175"/>
        <v>0</v>
      </c>
      <c r="CL48" s="24">
        <f t="shared" si="175"/>
        <v>0</v>
      </c>
      <c r="CM48" s="24">
        <f t="shared" si="175"/>
        <v>0</v>
      </c>
      <c r="CN48" s="24">
        <f t="shared" si="175"/>
        <v>0</v>
      </c>
      <c r="CO48" s="24">
        <f t="shared" si="175"/>
        <v>0</v>
      </c>
      <c r="CP48" s="24">
        <f t="shared" si="175"/>
        <v>0</v>
      </c>
      <c r="CQ48" s="24">
        <f t="shared" si="175"/>
        <v>0</v>
      </c>
      <c r="CR48" s="24">
        <f t="shared" si="175"/>
        <v>0</v>
      </c>
      <c r="CS48" s="24">
        <f t="shared" si="175"/>
        <v>0</v>
      </c>
      <c r="CT48" s="24">
        <f t="shared" si="175"/>
        <v>0</v>
      </c>
      <c r="CU48" s="24">
        <f t="shared" si="175"/>
        <v>0</v>
      </c>
      <c r="CV48" s="24">
        <f t="shared" si="175"/>
        <v>0</v>
      </c>
      <c r="CW48" s="24">
        <f t="shared" si="175"/>
        <v>0</v>
      </c>
      <c r="CX48" s="24">
        <f t="shared" si="175"/>
        <v>0</v>
      </c>
      <c r="CY48" s="24">
        <f t="shared" si="175"/>
        <v>0</v>
      </c>
      <c r="CZ48" s="24">
        <f t="shared" si="175"/>
        <v>0</v>
      </c>
      <c r="DA48" s="24">
        <f t="shared" si="175"/>
        <v>0</v>
      </c>
      <c r="DB48" s="24">
        <f t="shared" si="175"/>
        <v>0</v>
      </c>
      <c r="DC48" s="24">
        <f t="shared" si="175"/>
        <v>0</v>
      </c>
      <c r="DD48" s="24">
        <f t="shared" si="175"/>
        <v>0</v>
      </c>
      <c r="DE48" s="24">
        <f t="shared" si="175"/>
        <v>0</v>
      </c>
      <c r="DF48" s="24">
        <f t="shared" si="175"/>
        <v>0</v>
      </c>
      <c r="DG48" s="24">
        <f t="shared" si="175"/>
        <v>0</v>
      </c>
      <c r="DH48" s="24">
        <f t="shared" si="175"/>
        <v>0</v>
      </c>
      <c r="DI48" s="24">
        <f t="shared" si="175"/>
        <v>0</v>
      </c>
      <c r="DJ48" s="24">
        <f t="shared" si="175"/>
        <v>0</v>
      </c>
      <c r="DK48" s="24">
        <f t="shared" si="175"/>
        <v>0</v>
      </c>
      <c r="DL48" s="24">
        <f t="shared" si="175"/>
        <v>0</v>
      </c>
      <c r="DM48" s="24">
        <f t="shared" si="175"/>
        <v>0</v>
      </c>
      <c r="DN48" s="24">
        <f t="shared" si="175"/>
        <v>0</v>
      </c>
      <c r="DO48" s="24">
        <f t="shared" si="175"/>
        <v>0</v>
      </c>
      <c r="DP48" s="24">
        <f t="shared" si="175"/>
        <v>0</v>
      </c>
      <c r="DQ48" s="24">
        <f t="shared" si="175"/>
        <v>0</v>
      </c>
      <c r="DR48" s="24">
        <f t="shared" si="175"/>
        <v>0</v>
      </c>
      <c r="DS48" s="24">
        <f t="shared" si="175"/>
        <v>0</v>
      </c>
      <c r="DT48" s="24">
        <f t="shared" si="175"/>
        <v>0</v>
      </c>
      <c r="DU48" s="24">
        <f t="shared" si="175"/>
        <v>0</v>
      </c>
      <c r="DV48" s="24">
        <f t="shared" si="175"/>
        <v>0</v>
      </c>
      <c r="DW48" s="24">
        <f t="shared" si="175"/>
        <v>0</v>
      </c>
      <c r="DX48" s="24">
        <f t="shared" si="175"/>
        <v>0</v>
      </c>
      <c r="DY48" s="24">
        <f t="shared" si="175"/>
        <v>0</v>
      </c>
      <c r="DZ48" s="24">
        <f t="shared" si="175"/>
        <v>0</v>
      </c>
      <c r="EA48" s="24">
        <f t="shared" si="174"/>
        <v>0</v>
      </c>
      <c r="EB48" s="24">
        <f t="shared" si="173"/>
        <v>0</v>
      </c>
      <c r="EC48" s="24">
        <f t="shared" si="173"/>
        <v>0</v>
      </c>
      <c r="ED48" s="24">
        <f t="shared" si="173"/>
        <v>0</v>
      </c>
      <c r="EE48" s="24">
        <f t="shared" si="173"/>
        <v>0</v>
      </c>
      <c r="EF48" s="24">
        <f t="shared" si="173"/>
        <v>0</v>
      </c>
      <c r="EG48" s="24">
        <f t="shared" si="173"/>
        <v>0</v>
      </c>
      <c r="EH48" s="24">
        <f t="shared" si="173"/>
        <v>0</v>
      </c>
      <c r="EI48" s="24">
        <f t="shared" si="173"/>
        <v>0</v>
      </c>
      <c r="EJ48" s="24">
        <f t="shared" si="173"/>
        <v>0</v>
      </c>
      <c r="EK48" s="24">
        <f t="shared" si="173"/>
        <v>0</v>
      </c>
      <c r="EL48" s="24">
        <f t="shared" si="173"/>
        <v>0</v>
      </c>
      <c r="EM48" s="24">
        <f t="shared" si="173"/>
        <v>0</v>
      </c>
      <c r="EN48" s="24">
        <f t="shared" si="173"/>
        <v>0</v>
      </c>
      <c r="EO48" s="24">
        <f t="shared" si="173"/>
        <v>0</v>
      </c>
      <c r="EP48" s="24">
        <f t="shared" si="173"/>
        <v>0</v>
      </c>
      <c r="EQ48" s="24">
        <f t="shared" si="173"/>
        <v>0</v>
      </c>
      <c r="ER48" s="24">
        <f t="shared" si="173"/>
        <v>0</v>
      </c>
      <c r="ES48" s="24">
        <f t="shared" si="173"/>
        <v>0</v>
      </c>
      <c r="ET48" s="24">
        <f t="shared" si="173"/>
        <v>0</v>
      </c>
      <c r="EU48" s="24">
        <f t="shared" si="173"/>
        <v>0</v>
      </c>
      <c r="EV48" s="24">
        <f t="shared" si="173"/>
        <v>0</v>
      </c>
      <c r="EW48" s="24">
        <f t="shared" si="173"/>
        <v>0</v>
      </c>
      <c r="EX48" s="24">
        <f t="shared" si="173"/>
        <v>0</v>
      </c>
      <c r="EY48" s="24">
        <f t="shared" si="173"/>
        <v>0</v>
      </c>
      <c r="EZ48" s="24">
        <f t="shared" si="173"/>
        <v>0</v>
      </c>
      <c r="FA48" s="24">
        <f t="shared" si="173"/>
        <v>0</v>
      </c>
      <c r="FB48" s="24">
        <f t="shared" si="173"/>
        <v>0</v>
      </c>
      <c r="FC48" s="24">
        <f t="shared" si="173"/>
        <v>0</v>
      </c>
      <c r="FD48" s="24">
        <f t="shared" si="173"/>
        <v>0</v>
      </c>
      <c r="FE48" s="24">
        <f t="shared" si="173"/>
        <v>0</v>
      </c>
      <c r="FF48" s="24">
        <f t="shared" si="173"/>
        <v>0</v>
      </c>
      <c r="FG48" s="24">
        <f t="shared" si="173"/>
        <v>0</v>
      </c>
      <c r="FH48" s="24">
        <f t="shared" si="173"/>
        <v>0</v>
      </c>
      <c r="FI48" s="24">
        <f t="shared" si="173"/>
        <v>0</v>
      </c>
      <c r="FJ48" s="24">
        <f t="shared" si="173"/>
        <v>0</v>
      </c>
      <c r="FK48" s="24">
        <f t="shared" si="173"/>
        <v>0</v>
      </c>
      <c r="FL48" s="24">
        <f t="shared" si="173"/>
        <v>0</v>
      </c>
      <c r="FM48" s="24">
        <f t="shared" si="173"/>
        <v>0</v>
      </c>
      <c r="FN48" s="24">
        <f t="shared" si="173"/>
        <v>0</v>
      </c>
      <c r="FO48" s="24">
        <f t="shared" si="173"/>
        <v>0</v>
      </c>
      <c r="FP48" s="24">
        <f t="shared" si="173"/>
        <v>0</v>
      </c>
      <c r="FQ48" s="24">
        <f t="shared" si="173"/>
        <v>0</v>
      </c>
      <c r="FR48" s="24">
        <f t="shared" si="173"/>
        <v>0</v>
      </c>
      <c r="FS48" s="24">
        <f t="shared" si="173"/>
        <v>0</v>
      </c>
      <c r="FT48" s="24">
        <f t="shared" si="173"/>
        <v>0</v>
      </c>
      <c r="FU48" s="24">
        <f t="shared" si="173"/>
        <v>0</v>
      </c>
      <c r="FV48" s="24">
        <f t="shared" si="173"/>
        <v>0</v>
      </c>
      <c r="FW48" s="24">
        <f t="shared" si="173"/>
        <v>0</v>
      </c>
      <c r="FX48" s="24">
        <f t="shared" si="173"/>
        <v>0</v>
      </c>
      <c r="FY48" s="24">
        <f t="shared" si="173"/>
        <v>0</v>
      </c>
      <c r="FZ48" s="24">
        <f t="shared" si="173"/>
        <v>0</v>
      </c>
      <c r="GA48" s="24">
        <f t="shared" si="173"/>
        <v>0</v>
      </c>
      <c r="GB48" s="24">
        <f t="shared" si="173"/>
        <v>0</v>
      </c>
      <c r="GC48" s="24">
        <f t="shared" si="173"/>
        <v>0</v>
      </c>
      <c r="GD48" s="24">
        <f t="shared" si="173"/>
        <v>0</v>
      </c>
      <c r="GE48" s="24">
        <f t="shared" si="173"/>
        <v>0</v>
      </c>
      <c r="GF48" s="24">
        <f t="shared" si="173"/>
        <v>0</v>
      </c>
      <c r="GG48" s="24">
        <f t="shared" si="173"/>
        <v>0</v>
      </c>
      <c r="GH48" s="24">
        <f t="shared" si="173"/>
        <v>0</v>
      </c>
      <c r="GI48" s="24">
        <f t="shared" si="173"/>
        <v>0</v>
      </c>
      <c r="GJ48" s="24">
        <f t="shared" si="173"/>
        <v>0</v>
      </c>
      <c r="GK48" s="24">
        <f t="shared" si="173"/>
        <v>0</v>
      </c>
      <c r="GL48" s="24">
        <f t="shared" si="173"/>
        <v>0</v>
      </c>
      <c r="GM48" s="24">
        <f t="shared" si="168"/>
        <v>0</v>
      </c>
      <c r="GN48" s="24">
        <f t="shared" ref="GN48:IH52" si="178">$B48*GN31*GN12</f>
        <v>0</v>
      </c>
      <c r="GO48" s="24">
        <f t="shared" si="178"/>
        <v>0</v>
      </c>
      <c r="GP48" s="24">
        <f t="shared" si="178"/>
        <v>0</v>
      </c>
      <c r="GQ48" s="24">
        <f t="shared" si="178"/>
        <v>0</v>
      </c>
      <c r="GR48" s="24">
        <f t="shared" si="178"/>
        <v>0</v>
      </c>
      <c r="GS48" s="24">
        <f t="shared" si="178"/>
        <v>0</v>
      </c>
      <c r="GT48" s="24">
        <f t="shared" si="178"/>
        <v>0</v>
      </c>
      <c r="GU48" s="24">
        <f t="shared" si="178"/>
        <v>0</v>
      </c>
      <c r="GV48" s="24">
        <f t="shared" si="178"/>
        <v>0</v>
      </c>
      <c r="GW48" s="24">
        <f t="shared" si="178"/>
        <v>0</v>
      </c>
      <c r="GX48" s="24">
        <f t="shared" si="178"/>
        <v>0</v>
      </c>
      <c r="GY48" s="24">
        <f t="shared" si="178"/>
        <v>0</v>
      </c>
      <c r="GZ48" s="24">
        <f t="shared" si="178"/>
        <v>0</v>
      </c>
      <c r="HA48" s="24">
        <f t="shared" si="178"/>
        <v>0</v>
      </c>
      <c r="HB48" s="24">
        <f t="shared" si="178"/>
        <v>0</v>
      </c>
      <c r="HC48" s="24">
        <f t="shared" si="178"/>
        <v>0</v>
      </c>
      <c r="HD48" s="24">
        <f t="shared" si="178"/>
        <v>0</v>
      </c>
      <c r="HE48" s="24">
        <f t="shared" si="178"/>
        <v>0</v>
      </c>
      <c r="HF48" s="24">
        <f t="shared" si="178"/>
        <v>0</v>
      </c>
      <c r="HG48" s="24">
        <f t="shared" si="178"/>
        <v>0</v>
      </c>
      <c r="HH48" s="24">
        <f t="shared" si="178"/>
        <v>0</v>
      </c>
      <c r="HI48" s="24">
        <f t="shared" si="178"/>
        <v>0</v>
      </c>
      <c r="HJ48" s="24">
        <f t="shared" si="178"/>
        <v>0</v>
      </c>
      <c r="HK48" s="24">
        <f t="shared" si="178"/>
        <v>0</v>
      </c>
      <c r="HL48" s="24">
        <f t="shared" si="178"/>
        <v>0</v>
      </c>
      <c r="HM48" s="24">
        <f t="shared" si="178"/>
        <v>0</v>
      </c>
      <c r="HN48" s="24">
        <f t="shared" si="178"/>
        <v>0</v>
      </c>
      <c r="HO48" s="24">
        <f t="shared" si="178"/>
        <v>0</v>
      </c>
      <c r="HP48" s="24">
        <f t="shared" si="178"/>
        <v>0</v>
      </c>
      <c r="HQ48" s="24">
        <f t="shared" si="178"/>
        <v>0</v>
      </c>
      <c r="HR48" s="24">
        <f t="shared" si="178"/>
        <v>0</v>
      </c>
      <c r="HS48" s="24">
        <f t="shared" si="178"/>
        <v>0</v>
      </c>
      <c r="HT48" s="24">
        <f t="shared" si="178"/>
        <v>0</v>
      </c>
      <c r="HU48" s="24">
        <f t="shared" si="178"/>
        <v>0</v>
      </c>
      <c r="HV48" s="24">
        <f t="shared" si="178"/>
        <v>0</v>
      </c>
      <c r="HW48" s="24">
        <f t="shared" si="178"/>
        <v>0</v>
      </c>
      <c r="HX48" s="24">
        <f t="shared" si="178"/>
        <v>0</v>
      </c>
      <c r="HY48" s="24">
        <f t="shared" si="178"/>
        <v>0</v>
      </c>
      <c r="HZ48" s="24">
        <f t="shared" si="178"/>
        <v>0</v>
      </c>
      <c r="IA48" s="24">
        <f t="shared" si="178"/>
        <v>0</v>
      </c>
      <c r="IB48" s="24">
        <f t="shared" si="178"/>
        <v>0</v>
      </c>
      <c r="IC48" s="24">
        <f t="shared" si="178"/>
        <v>0</v>
      </c>
      <c r="ID48" s="24">
        <f t="shared" si="178"/>
        <v>0</v>
      </c>
      <c r="IE48" s="24">
        <f t="shared" si="178"/>
        <v>0</v>
      </c>
      <c r="IF48" s="24">
        <f t="shared" si="178"/>
        <v>0</v>
      </c>
      <c r="IG48" s="24">
        <f t="shared" si="178"/>
        <v>0</v>
      </c>
      <c r="IH48" s="24">
        <f t="shared" si="178"/>
        <v>0</v>
      </c>
      <c r="II48" s="20">
        <f t="shared" si="170"/>
        <v>0</v>
      </c>
    </row>
    <row r="49" spans="1:243" x14ac:dyDescent="0.45">
      <c r="A49" s="58" t="s">
        <v>376</v>
      </c>
      <c r="B49" s="61">
        <f>'WH Schedule'!U24</f>
        <v>12250</v>
      </c>
      <c r="C49" s="24">
        <f t="shared" si="171"/>
        <v>0</v>
      </c>
      <c r="D49" s="24">
        <f t="shared" si="177"/>
        <v>0</v>
      </c>
      <c r="E49" s="24">
        <f t="shared" si="177"/>
        <v>0</v>
      </c>
      <c r="F49" s="24">
        <f t="shared" si="177"/>
        <v>0</v>
      </c>
      <c r="G49" s="24">
        <f t="shared" si="177"/>
        <v>0</v>
      </c>
      <c r="H49" s="24">
        <f t="shared" si="177"/>
        <v>0</v>
      </c>
      <c r="I49" s="24">
        <f t="shared" si="177"/>
        <v>0</v>
      </c>
      <c r="J49" s="24">
        <f t="shared" si="177"/>
        <v>0</v>
      </c>
      <c r="K49" s="24">
        <f t="shared" si="177"/>
        <v>0</v>
      </c>
      <c r="L49" s="24">
        <f t="shared" si="177"/>
        <v>0</v>
      </c>
      <c r="M49" s="24">
        <f t="shared" si="177"/>
        <v>0</v>
      </c>
      <c r="N49" s="24">
        <f t="shared" si="177"/>
        <v>0</v>
      </c>
      <c r="O49" s="24">
        <f t="shared" si="177"/>
        <v>0</v>
      </c>
      <c r="P49" s="24">
        <f t="shared" si="177"/>
        <v>0</v>
      </c>
      <c r="Q49" s="24">
        <f t="shared" si="177"/>
        <v>0</v>
      </c>
      <c r="R49" s="24">
        <f t="shared" si="177"/>
        <v>0</v>
      </c>
      <c r="S49" s="24">
        <f t="shared" si="177"/>
        <v>0</v>
      </c>
      <c r="T49" s="24">
        <f t="shared" si="177"/>
        <v>0</v>
      </c>
      <c r="U49" s="24">
        <f t="shared" si="177"/>
        <v>0</v>
      </c>
      <c r="V49" s="24">
        <f t="shared" si="177"/>
        <v>0</v>
      </c>
      <c r="W49" s="24">
        <f t="shared" si="177"/>
        <v>0</v>
      </c>
      <c r="X49" s="24">
        <f t="shared" si="177"/>
        <v>0</v>
      </c>
      <c r="Y49" s="24">
        <f t="shared" si="177"/>
        <v>0</v>
      </c>
      <c r="Z49" s="24">
        <f t="shared" si="177"/>
        <v>0</v>
      </c>
      <c r="AA49" s="24">
        <f t="shared" si="177"/>
        <v>257250</v>
      </c>
      <c r="AB49" s="24">
        <f t="shared" si="177"/>
        <v>257250</v>
      </c>
      <c r="AC49" s="24">
        <f t="shared" si="177"/>
        <v>257250</v>
      </c>
      <c r="AD49" s="24">
        <f t="shared" si="177"/>
        <v>257250</v>
      </c>
      <c r="AE49" s="24">
        <f t="shared" si="177"/>
        <v>257250</v>
      </c>
      <c r="AF49" s="24">
        <f t="shared" si="177"/>
        <v>257250</v>
      </c>
      <c r="AG49" s="24">
        <f t="shared" si="177"/>
        <v>257250</v>
      </c>
      <c r="AH49" s="24">
        <f t="shared" si="177"/>
        <v>257250</v>
      </c>
      <c r="AI49" s="24">
        <f t="shared" si="177"/>
        <v>257250</v>
      </c>
      <c r="AJ49" s="24">
        <f t="shared" si="177"/>
        <v>257250</v>
      </c>
      <c r="AK49" s="24">
        <f t="shared" si="177"/>
        <v>257250</v>
      </c>
      <c r="AL49" s="24">
        <f t="shared" si="177"/>
        <v>257250</v>
      </c>
      <c r="AM49" s="24">
        <f t="shared" si="177"/>
        <v>428750</v>
      </c>
      <c r="AN49" s="24">
        <f t="shared" si="177"/>
        <v>428750</v>
      </c>
      <c r="AO49" s="24">
        <f t="shared" si="177"/>
        <v>428750</v>
      </c>
      <c r="AP49" s="24">
        <f t="shared" si="177"/>
        <v>428750</v>
      </c>
      <c r="AQ49" s="24">
        <f t="shared" si="177"/>
        <v>428750</v>
      </c>
      <c r="AR49" s="24">
        <f t="shared" si="177"/>
        <v>428750</v>
      </c>
      <c r="AS49" s="24">
        <f t="shared" si="177"/>
        <v>428750</v>
      </c>
      <c r="AT49" s="24">
        <f t="shared" si="177"/>
        <v>428750</v>
      </c>
      <c r="AU49" s="24">
        <f t="shared" si="177"/>
        <v>428750</v>
      </c>
      <c r="AV49" s="24">
        <f t="shared" si="177"/>
        <v>428750</v>
      </c>
      <c r="AW49" s="24">
        <f t="shared" si="177"/>
        <v>428750</v>
      </c>
      <c r="AX49" s="24">
        <f t="shared" si="177"/>
        <v>428750</v>
      </c>
      <c r="AY49" s="24">
        <f t="shared" si="177"/>
        <v>630262.5</v>
      </c>
      <c r="AZ49" s="24">
        <f t="shared" si="177"/>
        <v>630262.5</v>
      </c>
      <c r="BA49" s="24">
        <f t="shared" si="177"/>
        <v>630262.5</v>
      </c>
      <c r="BB49" s="24">
        <f t="shared" si="177"/>
        <v>630262.5</v>
      </c>
      <c r="BC49" s="24">
        <f t="shared" si="177"/>
        <v>630262.5</v>
      </c>
      <c r="BD49" s="24">
        <f t="shared" si="177"/>
        <v>630262.5</v>
      </c>
      <c r="BE49" s="24">
        <f t="shared" si="177"/>
        <v>630262.5</v>
      </c>
      <c r="BF49" s="24">
        <f t="shared" si="177"/>
        <v>630262.5</v>
      </c>
      <c r="BG49" s="24">
        <f t="shared" si="177"/>
        <v>630262.5</v>
      </c>
      <c r="BH49" s="24">
        <f t="shared" si="177"/>
        <v>630262.5</v>
      </c>
      <c r="BI49" s="24">
        <f t="shared" si="177"/>
        <v>630262.5</v>
      </c>
      <c r="BJ49" s="24">
        <f t="shared" si="177"/>
        <v>630262.5</v>
      </c>
      <c r="BK49" s="24">
        <f t="shared" si="177"/>
        <v>765318.75</v>
      </c>
      <c r="BL49" s="24">
        <f t="shared" si="177"/>
        <v>765318.75</v>
      </c>
      <c r="BM49" s="24">
        <f t="shared" si="177"/>
        <v>765318.75</v>
      </c>
      <c r="BN49" s="24">
        <f t="shared" si="177"/>
        <v>765318.75</v>
      </c>
      <c r="BO49" s="24">
        <f t="shared" si="177"/>
        <v>765318.75</v>
      </c>
      <c r="BP49" s="24">
        <f t="shared" si="175"/>
        <v>765318.75</v>
      </c>
      <c r="BQ49" s="24">
        <f t="shared" si="175"/>
        <v>765318.75</v>
      </c>
      <c r="BR49" s="24">
        <f t="shared" si="175"/>
        <v>765318.75</v>
      </c>
      <c r="BS49" s="24">
        <f t="shared" si="175"/>
        <v>765318.75</v>
      </c>
      <c r="BT49" s="24">
        <f t="shared" si="175"/>
        <v>765318.75</v>
      </c>
      <c r="BU49" s="24">
        <f t="shared" si="175"/>
        <v>765318.75</v>
      </c>
      <c r="BV49" s="24">
        <f t="shared" si="175"/>
        <v>765318.75</v>
      </c>
      <c r="BW49" s="24">
        <f t="shared" si="175"/>
        <v>801762.5</v>
      </c>
      <c r="BX49" s="24">
        <f t="shared" si="175"/>
        <v>801762.5</v>
      </c>
      <c r="BY49" s="24">
        <f t="shared" si="175"/>
        <v>801762.5</v>
      </c>
      <c r="BZ49" s="24">
        <f t="shared" si="175"/>
        <v>801762.5</v>
      </c>
      <c r="CA49" s="24">
        <f t="shared" si="175"/>
        <v>801762.5</v>
      </c>
      <c r="CB49" s="24">
        <f t="shared" si="175"/>
        <v>801762.5</v>
      </c>
      <c r="CC49" s="24">
        <f t="shared" si="175"/>
        <v>801762.5</v>
      </c>
      <c r="CD49" s="24">
        <f t="shared" si="175"/>
        <v>801762.5</v>
      </c>
      <c r="CE49" s="24">
        <f t="shared" si="175"/>
        <v>801762.5</v>
      </c>
      <c r="CF49" s="24">
        <f t="shared" si="175"/>
        <v>801762.5</v>
      </c>
      <c r="CG49" s="24">
        <f t="shared" si="175"/>
        <v>801762.5</v>
      </c>
      <c r="CH49" s="24">
        <f t="shared" si="175"/>
        <v>801762.5</v>
      </c>
      <c r="CI49" s="24">
        <f t="shared" si="175"/>
        <v>801762.5</v>
      </c>
      <c r="CJ49" s="24">
        <f t="shared" si="175"/>
        <v>801762.5</v>
      </c>
      <c r="CK49" s="24">
        <f t="shared" si="175"/>
        <v>801762.5</v>
      </c>
      <c r="CL49" s="24">
        <f t="shared" si="175"/>
        <v>801762.5</v>
      </c>
      <c r="CM49" s="24">
        <f t="shared" si="175"/>
        <v>801762.5</v>
      </c>
      <c r="CN49" s="24">
        <f t="shared" si="175"/>
        <v>801762.5</v>
      </c>
      <c r="CO49" s="24">
        <f t="shared" si="175"/>
        <v>801762.5</v>
      </c>
      <c r="CP49" s="24">
        <f t="shared" si="175"/>
        <v>801762.5</v>
      </c>
      <c r="CQ49" s="24">
        <f t="shared" si="175"/>
        <v>801762.5</v>
      </c>
      <c r="CR49" s="24">
        <f t="shared" si="175"/>
        <v>801762.5</v>
      </c>
      <c r="CS49" s="24">
        <f t="shared" si="175"/>
        <v>801762.5</v>
      </c>
      <c r="CT49" s="24">
        <f t="shared" si="175"/>
        <v>801762.5</v>
      </c>
      <c r="CU49" s="24">
        <f t="shared" si="175"/>
        <v>838206.25000000012</v>
      </c>
      <c r="CV49" s="24">
        <f t="shared" si="175"/>
        <v>838206.25000000012</v>
      </c>
      <c r="CW49" s="24">
        <f t="shared" si="175"/>
        <v>838206.25000000012</v>
      </c>
      <c r="CX49" s="24">
        <f t="shared" si="175"/>
        <v>838206.25000000012</v>
      </c>
      <c r="CY49" s="24">
        <f t="shared" si="175"/>
        <v>838206.25000000012</v>
      </c>
      <c r="CZ49" s="24">
        <f t="shared" si="175"/>
        <v>838206.25000000012</v>
      </c>
      <c r="DA49" s="24">
        <f t="shared" si="175"/>
        <v>838206.25000000012</v>
      </c>
      <c r="DB49" s="24">
        <f t="shared" si="175"/>
        <v>838206.25000000012</v>
      </c>
      <c r="DC49" s="24">
        <f t="shared" si="175"/>
        <v>838206.25000000012</v>
      </c>
      <c r="DD49" s="24">
        <f t="shared" si="175"/>
        <v>838206.25000000012</v>
      </c>
      <c r="DE49" s="24">
        <f t="shared" si="175"/>
        <v>838206.25000000012</v>
      </c>
      <c r="DF49" s="24">
        <f t="shared" si="175"/>
        <v>838206.25000000012</v>
      </c>
      <c r="DG49" s="24">
        <f t="shared" si="175"/>
        <v>838206.25000000012</v>
      </c>
      <c r="DH49" s="24">
        <f t="shared" si="175"/>
        <v>838206.25000000012</v>
      </c>
      <c r="DI49" s="24">
        <f t="shared" si="175"/>
        <v>838206.25000000012</v>
      </c>
      <c r="DJ49" s="24">
        <f t="shared" si="175"/>
        <v>838206.25000000012</v>
      </c>
      <c r="DK49" s="24">
        <f t="shared" si="175"/>
        <v>838206.25000000012</v>
      </c>
      <c r="DL49" s="24">
        <f t="shared" si="175"/>
        <v>838206.25000000012</v>
      </c>
      <c r="DM49" s="24">
        <f t="shared" si="175"/>
        <v>838206.25000000012</v>
      </c>
      <c r="DN49" s="24">
        <f t="shared" si="175"/>
        <v>838206.25000000012</v>
      </c>
      <c r="DO49" s="24">
        <f t="shared" si="175"/>
        <v>838206.25000000012</v>
      </c>
      <c r="DP49" s="24">
        <f t="shared" si="175"/>
        <v>838206.25000000012</v>
      </c>
      <c r="DQ49" s="24">
        <f t="shared" si="175"/>
        <v>838206.25000000012</v>
      </c>
      <c r="DR49" s="24">
        <f t="shared" si="175"/>
        <v>838206.25000000012</v>
      </c>
      <c r="DS49" s="24">
        <f t="shared" si="175"/>
        <v>874650.00000000012</v>
      </c>
      <c r="DT49" s="24">
        <f t="shared" si="175"/>
        <v>874650.00000000012</v>
      </c>
      <c r="DU49" s="24">
        <f t="shared" si="175"/>
        <v>874650.00000000012</v>
      </c>
      <c r="DV49" s="24">
        <f t="shared" si="175"/>
        <v>874650.00000000012</v>
      </c>
      <c r="DW49" s="24">
        <f t="shared" si="175"/>
        <v>874650.00000000012</v>
      </c>
      <c r="DX49" s="24">
        <f t="shared" si="175"/>
        <v>874650.00000000012</v>
      </c>
      <c r="DY49" s="24">
        <f t="shared" si="175"/>
        <v>874650.00000000012</v>
      </c>
      <c r="DZ49" s="24">
        <f t="shared" si="175"/>
        <v>874650.00000000012</v>
      </c>
      <c r="EA49" s="24">
        <f t="shared" si="174"/>
        <v>874650.00000000012</v>
      </c>
      <c r="EB49" s="24">
        <f t="shared" si="173"/>
        <v>874650.00000000012</v>
      </c>
      <c r="EC49" s="24">
        <f t="shared" si="173"/>
        <v>874650.00000000012</v>
      </c>
      <c r="ED49" s="24">
        <f t="shared" ref="ED49:GO52" si="179">$B49*ED32*ED13</f>
        <v>874650.00000000012</v>
      </c>
      <c r="EE49" s="24">
        <f t="shared" si="179"/>
        <v>874650.00000000012</v>
      </c>
      <c r="EF49" s="24">
        <f t="shared" si="179"/>
        <v>874650.00000000012</v>
      </c>
      <c r="EG49" s="24">
        <f t="shared" si="179"/>
        <v>874650.00000000012</v>
      </c>
      <c r="EH49" s="24">
        <f t="shared" si="179"/>
        <v>874650.00000000012</v>
      </c>
      <c r="EI49" s="24">
        <f t="shared" si="179"/>
        <v>874650.00000000012</v>
      </c>
      <c r="EJ49" s="24">
        <f t="shared" si="179"/>
        <v>874650.00000000012</v>
      </c>
      <c r="EK49" s="24">
        <f t="shared" si="179"/>
        <v>874650.00000000012</v>
      </c>
      <c r="EL49" s="24">
        <f t="shared" si="179"/>
        <v>874650.00000000012</v>
      </c>
      <c r="EM49" s="24">
        <f t="shared" si="179"/>
        <v>874650.00000000012</v>
      </c>
      <c r="EN49" s="24">
        <f t="shared" si="179"/>
        <v>874650.00000000012</v>
      </c>
      <c r="EO49" s="24">
        <f t="shared" si="179"/>
        <v>874650.00000000012</v>
      </c>
      <c r="EP49" s="24">
        <f t="shared" si="179"/>
        <v>874650.00000000012</v>
      </c>
      <c r="EQ49" s="24">
        <f t="shared" si="179"/>
        <v>911093.75000000012</v>
      </c>
      <c r="ER49" s="24">
        <f t="shared" si="179"/>
        <v>911093.75000000012</v>
      </c>
      <c r="ES49" s="24">
        <f t="shared" si="179"/>
        <v>911093.75000000012</v>
      </c>
      <c r="ET49" s="24">
        <f t="shared" si="179"/>
        <v>911093.75000000012</v>
      </c>
      <c r="EU49" s="24">
        <f t="shared" si="179"/>
        <v>911093.75000000012</v>
      </c>
      <c r="EV49" s="24">
        <f t="shared" si="179"/>
        <v>911093.75000000012</v>
      </c>
      <c r="EW49" s="24">
        <f t="shared" si="179"/>
        <v>911093.75000000012</v>
      </c>
      <c r="EX49" s="24">
        <f t="shared" si="179"/>
        <v>911093.75000000012</v>
      </c>
      <c r="EY49" s="24">
        <f t="shared" si="179"/>
        <v>911093.75000000012</v>
      </c>
      <c r="EZ49" s="24">
        <f t="shared" si="179"/>
        <v>911093.75000000012</v>
      </c>
      <c r="FA49" s="24">
        <f t="shared" si="179"/>
        <v>911093.75000000012</v>
      </c>
      <c r="FB49" s="24">
        <f t="shared" si="179"/>
        <v>911093.75000000012</v>
      </c>
      <c r="FC49" s="24">
        <f t="shared" si="179"/>
        <v>911093.75000000012</v>
      </c>
      <c r="FD49" s="24">
        <f t="shared" si="179"/>
        <v>911093.75000000012</v>
      </c>
      <c r="FE49" s="24">
        <f t="shared" si="179"/>
        <v>911093.75000000012</v>
      </c>
      <c r="FF49" s="24">
        <f t="shared" si="179"/>
        <v>911093.75000000012</v>
      </c>
      <c r="FG49" s="24">
        <f t="shared" si="179"/>
        <v>911093.75000000012</v>
      </c>
      <c r="FH49" s="24">
        <f t="shared" si="179"/>
        <v>911093.75000000012</v>
      </c>
      <c r="FI49" s="24">
        <f t="shared" si="179"/>
        <v>911093.75000000012</v>
      </c>
      <c r="FJ49" s="24">
        <f t="shared" si="179"/>
        <v>911093.75000000012</v>
      </c>
      <c r="FK49" s="24">
        <f t="shared" si="179"/>
        <v>911093.75000000012</v>
      </c>
      <c r="FL49" s="24">
        <f t="shared" si="179"/>
        <v>911093.75000000012</v>
      </c>
      <c r="FM49" s="24">
        <f t="shared" si="179"/>
        <v>911093.75000000012</v>
      </c>
      <c r="FN49" s="24">
        <f t="shared" si="179"/>
        <v>911093.75000000012</v>
      </c>
      <c r="FO49" s="24">
        <f t="shared" si="179"/>
        <v>947537.50000000012</v>
      </c>
      <c r="FP49" s="24">
        <f t="shared" si="179"/>
        <v>947537.50000000012</v>
      </c>
      <c r="FQ49" s="24">
        <f t="shared" si="179"/>
        <v>947537.50000000012</v>
      </c>
      <c r="FR49" s="24">
        <f t="shared" si="179"/>
        <v>947537.50000000012</v>
      </c>
      <c r="FS49" s="24">
        <f t="shared" si="179"/>
        <v>947537.50000000012</v>
      </c>
      <c r="FT49" s="24">
        <f t="shared" si="179"/>
        <v>947537.50000000012</v>
      </c>
      <c r="FU49" s="24">
        <f t="shared" si="179"/>
        <v>947537.50000000012</v>
      </c>
      <c r="FV49" s="24">
        <f t="shared" si="179"/>
        <v>947537.50000000012</v>
      </c>
      <c r="FW49" s="24">
        <f t="shared" si="179"/>
        <v>947537.50000000012</v>
      </c>
      <c r="FX49" s="24">
        <f t="shared" si="179"/>
        <v>947537.50000000012</v>
      </c>
      <c r="FY49" s="24">
        <f t="shared" si="179"/>
        <v>947537.50000000012</v>
      </c>
      <c r="FZ49" s="24">
        <f t="shared" si="179"/>
        <v>947537.50000000012</v>
      </c>
      <c r="GA49" s="24">
        <f t="shared" si="179"/>
        <v>947537.50000000012</v>
      </c>
      <c r="GB49" s="24">
        <f t="shared" si="179"/>
        <v>947537.50000000012</v>
      </c>
      <c r="GC49" s="24">
        <f t="shared" si="179"/>
        <v>947537.50000000012</v>
      </c>
      <c r="GD49" s="24">
        <f t="shared" si="179"/>
        <v>947537.50000000012</v>
      </c>
      <c r="GE49" s="24">
        <f t="shared" si="179"/>
        <v>947537.50000000012</v>
      </c>
      <c r="GF49" s="24">
        <f t="shared" si="179"/>
        <v>947537.50000000012</v>
      </c>
      <c r="GG49" s="24">
        <f t="shared" si="179"/>
        <v>947537.50000000012</v>
      </c>
      <c r="GH49" s="24">
        <f t="shared" si="179"/>
        <v>947537.50000000012</v>
      </c>
      <c r="GI49" s="24">
        <f t="shared" si="179"/>
        <v>947537.50000000012</v>
      </c>
      <c r="GJ49" s="24">
        <f t="shared" si="179"/>
        <v>947537.50000000012</v>
      </c>
      <c r="GK49" s="24">
        <f t="shared" si="179"/>
        <v>947537.50000000012</v>
      </c>
      <c r="GL49" s="24">
        <f t="shared" si="179"/>
        <v>947537.50000000012</v>
      </c>
      <c r="GM49" s="24">
        <f t="shared" si="179"/>
        <v>983981.25000000012</v>
      </c>
      <c r="GN49" s="24">
        <f t="shared" si="179"/>
        <v>983981.25000000012</v>
      </c>
      <c r="GO49" s="24">
        <f t="shared" si="179"/>
        <v>983981.25000000012</v>
      </c>
      <c r="GP49" s="24">
        <f t="shared" si="178"/>
        <v>983981.25000000012</v>
      </c>
      <c r="GQ49" s="24">
        <f t="shared" si="178"/>
        <v>983981.25000000012</v>
      </c>
      <c r="GR49" s="24">
        <f t="shared" si="178"/>
        <v>983981.25000000012</v>
      </c>
      <c r="GS49" s="24">
        <f t="shared" si="178"/>
        <v>983981.25000000012</v>
      </c>
      <c r="GT49" s="24">
        <f t="shared" si="178"/>
        <v>983981.25000000012</v>
      </c>
      <c r="GU49" s="24">
        <f t="shared" si="178"/>
        <v>983981.25000000012</v>
      </c>
      <c r="GV49" s="24">
        <f t="shared" si="178"/>
        <v>983981.25000000012</v>
      </c>
      <c r="GW49" s="24">
        <f t="shared" si="178"/>
        <v>983981.25000000012</v>
      </c>
      <c r="GX49" s="24">
        <f t="shared" si="178"/>
        <v>983981.25000000012</v>
      </c>
      <c r="GY49" s="24">
        <f t="shared" si="178"/>
        <v>983981.25000000012</v>
      </c>
      <c r="GZ49" s="24">
        <f t="shared" si="178"/>
        <v>983981.25000000012</v>
      </c>
      <c r="HA49" s="24">
        <f t="shared" si="178"/>
        <v>983981.25000000012</v>
      </c>
      <c r="HB49" s="24">
        <f t="shared" si="178"/>
        <v>983981.25000000012</v>
      </c>
      <c r="HC49" s="24">
        <f t="shared" si="178"/>
        <v>983981.25000000012</v>
      </c>
      <c r="HD49" s="24">
        <f t="shared" si="178"/>
        <v>983981.25000000012</v>
      </c>
      <c r="HE49" s="24">
        <f t="shared" si="178"/>
        <v>983981.25000000012</v>
      </c>
      <c r="HF49" s="24">
        <f t="shared" si="178"/>
        <v>983981.25000000012</v>
      </c>
      <c r="HG49" s="24">
        <f t="shared" si="178"/>
        <v>983981.25000000012</v>
      </c>
      <c r="HH49" s="24">
        <f t="shared" si="178"/>
        <v>983981.25000000012</v>
      </c>
      <c r="HI49" s="24">
        <f t="shared" si="178"/>
        <v>983981.25000000012</v>
      </c>
      <c r="HJ49" s="24">
        <f t="shared" si="178"/>
        <v>983981.25000000012</v>
      </c>
      <c r="HK49" s="24">
        <f t="shared" si="178"/>
        <v>1020425.0000000001</v>
      </c>
      <c r="HL49" s="24">
        <f t="shared" si="178"/>
        <v>1020425.0000000001</v>
      </c>
      <c r="HM49" s="24">
        <f t="shared" si="178"/>
        <v>1020425.0000000001</v>
      </c>
      <c r="HN49" s="24">
        <f t="shared" si="178"/>
        <v>1020425.0000000001</v>
      </c>
      <c r="HO49" s="24">
        <f t="shared" si="178"/>
        <v>1020425.0000000001</v>
      </c>
      <c r="HP49" s="24">
        <f t="shared" si="178"/>
        <v>1020425.0000000001</v>
      </c>
      <c r="HQ49" s="24">
        <f t="shared" si="178"/>
        <v>1020425.0000000001</v>
      </c>
      <c r="HR49" s="24">
        <f t="shared" si="178"/>
        <v>1020425.0000000001</v>
      </c>
      <c r="HS49" s="24">
        <f t="shared" si="178"/>
        <v>1020425.0000000001</v>
      </c>
      <c r="HT49" s="24">
        <f t="shared" si="178"/>
        <v>1020425.0000000001</v>
      </c>
      <c r="HU49" s="24">
        <f t="shared" si="178"/>
        <v>1020425.0000000001</v>
      </c>
      <c r="HV49" s="24">
        <f t="shared" si="178"/>
        <v>1020425.0000000001</v>
      </c>
      <c r="HW49" s="24">
        <f t="shared" si="178"/>
        <v>1020425.0000000001</v>
      </c>
      <c r="HX49" s="24">
        <f t="shared" si="178"/>
        <v>1020425.0000000001</v>
      </c>
      <c r="HY49" s="24">
        <f t="shared" si="178"/>
        <v>1020425.0000000001</v>
      </c>
      <c r="HZ49" s="24">
        <f t="shared" si="178"/>
        <v>1020425.0000000001</v>
      </c>
      <c r="IA49" s="24">
        <f t="shared" si="178"/>
        <v>1020425.0000000001</v>
      </c>
      <c r="IB49" s="24">
        <f t="shared" si="178"/>
        <v>1020425.0000000001</v>
      </c>
      <c r="IC49" s="24">
        <f t="shared" si="178"/>
        <v>1020425.0000000001</v>
      </c>
      <c r="ID49" s="24">
        <f t="shared" si="178"/>
        <v>1020425.0000000001</v>
      </c>
      <c r="IE49" s="24">
        <f t="shared" si="178"/>
        <v>1020425.0000000001</v>
      </c>
      <c r="IF49" s="24">
        <f t="shared" si="178"/>
        <v>1020425.0000000001</v>
      </c>
      <c r="IG49" s="24">
        <f t="shared" si="178"/>
        <v>1020425.0000000001</v>
      </c>
      <c r="IH49" s="24">
        <f t="shared" si="178"/>
        <v>1020425.0000000001</v>
      </c>
      <c r="II49" s="20"/>
    </row>
    <row r="50" spans="1:243" x14ac:dyDescent="0.45">
      <c r="A50" s="59" t="s">
        <v>56</v>
      </c>
      <c r="B50" s="62">
        <f>'WH Schedule'!S23</f>
        <v>54520.5</v>
      </c>
      <c r="C50" s="24">
        <f t="shared" si="171"/>
        <v>0</v>
      </c>
      <c r="D50" s="24">
        <f t="shared" si="177"/>
        <v>0</v>
      </c>
      <c r="E50" s="24">
        <f t="shared" si="177"/>
        <v>0</v>
      </c>
      <c r="F50" s="24">
        <f t="shared" si="177"/>
        <v>0</v>
      </c>
      <c r="G50" s="24">
        <f t="shared" si="177"/>
        <v>0</v>
      </c>
      <c r="H50" s="24">
        <f t="shared" si="177"/>
        <v>0</v>
      </c>
      <c r="I50" s="24">
        <f t="shared" si="177"/>
        <v>0</v>
      </c>
      <c r="J50" s="24">
        <f t="shared" si="177"/>
        <v>0</v>
      </c>
      <c r="K50" s="24">
        <f t="shared" si="177"/>
        <v>0</v>
      </c>
      <c r="L50" s="24">
        <f t="shared" si="177"/>
        <v>0</v>
      </c>
      <c r="M50" s="24">
        <f t="shared" si="177"/>
        <v>0</v>
      </c>
      <c r="N50" s="24">
        <f t="shared" si="177"/>
        <v>0</v>
      </c>
      <c r="O50" s="24">
        <f t="shared" si="177"/>
        <v>0</v>
      </c>
      <c r="P50" s="24">
        <f t="shared" si="177"/>
        <v>0</v>
      </c>
      <c r="Q50" s="24">
        <f t="shared" si="177"/>
        <v>0</v>
      </c>
      <c r="R50" s="24">
        <f t="shared" si="177"/>
        <v>0</v>
      </c>
      <c r="S50" s="24">
        <f t="shared" si="177"/>
        <v>0</v>
      </c>
      <c r="T50" s="24">
        <f t="shared" si="177"/>
        <v>0</v>
      </c>
      <c r="U50" s="24">
        <f t="shared" si="177"/>
        <v>0</v>
      </c>
      <c r="V50" s="24">
        <f t="shared" si="177"/>
        <v>0</v>
      </c>
      <c r="W50" s="24">
        <f t="shared" si="177"/>
        <v>0</v>
      </c>
      <c r="X50" s="24">
        <f t="shared" si="177"/>
        <v>0</v>
      </c>
      <c r="Y50" s="24">
        <f t="shared" si="177"/>
        <v>0</v>
      </c>
      <c r="Z50" s="24">
        <f t="shared" si="177"/>
        <v>0</v>
      </c>
      <c r="AA50" s="24">
        <f t="shared" si="177"/>
        <v>490684.5</v>
      </c>
      <c r="AB50" s="24">
        <f t="shared" si="177"/>
        <v>490684.5</v>
      </c>
      <c r="AC50" s="24">
        <f t="shared" si="177"/>
        <v>490684.5</v>
      </c>
      <c r="AD50" s="24">
        <f t="shared" si="177"/>
        <v>490684.5</v>
      </c>
      <c r="AE50" s="24">
        <f t="shared" si="177"/>
        <v>490684.5</v>
      </c>
      <c r="AF50" s="24">
        <f t="shared" si="177"/>
        <v>490684.5</v>
      </c>
      <c r="AG50" s="24">
        <f t="shared" si="177"/>
        <v>490684.5</v>
      </c>
      <c r="AH50" s="24">
        <f t="shared" si="177"/>
        <v>490684.5</v>
      </c>
      <c r="AI50" s="24">
        <f t="shared" si="177"/>
        <v>490684.5</v>
      </c>
      <c r="AJ50" s="24">
        <f t="shared" si="177"/>
        <v>490684.5</v>
      </c>
      <c r="AK50" s="24">
        <f t="shared" si="177"/>
        <v>490684.5</v>
      </c>
      <c r="AL50" s="24">
        <f t="shared" si="177"/>
        <v>490684.5</v>
      </c>
      <c r="AM50" s="24">
        <f t="shared" si="177"/>
        <v>817807.5</v>
      </c>
      <c r="AN50" s="24">
        <f t="shared" si="177"/>
        <v>817807.5</v>
      </c>
      <c r="AO50" s="24">
        <f t="shared" si="177"/>
        <v>817807.5</v>
      </c>
      <c r="AP50" s="24">
        <f t="shared" si="177"/>
        <v>817807.5</v>
      </c>
      <c r="AQ50" s="24">
        <f t="shared" si="177"/>
        <v>817807.5</v>
      </c>
      <c r="AR50" s="24">
        <f t="shared" si="177"/>
        <v>817807.5</v>
      </c>
      <c r="AS50" s="24">
        <f t="shared" si="177"/>
        <v>817807.5</v>
      </c>
      <c r="AT50" s="24">
        <f t="shared" si="177"/>
        <v>817807.5</v>
      </c>
      <c r="AU50" s="24">
        <f t="shared" si="177"/>
        <v>817807.5</v>
      </c>
      <c r="AV50" s="24">
        <f t="shared" si="177"/>
        <v>817807.5</v>
      </c>
      <c r="AW50" s="24">
        <f t="shared" si="177"/>
        <v>817807.5</v>
      </c>
      <c r="AX50" s="24">
        <f t="shared" si="177"/>
        <v>817807.5</v>
      </c>
      <c r="AY50" s="24">
        <f t="shared" si="177"/>
        <v>1202177.0249999999</v>
      </c>
      <c r="AZ50" s="24">
        <f t="shared" si="177"/>
        <v>1202177.0249999999</v>
      </c>
      <c r="BA50" s="24">
        <f t="shared" si="177"/>
        <v>1202177.0249999999</v>
      </c>
      <c r="BB50" s="24">
        <f t="shared" si="177"/>
        <v>1202177.0249999999</v>
      </c>
      <c r="BC50" s="24">
        <f t="shared" si="177"/>
        <v>1202177.0249999999</v>
      </c>
      <c r="BD50" s="24">
        <f t="shared" si="177"/>
        <v>1202177.0249999999</v>
      </c>
      <c r="BE50" s="24">
        <f t="shared" si="177"/>
        <v>1202177.0249999999</v>
      </c>
      <c r="BF50" s="24">
        <f t="shared" si="177"/>
        <v>1202177.0249999999</v>
      </c>
      <c r="BG50" s="24">
        <f t="shared" si="177"/>
        <v>1202177.0249999999</v>
      </c>
      <c r="BH50" s="24">
        <f t="shared" si="177"/>
        <v>1202177.0249999999</v>
      </c>
      <c r="BI50" s="24">
        <f t="shared" si="177"/>
        <v>1202177.0249999999</v>
      </c>
      <c r="BJ50" s="24">
        <f t="shared" si="177"/>
        <v>1202177.0249999999</v>
      </c>
      <c r="BK50" s="24">
        <f t="shared" si="177"/>
        <v>1459786.3875</v>
      </c>
      <c r="BL50" s="24">
        <f t="shared" si="177"/>
        <v>1459786.3875</v>
      </c>
      <c r="BM50" s="24">
        <f t="shared" si="177"/>
        <v>1459786.3875</v>
      </c>
      <c r="BN50" s="24">
        <f t="shared" si="177"/>
        <v>1459786.3875</v>
      </c>
      <c r="BO50" s="24">
        <f t="shared" si="177"/>
        <v>1459786.3875</v>
      </c>
      <c r="BP50" s="24">
        <f t="shared" si="175"/>
        <v>1459786.3875</v>
      </c>
      <c r="BQ50" s="24">
        <f t="shared" si="175"/>
        <v>1459786.3875</v>
      </c>
      <c r="BR50" s="24">
        <f t="shared" si="175"/>
        <v>1459786.3875</v>
      </c>
      <c r="BS50" s="24">
        <f t="shared" si="175"/>
        <v>1459786.3875</v>
      </c>
      <c r="BT50" s="24">
        <f t="shared" si="175"/>
        <v>1459786.3875</v>
      </c>
      <c r="BU50" s="24">
        <f t="shared" si="175"/>
        <v>1459786.3875</v>
      </c>
      <c r="BV50" s="24">
        <f t="shared" si="175"/>
        <v>1459786.3875</v>
      </c>
      <c r="BW50" s="24">
        <f t="shared" si="175"/>
        <v>1529300.0249999999</v>
      </c>
      <c r="BX50" s="24">
        <f t="shared" si="175"/>
        <v>1529300.0249999999</v>
      </c>
      <c r="BY50" s="24">
        <f t="shared" si="175"/>
        <v>1529300.0249999999</v>
      </c>
      <c r="BZ50" s="24">
        <f t="shared" si="175"/>
        <v>1529300.0249999999</v>
      </c>
      <c r="CA50" s="24">
        <f t="shared" si="175"/>
        <v>1529300.0249999999</v>
      </c>
      <c r="CB50" s="24">
        <f t="shared" si="175"/>
        <v>1529300.0249999999</v>
      </c>
      <c r="CC50" s="24">
        <f t="shared" si="175"/>
        <v>1529300.0249999999</v>
      </c>
      <c r="CD50" s="24">
        <f t="shared" si="175"/>
        <v>1529300.0249999999</v>
      </c>
      <c r="CE50" s="24">
        <f t="shared" si="175"/>
        <v>1529300.0249999999</v>
      </c>
      <c r="CF50" s="24">
        <f t="shared" si="175"/>
        <v>1529300.0249999999</v>
      </c>
      <c r="CG50" s="24">
        <f t="shared" si="175"/>
        <v>1529300.0249999999</v>
      </c>
      <c r="CH50" s="24">
        <f t="shared" si="175"/>
        <v>1529300.0249999999</v>
      </c>
      <c r="CI50" s="24">
        <f t="shared" si="175"/>
        <v>1529300.0249999999</v>
      </c>
      <c r="CJ50" s="24">
        <f t="shared" si="175"/>
        <v>1529300.0249999999</v>
      </c>
      <c r="CK50" s="24">
        <f t="shared" si="175"/>
        <v>1529300.0249999999</v>
      </c>
      <c r="CL50" s="24">
        <f t="shared" si="175"/>
        <v>1529300.0249999999</v>
      </c>
      <c r="CM50" s="24">
        <f t="shared" si="175"/>
        <v>1529300.0249999999</v>
      </c>
      <c r="CN50" s="24">
        <f t="shared" si="175"/>
        <v>1529300.0249999999</v>
      </c>
      <c r="CO50" s="24">
        <f t="shared" si="175"/>
        <v>1529300.0249999999</v>
      </c>
      <c r="CP50" s="24">
        <f t="shared" si="175"/>
        <v>1529300.0249999999</v>
      </c>
      <c r="CQ50" s="24">
        <f t="shared" si="175"/>
        <v>1529300.0249999999</v>
      </c>
      <c r="CR50" s="24">
        <f t="shared" si="175"/>
        <v>1529300.0249999999</v>
      </c>
      <c r="CS50" s="24">
        <f t="shared" si="175"/>
        <v>1529300.0249999999</v>
      </c>
      <c r="CT50" s="24">
        <f t="shared" si="175"/>
        <v>1529300.0249999999</v>
      </c>
      <c r="CU50" s="24">
        <f t="shared" si="175"/>
        <v>1598813.6625000003</v>
      </c>
      <c r="CV50" s="24">
        <f t="shared" si="175"/>
        <v>1598813.6625000003</v>
      </c>
      <c r="CW50" s="24">
        <f t="shared" si="175"/>
        <v>1598813.6625000003</v>
      </c>
      <c r="CX50" s="24">
        <f t="shared" si="175"/>
        <v>1598813.6625000003</v>
      </c>
      <c r="CY50" s="24">
        <f t="shared" si="175"/>
        <v>1598813.6625000003</v>
      </c>
      <c r="CZ50" s="24">
        <f t="shared" si="175"/>
        <v>1598813.6625000003</v>
      </c>
      <c r="DA50" s="24">
        <f t="shared" si="175"/>
        <v>1598813.6625000003</v>
      </c>
      <c r="DB50" s="24">
        <f t="shared" si="175"/>
        <v>1598813.6625000003</v>
      </c>
      <c r="DC50" s="24">
        <f t="shared" si="175"/>
        <v>1598813.6625000003</v>
      </c>
      <c r="DD50" s="24">
        <f t="shared" si="175"/>
        <v>1598813.6625000003</v>
      </c>
      <c r="DE50" s="24">
        <f t="shared" si="175"/>
        <v>1598813.6625000003</v>
      </c>
      <c r="DF50" s="24">
        <f t="shared" si="175"/>
        <v>1598813.6625000003</v>
      </c>
      <c r="DG50" s="24">
        <f t="shared" si="175"/>
        <v>1598813.6625000003</v>
      </c>
      <c r="DH50" s="24">
        <f t="shared" si="175"/>
        <v>1598813.6625000003</v>
      </c>
      <c r="DI50" s="24">
        <f t="shared" si="175"/>
        <v>1598813.6625000003</v>
      </c>
      <c r="DJ50" s="24">
        <f t="shared" si="175"/>
        <v>1598813.6625000003</v>
      </c>
      <c r="DK50" s="24">
        <f t="shared" si="175"/>
        <v>1598813.6625000003</v>
      </c>
      <c r="DL50" s="24">
        <f t="shared" si="175"/>
        <v>1598813.6625000003</v>
      </c>
      <c r="DM50" s="24">
        <f t="shared" si="175"/>
        <v>1598813.6625000003</v>
      </c>
      <c r="DN50" s="24">
        <f t="shared" si="175"/>
        <v>1598813.6625000003</v>
      </c>
      <c r="DO50" s="24">
        <f t="shared" si="175"/>
        <v>1598813.6625000003</v>
      </c>
      <c r="DP50" s="24">
        <f t="shared" si="175"/>
        <v>1598813.6625000003</v>
      </c>
      <c r="DQ50" s="24">
        <f t="shared" si="175"/>
        <v>1598813.6625000003</v>
      </c>
      <c r="DR50" s="24">
        <f t="shared" si="175"/>
        <v>1598813.6625000003</v>
      </c>
      <c r="DS50" s="24">
        <f t="shared" si="175"/>
        <v>1668327.3000000003</v>
      </c>
      <c r="DT50" s="24">
        <f t="shared" si="175"/>
        <v>1668327.3000000003</v>
      </c>
      <c r="DU50" s="24">
        <f t="shared" si="175"/>
        <v>1668327.3000000003</v>
      </c>
      <c r="DV50" s="24">
        <f t="shared" si="175"/>
        <v>1668327.3000000003</v>
      </c>
      <c r="DW50" s="24">
        <f t="shared" si="175"/>
        <v>1668327.3000000003</v>
      </c>
      <c r="DX50" s="24">
        <f t="shared" si="175"/>
        <v>1668327.3000000003</v>
      </c>
      <c r="DY50" s="24">
        <f t="shared" si="175"/>
        <v>1668327.3000000003</v>
      </c>
      <c r="DZ50" s="24">
        <f t="shared" si="175"/>
        <v>1668327.3000000003</v>
      </c>
      <c r="EA50" s="24">
        <f t="shared" si="174"/>
        <v>1668327.3000000003</v>
      </c>
      <c r="EB50" s="24">
        <f t="shared" ref="EB50:GM53" si="180">$B50*EB33*EB14</f>
        <v>1668327.3000000003</v>
      </c>
      <c r="EC50" s="24">
        <f t="shared" si="180"/>
        <v>1668327.3000000003</v>
      </c>
      <c r="ED50" s="24">
        <f t="shared" si="180"/>
        <v>1668327.3000000003</v>
      </c>
      <c r="EE50" s="24">
        <f t="shared" si="180"/>
        <v>1668327.3000000003</v>
      </c>
      <c r="EF50" s="24">
        <f t="shared" si="180"/>
        <v>1668327.3000000003</v>
      </c>
      <c r="EG50" s="24">
        <f t="shared" si="180"/>
        <v>1668327.3000000003</v>
      </c>
      <c r="EH50" s="24">
        <f t="shared" si="180"/>
        <v>1668327.3000000003</v>
      </c>
      <c r="EI50" s="24">
        <f t="shared" si="180"/>
        <v>1668327.3000000003</v>
      </c>
      <c r="EJ50" s="24">
        <f t="shared" si="180"/>
        <v>1668327.3000000003</v>
      </c>
      <c r="EK50" s="24">
        <f t="shared" si="180"/>
        <v>1668327.3000000003</v>
      </c>
      <c r="EL50" s="24">
        <f t="shared" si="180"/>
        <v>1668327.3000000003</v>
      </c>
      <c r="EM50" s="24">
        <f t="shared" si="180"/>
        <v>1668327.3000000003</v>
      </c>
      <c r="EN50" s="24">
        <f t="shared" si="180"/>
        <v>1668327.3000000003</v>
      </c>
      <c r="EO50" s="24">
        <f t="shared" si="180"/>
        <v>1668327.3000000003</v>
      </c>
      <c r="EP50" s="24">
        <f t="shared" si="180"/>
        <v>1668327.3000000003</v>
      </c>
      <c r="EQ50" s="24">
        <f t="shared" si="180"/>
        <v>1737840.9375000005</v>
      </c>
      <c r="ER50" s="24">
        <f t="shared" si="180"/>
        <v>1737840.9375000005</v>
      </c>
      <c r="ES50" s="24">
        <f t="shared" si="180"/>
        <v>1737840.9375000005</v>
      </c>
      <c r="ET50" s="24">
        <f t="shared" si="180"/>
        <v>1737840.9375000005</v>
      </c>
      <c r="EU50" s="24">
        <f t="shared" si="180"/>
        <v>1737840.9375000005</v>
      </c>
      <c r="EV50" s="24">
        <f t="shared" si="180"/>
        <v>1737840.9375000005</v>
      </c>
      <c r="EW50" s="24">
        <f t="shared" si="180"/>
        <v>1737840.9375000005</v>
      </c>
      <c r="EX50" s="24">
        <f t="shared" si="180"/>
        <v>1737840.9375000005</v>
      </c>
      <c r="EY50" s="24">
        <f t="shared" si="180"/>
        <v>1737840.9375000005</v>
      </c>
      <c r="EZ50" s="24">
        <f t="shared" si="180"/>
        <v>1737840.9375000005</v>
      </c>
      <c r="FA50" s="24">
        <f t="shared" si="180"/>
        <v>1737840.9375000005</v>
      </c>
      <c r="FB50" s="24">
        <f t="shared" si="180"/>
        <v>1737840.9375000005</v>
      </c>
      <c r="FC50" s="24">
        <f t="shared" si="180"/>
        <v>1737840.9375000005</v>
      </c>
      <c r="FD50" s="24">
        <f t="shared" si="180"/>
        <v>1737840.9375000005</v>
      </c>
      <c r="FE50" s="24">
        <f t="shared" si="180"/>
        <v>1737840.9375000005</v>
      </c>
      <c r="FF50" s="24">
        <f t="shared" si="180"/>
        <v>1737840.9375000005</v>
      </c>
      <c r="FG50" s="24">
        <f t="shared" si="180"/>
        <v>1737840.9375000005</v>
      </c>
      <c r="FH50" s="24">
        <f t="shared" si="180"/>
        <v>1737840.9375000005</v>
      </c>
      <c r="FI50" s="24">
        <f t="shared" si="180"/>
        <v>1737840.9375000005</v>
      </c>
      <c r="FJ50" s="24">
        <f t="shared" si="180"/>
        <v>1737840.9375000005</v>
      </c>
      <c r="FK50" s="24">
        <f t="shared" si="180"/>
        <v>1737840.9375000005</v>
      </c>
      <c r="FL50" s="24">
        <f t="shared" si="180"/>
        <v>1737840.9375000005</v>
      </c>
      <c r="FM50" s="24">
        <f t="shared" si="180"/>
        <v>1737840.9375000005</v>
      </c>
      <c r="FN50" s="24">
        <f t="shared" si="180"/>
        <v>1737840.9375000005</v>
      </c>
      <c r="FO50" s="24">
        <f t="shared" si="180"/>
        <v>1807354.5750000004</v>
      </c>
      <c r="FP50" s="24">
        <f t="shared" si="180"/>
        <v>1807354.5750000004</v>
      </c>
      <c r="FQ50" s="24">
        <f t="shared" si="180"/>
        <v>1807354.5750000004</v>
      </c>
      <c r="FR50" s="24">
        <f t="shared" si="180"/>
        <v>1807354.5750000004</v>
      </c>
      <c r="FS50" s="24">
        <f t="shared" si="180"/>
        <v>1807354.5750000004</v>
      </c>
      <c r="FT50" s="24">
        <f t="shared" si="180"/>
        <v>1807354.5750000004</v>
      </c>
      <c r="FU50" s="24">
        <f t="shared" si="180"/>
        <v>1807354.5750000004</v>
      </c>
      <c r="FV50" s="24">
        <f t="shared" si="180"/>
        <v>1807354.5750000004</v>
      </c>
      <c r="FW50" s="24">
        <f t="shared" si="180"/>
        <v>1807354.5750000004</v>
      </c>
      <c r="FX50" s="24">
        <f t="shared" si="180"/>
        <v>1807354.5750000004</v>
      </c>
      <c r="FY50" s="24">
        <f t="shared" si="180"/>
        <v>1807354.5750000004</v>
      </c>
      <c r="FZ50" s="24">
        <f t="shared" si="180"/>
        <v>1807354.5750000004</v>
      </c>
      <c r="GA50" s="24">
        <f t="shared" si="180"/>
        <v>1807354.5750000004</v>
      </c>
      <c r="GB50" s="24">
        <f t="shared" si="180"/>
        <v>1807354.5750000004</v>
      </c>
      <c r="GC50" s="24">
        <f t="shared" si="180"/>
        <v>1807354.5750000004</v>
      </c>
      <c r="GD50" s="24">
        <f t="shared" si="180"/>
        <v>1807354.5750000004</v>
      </c>
      <c r="GE50" s="24">
        <f t="shared" si="180"/>
        <v>1807354.5750000004</v>
      </c>
      <c r="GF50" s="24">
        <f t="shared" si="180"/>
        <v>1807354.5750000004</v>
      </c>
      <c r="GG50" s="24">
        <f t="shared" si="180"/>
        <v>1807354.5750000004</v>
      </c>
      <c r="GH50" s="24">
        <f t="shared" si="180"/>
        <v>1807354.5750000004</v>
      </c>
      <c r="GI50" s="24">
        <f t="shared" si="180"/>
        <v>1807354.5750000004</v>
      </c>
      <c r="GJ50" s="24">
        <f t="shared" si="180"/>
        <v>1807354.5750000004</v>
      </c>
      <c r="GK50" s="24">
        <f t="shared" si="180"/>
        <v>1807354.5750000004</v>
      </c>
      <c r="GL50" s="24">
        <f t="shared" si="180"/>
        <v>1807354.5750000004</v>
      </c>
      <c r="GM50" s="24">
        <f t="shared" si="180"/>
        <v>1876868.2125000004</v>
      </c>
      <c r="GN50" s="24">
        <f t="shared" si="179"/>
        <v>1876868.2125000004</v>
      </c>
      <c r="GO50" s="24">
        <f t="shared" si="179"/>
        <v>1876868.2125000004</v>
      </c>
      <c r="GP50" s="24">
        <f t="shared" si="178"/>
        <v>1876868.2125000004</v>
      </c>
      <c r="GQ50" s="24">
        <f t="shared" si="178"/>
        <v>1876868.2125000004</v>
      </c>
      <c r="GR50" s="24">
        <f t="shared" si="178"/>
        <v>1876868.2125000004</v>
      </c>
      <c r="GS50" s="24">
        <f t="shared" si="178"/>
        <v>1876868.2125000004</v>
      </c>
      <c r="GT50" s="24">
        <f t="shared" si="178"/>
        <v>1876868.2125000004</v>
      </c>
      <c r="GU50" s="24">
        <f t="shared" si="178"/>
        <v>1876868.2125000004</v>
      </c>
      <c r="GV50" s="24">
        <f t="shared" si="178"/>
        <v>1876868.2125000004</v>
      </c>
      <c r="GW50" s="24">
        <f t="shared" si="178"/>
        <v>1876868.2125000004</v>
      </c>
      <c r="GX50" s="24">
        <f t="shared" si="178"/>
        <v>1876868.2125000004</v>
      </c>
      <c r="GY50" s="24">
        <f t="shared" si="178"/>
        <v>1876868.2125000004</v>
      </c>
      <c r="GZ50" s="24">
        <f t="shared" si="178"/>
        <v>1876868.2125000004</v>
      </c>
      <c r="HA50" s="24">
        <f t="shared" si="178"/>
        <v>1876868.2125000004</v>
      </c>
      <c r="HB50" s="24">
        <f t="shared" si="178"/>
        <v>1876868.2125000004</v>
      </c>
      <c r="HC50" s="24">
        <f t="shared" si="178"/>
        <v>1876868.2125000004</v>
      </c>
      <c r="HD50" s="24">
        <f t="shared" si="178"/>
        <v>1876868.2125000004</v>
      </c>
      <c r="HE50" s="24">
        <f t="shared" si="178"/>
        <v>1876868.2125000004</v>
      </c>
      <c r="HF50" s="24">
        <f t="shared" si="178"/>
        <v>1876868.2125000004</v>
      </c>
      <c r="HG50" s="24">
        <f t="shared" si="178"/>
        <v>1876868.2125000004</v>
      </c>
      <c r="HH50" s="24">
        <f t="shared" si="178"/>
        <v>1876868.2125000004</v>
      </c>
      <c r="HI50" s="24">
        <f t="shared" si="178"/>
        <v>1876868.2125000004</v>
      </c>
      <c r="HJ50" s="24">
        <f t="shared" si="178"/>
        <v>1876868.2125000004</v>
      </c>
      <c r="HK50" s="24">
        <f t="shared" si="178"/>
        <v>1946381.8500000008</v>
      </c>
      <c r="HL50" s="24">
        <f t="shared" si="178"/>
        <v>1946381.8500000008</v>
      </c>
      <c r="HM50" s="24">
        <f t="shared" si="178"/>
        <v>1946381.8500000008</v>
      </c>
      <c r="HN50" s="24">
        <f t="shared" si="178"/>
        <v>1946381.8500000008</v>
      </c>
      <c r="HO50" s="24">
        <f t="shared" si="178"/>
        <v>1946381.8500000008</v>
      </c>
      <c r="HP50" s="24">
        <f t="shared" si="178"/>
        <v>1946381.8500000008</v>
      </c>
      <c r="HQ50" s="24">
        <f t="shared" si="178"/>
        <v>1946381.8500000008</v>
      </c>
      <c r="HR50" s="24">
        <f t="shared" si="178"/>
        <v>1946381.8500000008</v>
      </c>
      <c r="HS50" s="24">
        <f t="shared" si="178"/>
        <v>1946381.8500000008</v>
      </c>
      <c r="HT50" s="24">
        <f t="shared" si="178"/>
        <v>1946381.8500000008</v>
      </c>
      <c r="HU50" s="24">
        <f t="shared" si="178"/>
        <v>1946381.8500000008</v>
      </c>
      <c r="HV50" s="24">
        <f t="shared" si="178"/>
        <v>1946381.8500000008</v>
      </c>
      <c r="HW50" s="24">
        <f t="shared" si="178"/>
        <v>1946381.8500000008</v>
      </c>
      <c r="HX50" s="24">
        <f t="shared" si="178"/>
        <v>1946381.8500000008</v>
      </c>
      <c r="HY50" s="24">
        <f t="shared" si="178"/>
        <v>1946381.8500000008</v>
      </c>
      <c r="HZ50" s="24">
        <f t="shared" si="178"/>
        <v>1946381.8500000008</v>
      </c>
      <c r="IA50" s="24">
        <f t="shared" si="178"/>
        <v>1946381.8500000008</v>
      </c>
      <c r="IB50" s="24">
        <f t="shared" si="178"/>
        <v>1946381.8500000008</v>
      </c>
      <c r="IC50" s="24">
        <f t="shared" si="178"/>
        <v>1946381.8500000008</v>
      </c>
      <c r="ID50" s="24">
        <f t="shared" si="178"/>
        <v>1946381.8500000008</v>
      </c>
      <c r="IE50" s="24">
        <f t="shared" si="178"/>
        <v>1946381.8500000008</v>
      </c>
      <c r="IF50" s="24">
        <f t="shared" si="178"/>
        <v>1946381.8500000008</v>
      </c>
      <c r="IG50" s="24">
        <f t="shared" si="178"/>
        <v>1946381.8500000008</v>
      </c>
      <c r="IH50" s="24">
        <f t="shared" si="178"/>
        <v>1946381.8500000008</v>
      </c>
      <c r="II50" s="20">
        <f t="shared" si="170"/>
        <v>339602742.45000011</v>
      </c>
    </row>
    <row r="51" spans="1:243" x14ac:dyDescent="0.45">
      <c r="A51" s="57" t="s">
        <v>66</v>
      </c>
      <c r="B51" s="44">
        <f>'Other Schedule'!G9</f>
        <v>22440</v>
      </c>
      <c r="C51" s="24">
        <f t="shared" si="171"/>
        <v>0</v>
      </c>
      <c r="D51" s="24">
        <f t="shared" si="177"/>
        <v>0</v>
      </c>
      <c r="E51" s="24">
        <f t="shared" si="177"/>
        <v>0</v>
      </c>
      <c r="F51" s="24">
        <f t="shared" si="177"/>
        <v>0</v>
      </c>
      <c r="G51" s="24">
        <f t="shared" si="177"/>
        <v>0</v>
      </c>
      <c r="H51" s="24">
        <f t="shared" si="177"/>
        <v>0</v>
      </c>
      <c r="I51" s="24">
        <f t="shared" si="177"/>
        <v>0</v>
      </c>
      <c r="J51" s="24">
        <f t="shared" si="177"/>
        <v>0</v>
      </c>
      <c r="K51" s="24">
        <f t="shared" si="177"/>
        <v>0</v>
      </c>
      <c r="L51" s="24">
        <f t="shared" si="177"/>
        <v>0</v>
      </c>
      <c r="M51" s="24">
        <f t="shared" si="177"/>
        <v>0</v>
      </c>
      <c r="N51" s="24">
        <f t="shared" si="177"/>
        <v>0</v>
      </c>
      <c r="O51" s="24">
        <f t="shared" si="177"/>
        <v>0</v>
      </c>
      <c r="P51" s="24">
        <f t="shared" si="177"/>
        <v>0</v>
      </c>
      <c r="Q51" s="24">
        <f t="shared" si="177"/>
        <v>0</v>
      </c>
      <c r="R51" s="24">
        <f t="shared" si="177"/>
        <v>0</v>
      </c>
      <c r="S51" s="24">
        <f t="shared" si="177"/>
        <v>0</v>
      </c>
      <c r="T51" s="24">
        <f t="shared" si="177"/>
        <v>0</v>
      </c>
      <c r="U51" s="24">
        <f t="shared" si="177"/>
        <v>0</v>
      </c>
      <c r="V51" s="24">
        <f t="shared" si="177"/>
        <v>0</v>
      </c>
      <c r="W51" s="24">
        <f t="shared" si="177"/>
        <v>0</v>
      </c>
      <c r="X51" s="24">
        <f t="shared" si="177"/>
        <v>0</v>
      </c>
      <c r="Y51" s="24">
        <f t="shared" si="177"/>
        <v>0</v>
      </c>
      <c r="Z51" s="24">
        <f t="shared" si="177"/>
        <v>0</v>
      </c>
      <c r="AA51" s="24">
        <f t="shared" si="177"/>
        <v>538560</v>
      </c>
      <c r="AB51" s="24">
        <f t="shared" si="177"/>
        <v>538560</v>
      </c>
      <c r="AC51" s="24">
        <f t="shared" si="177"/>
        <v>538560</v>
      </c>
      <c r="AD51" s="24">
        <f t="shared" si="177"/>
        <v>538560</v>
      </c>
      <c r="AE51" s="24">
        <f t="shared" si="177"/>
        <v>538560</v>
      </c>
      <c r="AF51" s="24">
        <f t="shared" si="177"/>
        <v>538560</v>
      </c>
      <c r="AG51" s="24">
        <f t="shared" si="177"/>
        <v>538560</v>
      </c>
      <c r="AH51" s="24">
        <f t="shared" si="177"/>
        <v>538560</v>
      </c>
      <c r="AI51" s="24">
        <f t="shared" si="177"/>
        <v>538560</v>
      </c>
      <c r="AJ51" s="24">
        <f t="shared" si="177"/>
        <v>538560</v>
      </c>
      <c r="AK51" s="24">
        <f t="shared" si="177"/>
        <v>538560</v>
      </c>
      <c r="AL51" s="24">
        <f t="shared" si="177"/>
        <v>538560</v>
      </c>
      <c r="AM51" s="24">
        <f t="shared" si="177"/>
        <v>897600</v>
      </c>
      <c r="AN51" s="24">
        <f t="shared" si="177"/>
        <v>897600</v>
      </c>
      <c r="AO51" s="24">
        <f t="shared" si="177"/>
        <v>897600</v>
      </c>
      <c r="AP51" s="24">
        <f t="shared" si="177"/>
        <v>897600</v>
      </c>
      <c r="AQ51" s="24">
        <f t="shared" si="177"/>
        <v>897600</v>
      </c>
      <c r="AR51" s="24">
        <f t="shared" si="177"/>
        <v>897600</v>
      </c>
      <c r="AS51" s="24">
        <f t="shared" si="177"/>
        <v>897600</v>
      </c>
      <c r="AT51" s="24">
        <f t="shared" si="177"/>
        <v>897600</v>
      </c>
      <c r="AU51" s="24">
        <f t="shared" si="177"/>
        <v>897600</v>
      </c>
      <c r="AV51" s="24">
        <f t="shared" si="177"/>
        <v>897600</v>
      </c>
      <c r="AW51" s="24">
        <f t="shared" si="177"/>
        <v>897600</v>
      </c>
      <c r="AX51" s="24">
        <f t="shared" si="177"/>
        <v>897600</v>
      </c>
      <c r="AY51" s="24">
        <f t="shared" si="177"/>
        <v>1319472</v>
      </c>
      <c r="AZ51" s="24">
        <f t="shared" si="177"/>
        <v>1319472</v>
      </c>
      <c r="BA51" s="24">
        <f t="shared" si="177"/>
        <v>1319472</v>
      </c>
      <c r="BB51" s="24">
        <f t="shared" si="177"/>
        <v>1319472</v>
      </c>
      <c r="BC51" s="24">
        <f t="shared" si="177"/>
        <v>1319472</v>
      </c>
      <c r="BD51" s="24">
        <f t="shared" si="177"/>
        <v>1319472</v>
      </c>
      <c r="BE51" s="24">
        <f t="shared" si="177"/>
        <v>1319472</v>
      </c>
      <c r="BF51" s="24">
        <f t="shared" si="177"/>
        <v>1319472</v>
      </c>
      <c r="BG51" s="24">
        <f t="shared" si="177"/>
        <v>1319472</v>
      </c>
      <c r="BH51" s="24">
        <f t="shared" si="177"/>
        <v>1319472</v>
      </c>
      <c r="BI51" s="24">
        <f t="shared" si="177"/>
        <v>1319472</v>
      </c>
      <c r="BJ51" s="24">
        <f t="shared" si="177"/>
        <v>1319472</v>
      </c>
      <c r="BK51" s="24">
        <f t="shared" si="177"/>
        <v>1602216</v>
      </c>
      <c r="BL51" s="24">
        <f t="shared" si="177"/>
        <v>1602216</v>
      </c>
      <c r="BM51" s="24">
        <f t="shared" si="177"/>
        <v>1602216</v>
      </c>
      <c r="BN51" s="24">
        <f t="shared" si="177"/>
        <v>1602216</v>
      </c>
      <c r="BO51" s="24">
        <f t="shared" ref="BO51:DZ54" si="181">$B51*BO34*BO15</f>
        <v>1602216</v>
      </c>
      <c r="BP51" s="24">
        <f t="shared" si="181"/>
        <v>1602216</v>
      </c>
      <c r="BQ51" s="24">
        <f t="shared" si="181"/>
        <v>1602216</v>
      </c>
      <c r="BR51" s="24">
        <f t="shared" si="181"/>
        <v>1602216</v>
      </c>
      <c r="BS51" s="24">
        <f t="shared" si="181"/>
        <v>1602216</v>
      </c>
      <c r="BT51" s="24">
        <f t="shared" si="181"/>
        <v>1602216</v>
      </c>
      <c r="BU51" s="24">
        <f t="shared" si="181"/>
        <v>1602216</v>
      </c>
      <c r="BV51" s="24">
        <f t="shared" si="181"/>
        <v>1602216</v>
      </c>
      <c r="BW51" s="24">
        <f t="shared" si="181"/>
        <v>1678512</v>
      </c>
      <c r="BX51" s="24">
        <f t="shared" si="181"/>
        <v>1678512</v>
      </c>
      <c r="BY51" s="24">
        <f t="shared" si="181"/>
        <v>1678512</v>
      </c>
      <c r="BZ51" s="24">
        <f t="shared" si="181"/>
        <v>1678512</v>
      </c>
      <c r="CA51" s="24">
        <f t="shared" si="181"/>
        <v>1678512</v>
      </c>
      <c r="CB51" s="24">
        <f t="shared" si="181"/>
        <v>1678512</v>
      </c>
      <c r="CC51" s="24">
        <f t="shared" si="181"/>
        <v>1678512</v>
      </c>
      <c r="CD51" s="24">
        <f t="shared" si="181"/>
        <v>1678512</v>
      </c>
      <c r="CE51" s="24">
        <f t="shared" si="181"/>
        <v>1678512</v>
      </c>
      <c r="CF51" s="24">
        <f t="shared" si="181"/>
        <v>1678512</v>
      </c>
      <c r="CG51" s="24">
        <f t="shared" si="181"/>
        <v>1678512</v>
      </c>
      <c r="CH51" s="24">
        <f t="shared" si="181"/>
        <v>1678512</v>
      </c>
      <c r="CI51" s="24">
        <f t="shared" si="181"/>
        <v>1678512</v>
      </c>
      <c r="CJ51" s="24">
        <f t="shared" si="181"/>
        <v>1678512</v>
      </c>
      <c r="CK51" s="24">
        <f t="shared" si="181"/>
        <v>1678512</v>
      </c>
      <c r="CL51" s="24">
        <f t="shared" si="181"/>
        <v>1678512</v>
      </c>
      <c r="CM51" s="24">
        <f t="shared" si="181"/>
        <v>1678512</v>
      </c>
      <c r="CN51" s="24">
        <f t="shared" si="181"/>
        <v>1678512</v>
      </c>
      <c r="CO51" s="24">
        <f t="shared" si="181"/>
        <v>1678512</v>
      </c>
      <c r="CP51" s="24">
        <f t="shared" si="181"/>
        <v>1678512</v>
      </c>
      <c r="CQ51" s="24">
        <f t="shared" si="181"/>
        <v>1678512</v>
      </c>
      <c r="CR51" s="24">
        <f t="shared" si="181"/>
        <v>1678512</v>
      </c>
      <c r="CS51" s="24">
        <f t="shared" si="181"/>
        <v>1678512</v>
      </c>
      <c r="CT51" s="24">
        <f t="shared" si="181"/>
        <v>1678512</v>
      </c>
      <c r="CU51" s="24">
        <f t="shared" si="181"/>
        <v>1754808.0000000002</v>
      </c>
      <c r="CV51" s="24">
        <f t="shared" si="181"/>
        <v>1754808.0000000002</v>
      </c>
      <c r="CW51" s="24">
        <f t="shared" si="181"/>
        <v>1754808.0000000002</v>
      </c>
      <c r="CX51" s="24">
        <f t="shared" si="181"/>
        <v>1754808.0000000002</v>
      </c>
      <c r="CY51" s="24">
        <f t="shared" si="181"/>
        <v>1754808.0000000002</v>
      </c>
      <c r="CZ51" s="24">
        <f t="shared" si="181"/>
        <v>1754808.0000000002</v>
      </c>
      <c r="DA51" s="24">
        <f t="shared" si="181"/>
        <v>1754808.0000000002</v>
      </c>
      <c r="DB51" s="24">
        <f t="shared" si="181"/>
        <v>1754808.0000000002</v>
      </c>
      <c r="DC51" s="24">
        <f t="shared" si="181"/>
        <v>1754808.0000000002</v>
      </c>
      <c r="DD51" s="24">
        <f t="shared" si="181"/>
        <v>1754808.0000000002</v>
      </c>
      <c r="DE51" s="24">
        <f t="shared" si="181"/>
        <v>1754808.0000000002</v>
      </c>
      <c r="DF51" s="24">
        <f t="shared" si="181"/>
        <v>1754808.0000000002</v>
      </c>
      <c r="DG51" s="24">
        <f t="shared" si="181"/>
        <v>1754808.0000000002</v>
      </c>
      <c r="DH51" s="24">
        <f t="shared" si="181"/>
        <v>1754808.0000000002</v>
      </c>
      <c r="DI51" s="24">
        <f t="shared" si="181"/>
        <v>1754808.0000000002</v>
      </c>
      <c r="DJ51" s="24">
        <f t="shared" si="181"/>
        <v>1754808.0000000002</v>
      </c>
      <c r="DK51" s="24">
        <f t="shared" si="181"/>
        <v>1754808.0000000002</v>
      </c>
      <c r="DL51" s="24">
        <f t="shared" si="181"/>
        <v>1754808.0000000002</v>
      </c>
      <c r="DM51" s="24">
        <f t="shared" si="181"/>
        <v>1754808.0000000002</v>
      </c>
      <c r="DN51" s="24">
        <f t="shared" si="181"/>
        <v>1754808.0000000002</v>
      </c>
      <c r="DO51" s="24">
        <f t="shared" si="181"/>
        <v>1754808.0000000002</v>
      </c>
      <c r="DP51" s="24">
        <f t="shared" si="181"/>
        <v>1754808.0000000002</v>
      </c>
      <c r="DQ51" s="24">
        <f t="shared" si="181"/>
        <v>1754808.0000000002</v>
      </c>
      <c r="DR51" s="24">
        <f t="shared" si="181"/>
        <v>1754808.0000000002</v>
      </c>
      <c r="DS51" s="24">
        <f t="shared" si="181"/>
        <v>1831104.0000000002</v>
      </c>
      <c r="DT51" s="24">
        <f t="shared" si="181"/>
        <v>1831104.0000000002</v>
      </c>
      <c r="DU51" s="24">
        <f t="shared" si="181"/>
        <v>1831104.0000000002</v>
      </c>
      <c r="DV51" s="24">
        <f t="shared" si="181"/>
        <v>1831104.0000000002</v>
      </c>
      <c r="DW51" s="24">
        <f t="shared" si="181"/>
        <v>1831104.0000000002</v>
      </c>
      <c r="DX51" s="24">
        <f t="shared" si="181"/>
        <v>1831104.0000000002</v>
      </c>
      <c r="DY51" s="24">
        <f t="shared" si="181"/>
        <v>1831104.0000000002</v>
      </c>
      <c r="DZ51" s="24">
        <f t="shared" si="181"/>
        <v>1831104.0000000002</v>
      </c>
      <c r="EA51" s="24">
        <f t="shared" si="174"/>
        <v>1831104.0000000002</v>
      </c>
      <c r="EB51" s="24">
        <f t="shared" si="180"/>
        <v>1831104.0000000002</v>
      </c>
      <c r="EC51" s="24">
        <f t="shared" si="180"/>
        <v>1831104.0000000002</v>
      </c>
      <c r="ED51" s="24">
        <f t="shared" si="180"/>
        <v>1831104.0000000002</v>
      </c>
      <c r="EE51" s="24">
        <f t="shared" si="180"/>
        <v>1831104.0000000002</v>
      </c>
      <c r="EF51" s="24">
        <f t="shared" si="180"/>
        <v>1831104.0000000002</v>
      </c>
      <c r="EG51" s="24">
        <f t="shared" si="180"/>
        <v>1831104.0000000002</v>
      </c>
      <c r="EH51" s="24">
        <f t="shared" si="180"/>
        <v>1831104.0000000002</v>
      </c>
      <c r="EI51" s="24">
        <f t="shared" si="180"/>
        <v>1831104.0000000002</v>
      </c>
      <c r="EJ51" s="24">
        <f t="shared" si="180"/>
        <v>1831104.0000000002</v>
      </c>
      <c r="EK51" s="24">
        <f t="shared" si="180"/>
        <v>1831104.0000000002</v>
      </c>
      <c r="EL51" s="24">
        <f t="shared" si="180"/>
        <v>1831104.0000000002</v>
      </c>
      <c r="EM51" s="24">
        <f t="shared" si="180"/>
        <v>1831104.0000000002</v>
      </c>
      <c r="EN51" s="24">
        <f t="shared" si="180"/>
        <v>1831104.0000000002</v>
      </c>
      <c r="EO51" s="24">
        <f t="shared" si="180"/>
        <v>1831104.0000000002</v>
      </c>
      <c r="EP51" s="24">
        <f t="shared" si="180"/>
        <v>1831104.0000000002</v>
      </c>
      <c r="EQ51" s="24">
        <f t="shared" si="180"/>
        <v>1907400.0000000002</v>
      </c>
      <c r="ER51" s="24">
        <f t="shared" si="180"/>
        <v>1907400.0000000002</v>
      </c>
      <c r="ES51" s="24">
        <f t="shared" si="180"/>
        <v>1907400.0000000002</v>
      </c>
      <c r="ET51" s="24">
        <f t="shared" si="180"/>
        <v>1907400.0000000002</v>
      </c>
      <c r="EU51" s="24">
        <f t="shared" si="180"/>
        <v>1907400.0000000002</v>
      </c>
      <c r="EV51" s="24">
        <f t="shared" si="180"/>
        <v>1907400.0000000002</v>
      </c>
      <c r="EW51" s="24">
        <f t="shared" si="180"/>
        <v>1907400.0000000002</v>
      </c>
      <c r="EX51" s="24">
        <f t="shared" si="180"/>
        <v>1907400.0000000002</v>
      </c>
      <c r="EY51" s="24">
        <f t="shared" si="180"/>
        <v>1907400.0000000002</v>
      </c>
      <c r="EZ51" s="24">
        <f t="shared" si="180"/>
        <v>1907400.0000000002</v>
      </c>
      <c r="FA51" s="24">
        <f t="shared" si="180"/>
        <v>1907400.0000000002</v>
      </c>
      <c r="FB51" s="24">
        <f t="shared" si="180"/>
        <v>1907400.0000000002</v>
      </c>
      <c r="FC51" s="24">
        <f t="shared" si="180"/>
        <v>1907400.0000000002</v>
      </c>
      <c r="FD51" s="24">
        <f t="shared" si="180"/>
        <v>1907400.0000000002</v>
      </c>
      <c r="FE51" s="24">
        <f t="shared" si="180"/>
        <v>1907400.0000000002</v>
      </c>
      <c r="FF51" s="24">
        <f t="shared" si="180"/>
        <v>1907400.0000000002</v>
      </c>
      <c r="FG51" s="24">
        <f t="shared" si="180"/>
        <v>1907400.0000000002</v>
      </c>
      <c r="FH51" s="24">
        <f t="shared" si="180"/>
        <v>1907400.0000000002</v>
      </c>
      <c r="FI51" s="24">
        <f t="shared" si="180"/>
        <v>1907400.0000000002</v>
      </c>
      <c r="FJ51" s="24">
        <f t="shared" si="180"/>
        <v>1907400.0000000002</v>
      </c>
      <c r="FK51" s="24">
        <f t="shared" si="180"/>
        <v>1907400.0000000002</v>
      </c>
      <c r="FL51" s="24">
        <f t="shared" si="180"/>
        <v>1907400.0000000002</v>
      </c>
      <c r="FM51" s="24">
        <f t="shared" si="180"/>
        <v>1907400.0000000002</v>
      </c>
      <c r="FN51" s="24">
        <f t="shared" si="180"/>
        <v>1907400.0000000002</v>
      </c>
      <c r="FO51" s="24">
        <f t="shared" si="180"/>
        <v>1983696.0000000002</v>
      </c>
      <c r="FP51" s="24">
        <f t="shared" si="180"/>
        <v>1983696.0000000002</v>
      </c>
      <c r="FQ51" s="24">
        <f t="shared" si="180"/>
        <v>1983696.0000000002</v>
      </c>
      <c r="FR51" s="24">
        <f t="shared" si="180"/>
        <v>1983696.0000000002</v>
      </c>
      <c r="FS51" s="24">
        <f t="shared" si="180"/>
        <v>1983696.0000000002</v>
      </c>
      <c r="FT51" s="24">
        <f t="shared" si="180"/>
        <v>1983696.0000000002</v>
      </c>
      <c r="FU51" s="24">
        <f t="shared" si="180"/>
        <v>1983696.0000000002</v>
      </c>
      <c r="FV51" s="24">
        <f t="shared" si="180"/>
        <v>1983696.0000000002</v>
      </c>
      <c r="FW51" s="24">
        <f t="shared" si="180"/>
        <v>1983696.0000000002</v>
      </c>
      <c r="FX51" s="24">
        <f t="shared" si="180"/>
        <v>1983696.0000000002</v>
      </c>
      <c r="FY51" s="24">
        <f t="shared" si="180"/>
        <v>1983696.0000000002</v>
      </c>
      <c r="FZ51" s="24">
        <f t="shared" si="180"/>
        <v>1983696.0000000002</v>
      </c>
      <c r="GA51" s="24">
        <f t="shared" si="180"/>
        <v>1983696.0000000002</v>
      </c>
      <c r="GB51" s="24">
        <f t="shared" si="180"/>
        <v>1983696.0000000002</v>
      </c>
      <c r="GC51" s="24">
        <f t="shared" si="180"/>
        <v>1983696.0000000002</v>
      </c>
      <c r="GD51" s="24">
        <f t="shared" si="180"/>
        <v>1983696.0000000002</v>
      </c>
      <c r="GE51" s="24">
        <f t="shared" si="180"/>
        <v>1983696.0000000002</v>
      </c>
      <c r="GF51" s="24">
        <f t="shared" si="180"/>
        <v>1983696.0000000002</v>
      </c>
      <c r="GG51" s="24">
        <f t="shared" si="180"/>
        <v>1983696.0000000002</v>
      </c>
      <c r="GH51" s="24">
        <f t="shared" si="180"/>
        <v>1983696.0000000002</v>
      </c>
      <c r="GI51" s="24">
        <f t="shared" si="180"/>
        <v>1983696.0000000002</v>
      </c>
      <c r="GJ51" s="24">
        <f t="shared" si="180"/>
        <v>1983696.0000000002</v>
      </c>
      <c r="GK51" s="24">
        <f t="shared" si="180"/>
        <v>1983696.0000000002</v>
      </c>
      <c r="GL51" s="24">
        <f t="shared" si="180"/>
        <v>1983696.0000000002</v>
      </c>
      <c r="GM51" s="24">
        <f t="shared" si="180"/>
        <v>2059992.0000000002</v>
      </c>
      <c r="GN51" s="24">
        <f t="shared" si="179"/>
        <v>2059992.0000000002</v>
      </c>
      <c r="GO51" s="24">
        <f t="shared" si="179"/>
        <v>2059992.0000000002</v>
      </c>
      <c r="GP51" s="24">
        <f t="shared" si="178"/>
        <v>2059992.0000000002</v>
      </c>
      <c r="GQ51" s="24">
        <f t="shared" si="178"/>
        <v>2059992.0000000002</v>
      </c>
      <c r="GR51" s="24">
        <f t="shared" si="178"/>
        <v>2059992.0000000002</v>
      </c>
      <c r="GS51" s="24">
        <f t="shared" si="178"/>
        <v>2059992.0000000002</v>
      </c>
      <c r="GT51" s="24">
        <f t="shared" si="178"/>
        <v>2059992.0000000002</v>
      </c>
      <c r="GU51" s="24">
        <f t="shared" si="178"/>
        <v>2059992.0000000002</v>
      </c>
      <c r="GV51" s="24">
        <f t="shared" si="178"/>
        <v>2059992.0000000002</v>
      </c>
      <c r="GW51" s="24">
        <f t="shared" si="178"/>
        <v>2059992.0000000002</v>
      </c>
      <c r="GX51" s="24">
        <f t="shared" si="178"/>
        <v>2059992.0000000002</v>
      </c>
      <c r="GY51" s="24">
        <f t="shared" si="178"/>
        <v>2059992.0000000002</v>
      </c>
      <c r="GZ51" s="24">
        <f t="shared" si="178"/>
        <v>2059992.0000000002</v>
      </c>
      <c r="HA51" s="24">
        <f t="shared" si="178"/>
        <v>2059992.0000000002</v>
      </c>
      <c r="HB51" s="24">
        <f t="shared" si="178"/>
        <v>2059992.0000000002</v>
      </c>
      <c r="HC51" s="24">
        <f t="shared" si="178"/>
        <v>2059992.0000000002</v>
      </c>
      <c r="HD51" s="24">
        <f t="shared" si="178"/>
        <v>2059992.0000000002</v>
      </c>
      <c r="HE51" s="24">
        <f t="shared" si="178"/>
        <v>2059992.0000000002</v>
      </c>
      <c r="HF51" s="24">
        <f t="shared" si="178"/>
        <v>2059992.0000000002</v>
      </c>
      <c r="HG51" s="24">
        <f t="shared" si="178"/>
        <v>2059992.0000000002</v>
      </c>
      <c r="HH51" s="24">
        <f t="shared" si="178"/>
        <v>2059992.0000000002</v>
      </c>
      <c r="HI51" s="24">
        <f t="shared" si="178"/>
        <v>2059992.0000000002</v>
      </c>
      <c r="HJ51" s="24">
        <f t="shared" si="178"/>
        <v>2059992.0000000002</v>
      </c>
      <c r="HK51" s="24">
        <f t="shared" si="178"/>
        <v>2136288.0000000005</v>
      </c>
      <c r="HL51" s="24">
        <f t="shared" si="178"/>
        <v>2136288.0000000005</v>
      </c>
      <c r="HM51" s="24">
        <f t="shared" si="178"/>
        <v>2136288.0000000005</v>
      </c>
      <c r="HN51" s="24">
        <f t="shared" si="178"/>
        <v>2136288.0000000005</v>
      </c>
      <c r="HO51" s="24">
        <f t="shared" si="178"/>
        <v>2136288.0000000005</v>
      </c>
      <c r="HP51" s="24">
        <f t="shared" si="178"/>
        <v>2136288.0000000005</v>
      </c>
      <c r="HQ51" s="24">
        <f t="shared" si="178"/>
        <v>2136288.0000000005</v>
      </c>
      <c r="HR51" s="24">
        <f t="shared" si="178"/>
        <v>2136288.0000000005</v>
      </c>
      <c r="HS51" s="24">
        <f t="shared" si="178"/>
        <v>2136288.0000000005</v>
      </c>
      <c r="HT51" s="24">
        <f t="shared" si="178"/>
        <v>2136288.0000000005</v>
      </c>
      <c r="HU51" s="24">
        <f t="shared" si="178"/>
        <v>2136288.0000000005</v>
      </c>
      <c r="HV51" s="24">
        <f t="shared" si="178"/>
        <v>2136288.0000000005</v>
      </c>
      <c r="HW51" s="24">
        <f t="shared" si="178"/>
        <v>2136288.0000000005</v>
      </c>
      <c r="HX51" s="24">
        <f t="shared" si="178"/>
        <v>2136288.0000000005</v>
      </c>
      <c r="HY51" s="24">
        <f t="shared" si="178"/>
        <v>2136288.0000000005</v>
      </c>
      <c r="HZ51" s="24">
        <f t="shared" si="178"/>
        <v>2136288.0000000005</v>
      </c>
      <c r="IA51" s="24">
        <f t="shared" si="178"/>
        <v>2136288.0000000005</v>
      </c>
      <c r="IB51" s="24">
        <f t="shared" si="178"/>
        <v>2136288.0000000005</v>
      </c>
      <c r="IC51" s="24">
        <f t="shared" si="178"/>
        <v>2136288.0000000005</v>
      </c>
      <c r="ID51" s="24">
        <f t="shared" si="178"/>
        <v>2136288.0000000005</v>
      </c>
      <c r="IE51" s="24">
        <f t="shared" si="178"/>
        <v>2136288.0000000005</v>
      </c>
      <c r="IF51" s="24">
        <f t="shared" si="178"/>
        <v>2136288.0000000005</v>
      </c>
      <c r="IG51" s="24">
        <f t="shared" si="178"/>
        <v>2136288.0000000005</v>
      </c>
      <c r="IH51" s="24">
        <f t="shared" si="178"/>
        <v>2136288.0000000005</v>
      </c>
      <c r="II51" s="20">
        <f t="shared" si="170"/>
        <v>372737376</v>
      </c>
    </row>
    <row r="52" spans="1:243" x14ac:dyDescent="0.45">
      <c r="A52" s="57" t="s">
        <v>104</v>
      </c>
      <c r="B52" s="44">
        <f>'Other Schedule'!G7</f>
        <v>2280</v>
      </c>
      <c r="C52" s="24">
        <f t="shared" si="171"/>
        <v>0</v>
      </c>
      <c r="D52" s="24">
        <f t="shared" ref="D52:BO54" si="182">$B52*D35*D16</f>
        <v>0</v>
      </c>
      <c r="E52" s="24">
        <f t="shared" si="182"/>
        <v>0</v>
      </c>
      <c r="F52" s="24">
        <f t="shared" si="182"/>
        <v>0</v>
      </c>
      <c r="G52" s="24">
        <f t="shared" si="182"/>
        <v>0</v>
      </c>
      <c r="H52" s="24">
        <f t="shared" si="182"/>
        <v>0</v>
      </c>
      <c r="I52" s="24">
        <f t="shared" si="182"/>
        <v>0</v>
      </c>
      <c r="J52" s="24">
        <f t="shared" si="182"/>
        <v>0</v>
      </c>
      <c r="K52" s="24">
        <f t="shared" si="182"/>
        <v>0</v>
      </c>
      <c r="L52" s="24">
        <f t="shared" si="182"/>
        <v>0</v>
      </c>
      <c r="M52" s="24">
        <f t="shared" si="182"/>
        <v>0</v>
      </c>
      <c r="N52" s="24">
        <f t="shared" si="182"/>
        <v>0</v>
      </c>
      <c r="O52" s="24">
        <f t="shared" si="182"/>
        <v>0</v>
      </c>
      <c r="P52" s="24">
        <f t="shared" si="182"/>
        <v>0</v>
      </c>
      <c r="Q52" s="24">
        <f t="shared" si="182"/>
        <v>0</v>
      </c>
      <c r="R52" s="24">
        <f t="shared" si="182"/>
        <v>0</v>
      </c>
      <c r="S52" s="24">
        <f t="shared" si="182"/>
        <v>0</v>
      </c>
      <c r="T52" s="24">
        <f t="shared" si="182"/>
        <v>0</v>
      </c>
      <c r="U52" s="24">
        <f t="shared" si="182"/>
        <v>0</v>
      </c>
      <c r="V52" s="24">
        <f t="shared" si="182"/>
        <v>0</v>
      </c>
      <c r="W52" s="24">
        <f t="shared" si="182"/>
        <v>0</v>
      </c>
      <c r="X52" s="24">
        <f t="shared" si="182"/>
        <v>0</v>
      </c>
      <c r="Y52" s="24">
        <f t="shared" si="182"/>
        <v>0</v>
      </c>
      <c r="Z52" s="24">
        <f t="shared" si="182"/>
        <v>0</v>
      </c>
      <c r="AA52" s="24">
        <f t="shared" si="182"/>
        <v>102600</v>
      </c>
      <c r="AB52" s="24">
        <f t="shared" si="182"/>
        <v>102600</v>
      </c>
      <c r="AC52" s="24">
        <f t="shared" si="182"/>
        <v>102600</v>
      </c>
      <c r="AD52" s="24">
        <f t="shared" si="182"/>
        <v>102600</v>
      </c>
      <c r="AE52" s="24">
        <f t="shared" si="182"/>
        <v>102600</v>
      </c>
      <c r="AF52" s="24">
        <f t="shared" si="182"/>
        <v>102600</v>
      </c>
      <c r="AG52" s="24">
        <f t="shared" si="182"/>
        <v>102600</v>
      </c>
      <c r="AH52" s="24">
        <f t="shared" si="182"/>
        <v>102600</v>
      </c>
      <c r="AI52" s="24">
        <f t="shared" si="182"/>
        <v>102600</v>
      </c>
      <c r="AJ52" s="24">
        <f t="shared" si="182"/>
        <v>102600</v>
      </c>
      <c r="AK52" s="24">
        <f t="shared" si="182"/>
        <v>102600</v>
      </c>
      <c r="AL52" s="24">
        <f t="shared" si="182"/>
        <v>102600</v>
      </c>
      <c r="AM52" s="24">
        <f t="shared" si="182"/>
        <v>102600</v>
      </c>
      <c r="AN52" s="24">
        <f t="shared" si="182"/>
        <v>102600</v>
      </c>
      <c r="AO52" s="24">
        <f t="shared" si="182"/>
        <v>102600</v>
      </c>
      <c r="AP52" s="24">
        <f t="shared" si="182"/>
        <v>102600</v>
      </c>
      <c r="AQ52" s="24">
        <f t="shared" si="182"/>
        <v>102600</v>
      </c>
      <c r="AR52" s="24">
        <f t="shared" si="182"/>
        <v>102600</v>
      </c>
      <c r="AS52" s="24">
        <f t="shared" si="182"/>
        <v>102600</v>
      </c>
      <c r="AT52" s="24">
        <f t="shared" si="182"/>
        <v>102600</v>
      </c>
      <c r="AU52" s="24">
        <f t="shared" si="182"/>
        <v>102600</v>
      </c>
      <c r="AV52" s="24">
        <f t="shared" si="182"/>
        <v>102600</v>
      </c>
      <c r="AW52" s="24">
        <f t="shared" si="182"/>
        <v>102600</v>
      </c>
      <c r="AX52" s="24">
        <f t="shared" si="182"/>
        <v>102600</v>
      </c>
      <c r="AY52" s="24">
        <f t="shared" si="182"/>
        <v>107730</v>
      </c>
      <c r="AZ52" s="24">
        <f t="shared" si="182"/>
        <v>107730</v>
      </c>
      <c r="BA52" s="24">
        <f t="shared" si="182"/>
        <v>107730</v>
      </c>
      <c r="BB52" s="24">
        <f t="shared" si="182"/>
        <v>107730</v>
      </c>
      <c r="BC52" s="24">
        <f t="shared" si="182"/>
        <v>107730</v>
      </c>
      <c r="BD52" s="24">
        <f t="shared" si="182"/>
        <v>107730</v>
      </c>
      <c r="BE52" s="24">
        <f t="shared" si="182"/>
        <v>107730</v>
      </c>
      <c r="BF52" s="24">
        <f t="shared" si="182"/>
        <v>107730</v>
      </c>
      <c r="BG52" s="24">
        <f t="shared" si="182"/>
        <v>107730</v>
      </c>
      <c r="BH52" s="24">
        <f t="shared" si="182"/>
        <v>107730</v>
      </c>
      <c r="BI52" s="24">
        <f t="shared" si="182"/>
        <v>107730</v>
      </c>
      <c r="BJ52" s="24">
        <f t="shared" si="182"/>
        <v>107730</v>
      </c>
      <c r="BK52" s="24">
        <f t="shared" si="182"/>
        <v>107730</v>
      </c>
      <c r="BL52" s="24">
        <f t="shared" si="182"/>
        <v>107730</v>
      </c>
      <c r="BM52" s="24">
        <f t="shared" si="182"/>
        <v>107730</v>
      </c>
      <c r="BN52" s="24">
        <f t="shared" si="182"/>
        <v>107730</v>
      </c>
      <c r="BO52" s="24">
        <f t="shared" si="182"/>
        <v>107730</v>
      </c>
      <c r="BP52" s="24">
        <f t="shared" si="181"/>
        <v>107730</v>
      </c>
      <c r="BQ52" s="24">
        <f t="shared" si="181"/>
        <v>107730</v>
      </c>
      <c r="BR52" s="24">
        <f t="shared" si="181"/>
        <v>107730</v>
      </c>
      <c r="BS52" s="24">
        <f t="shared" si="181"/>
        <v>107730</v>
      </c>
      <c r="BT52" s="24">
        <f t="shared" si="181"/>
        <v>107730</v>
      </c>
      <c r="BU52" s="24">
        <f t="shared" si="181"/>
        <v>107730</v>
      </c>
      <c r="BV52" s="24">
        <f t="shared" si="181"/>
        <v>107730</v>
      </c>
      <c r="BW52" s="24">
        <f t="shared" si="181"/>
        <v>112860.00000000001</v>
      </c>
      <c r="BX52" s="24">
        <f t="shared" si="181"/>
        <v>112860.00000000001</v>
      </c>
      <c r="BY52" s="24">
        <f t="shared" si="181"/>
        <v>112860.00000000001</v>
      </c>
      <c r="BZ52" s="24">
        <f t="shared" si="181"/>
        <v>112860.00000000001</v>
      </c>
      <c r="CA52" s="24">
        <f t="shared" si="181"/>
        <v>112860.00000000001</v>
      </c>
      <c r="CB52" s="24">
        <f t="shared" si="181"/>
        <v>112860.00000000001</v>
      </c>
      <c r="CC52" s="24">
        <f t="shared" si="181"/>
        <v>112860.00000000001</v>
      </c>
      <c r="CD52" s="24">
        <f t="shared" si="181"/>
        <v>112860.00000000001</v>
      </c>
      <c r="CE52" s="24">
        <f t="shared" si="181"/>
        <v>112860.00000000001</v>
      </c>
      <c r="CF52" s="24">
        <f t="shared" si="181"/>
        <v>112860.00000000001</v>
      </c>
      <c r="CG52" s="24">
        <f t="shared" si="181"/>
        <v>112860.00000000001</v>
      </c>
      <c r="CH52" s="24">
        <f t="shared" si="181"/>
        <v>112860.00000000001</v>
      </c>
      <c r="CI52" s="24">
        <f t="shared" si="181"/>
        <v>112860.00000000001</v>
      </c>
      <c r="CJ52" s="24">
        <f t="shared" si="181"/>
        <v>112860.00000000001</v>
      </c>
      <c r="CK52" s="24">
        <f t="shared" si="181"/>
        <v>112860.00000000001</v>
      </c>
      <c r="CL52" s="24">
        <f t="shared" si="181"/>
        <v>112860.00000000001</v>
      </c>
      <c r="CM52" s="24">
        <f t="shared" si="181"/>
        <v>112860.00000000001</v>
      </c>
      <c r="CN52" s="24">
        <f t="shared" si="181"/>
        <v>112860.00000000001</v>
      </c>
      <c r="CO52" s="24">
        <f t="shared" si="181"/>
        <v>112860.00000000001</v>
      </c>
      <c r="CP52" s="24">
        <f t="shared" si="181"/>
        <v>112860.00000000001</v>
      </c>
      <c r="CQ52" s="24">
        <f t="shared" si="181"/>
        <v>112860.00000000001</v>
      </c>
      <c r="CR52" s="24">
        <f t="shared" si="181"/>
        <v>112860.00000000001</v>
      </c>
      <c r="CS52" s="24">
        <f t="shared" si="181"/>
        <v>112860.00000000001</v>
      </c>
      <c r="CT52" s="24">
        <f t="shared" si="181"/>
        <v>112860.00000000001</v>
      </c>
      <c r="CU52" s="24">
        <f t="shared" si="181"/>
        <v>117990.00000000001</v>
      </c>
      <c r="CV52" s="24">
        <f t="shared" si="181"/>
        <v>117990.00000000001</v>
      </c>
      <c r="CW52" s="24">
        <f t="shared" si="181"/>
        <v>117990.00000000001</v>
      </c>
      <c r="CX52" s="24">
        <f t="shared" si="181"/>
        <v>117990.00000000001</v>
      </c>
      <c r="CY52" s="24">
        <f t="shared" si="181"/>
        <v>117990.00000000001</v>
      </c>
      <c r="CZ52" s="24">
        <f t="shared" si="181"/>
        <v>117990.00000000001</v>
      </c>
      <c r="DA52" s="24">
        <f t="shared" si="181"/>
        <v>117990.00000000001</v>
      </c>
      <c r="DB52" s="24">
        <f t="shared" si="181"/>
        <v>117990.00000000001</v>
      </c>
      <c r="DC52" s="24">
        <f t="shared" si="181"/>
        <v>117990.00000000001</v>
      </c>
      <c r="DD52" s="24">
        <f t="shared" si="181"/>
        <v>117990.00000000001</v>
      </c>
      <c r="DE52" s="24">
        <f t="shared" si="181"/>
        <v>117990.00000000001</v>
      </c>
      <c r="DF52" s="24">
        <f t="shared" si="181"/>
        <v>117990.00000000001</v>
      </c>
      <c r="DG52" s="24">
        <f t="shared" si="181"/>
        <v>117990.00000000001</v>
      </c>
      <c r="DH52" s="24">
        <f t="shared" si="181"/>
        <v>117990.00000000001</v>
      </c>
      <c r="DI52" s="24">
        <f t="shared" si="181"/>
        <v>117990.00000000001</v>
      </c>
      <c r="DJ52" s="24">
        <f t="shared" si="181"/>
        <v>117990.00000000001</v>
      </c>
      <c r="DK52" s="24">
        <f t="shared" si="181"/>
        <v>117990.00000000001</v>
      </c>
      <c r="DL52" s="24">
        <f t="shared" si="181"/>
        <v>117990.00000000001</v>
      </c>
      <c r="DM52" s="24">
        <f t="shared" si="181"/>
        <v>117990.00000000001</v>
      </c>
      <c r="DN52" s="24">
        <f t="shared" si="181"/>
        <v>117990.00000000001</v>
      </c>
      <c r="DO52" s="24">
        <f t="shared" si="181"/>
        <v>117990.00000000001</v>
      </c>
      <c r="DP52" s="24">
        <f t="shared" si="181"/>
        <v>117990.00000000001</v>
      </c>
      <c r="DQ52" s="24">
        <f t="shared" si="181"/>
        <v>117990.00000000001</v>
      </c>
      <c r="DR52" s="24">
        <f t="shared" si="181"/>
        <v>117990.00000000001</v>
      </c>
      <c r="DS52" s="24">
        <f t="shared" si="181"/>
        <v>123120.00000000001</v>
      </c>
      <c r="DT52" s="24">
        <f t="shared" si="181"/>
        <v>123120.00000000001</v>
      </c>
      <c r="DU52" s="24">
        <f t="shared" si="181"/>
        <v>123120.00000000001</v>
      </c>
      <c r="DV52" s="24">
        <f t="shared" si="181"/>
        <v>123120.00000000001</v>
      </c>
      <c r="DW52" s="24">
        <f t="shared" si="181"/>
        <v>123120.00000000001</v>
      </c>
      <c r="DX52" s="24">
        <f t="shared" si="181"/>
        <v>123120.00000000001</v>
      </c>
      <c r="DY52" s="24">
        <f t="shared" si="181"/>
        <v>123120.00000000001</v>
      </c>
      <c r="DZ52" s="24">
        <f t="shared" si="181"/>
        <v>123120.00000000001</v>
      </c>
      <c r="EA52" s="24">
        <f t="shared" si="174"/>
        <v>123120.00000000001</v>
      </c>
      <c r="EB52" s="24">
        <f t="shared" si="180"/>
        <v>123120.00000000001</v>
      </c>
      <c r="EC52" s="24">
        <f t="shared" si="180"/>
        <v>123120.00000000001</v>
      </c>
      <c r="ED52" s="24">
        <f t="shared" si="180"/>
        <v>123120.00000000001</v>
      </c>
      <c r="EE52" s="24">
        <f t="shared" si="180"/>
        <v>123120.00000000001</v>
      </c>
      <c r="EF52" s="24">
        <f t="shared" si="180"/>
        <v>123120.00000000001</v>
      </c>
      <c r="EG52" s="24">
        <f t="shared" si="180"/>
        <v>123120.00000000001</v>
      </c>
      <c r="EH52" s="24">
        <f t="shared" si="180"/>
        <v>123120.00000000001</v>
      </c>
      <c r="EI52" s="24">
        <f t="shared" si="180"/>
        <v>123120.00000000001</v>
      </c>
      <c r="EJ52" s="24">
        <f t="shared" si="180"/>
        <v>123120.00000000001</v>
      </c>
      <c r="EK52" s="24">
        <f t="shared" si="180"/>
        <v>123120.00000000001</v>
      </c>
      <c r="EL52" s="24">
        <f t="shared" si="180"/>
        <v>123120.00000000001</v>
      </c>
      <c r="EM52" s="24">
        <f t="shared" si="180"/>
        <v>123120.00000000001</v>
      </c>
      <c r="EN52" s="24">
        <f t="shared" si="180"/>
        <v>123120.00000000001</v>
      </c>
      <c r="EO52" s="24">
        <f t="shared" si="180"/>
        <v>123120.00000000001</v>
      </c>
      <c r="EP52" s="24">
        <f t="shared" si="180"/>
        <v>123120.00000000001</v>
      </c>
      <c r="EQ52" s="24">
        <f t="shared" si="180"/>
        <v>128250.00000000001</v>
      </c>
      <c r="ER52" s="24">
        <f t="shared" si="180"/>
        <v>128250.00000000001</v>
      </c>
      <c r="ES52" s="24">
        <f t="shared" si="180"/>
        <v>128250.00000000001</v>
      </c>
      <c r="ET52" s="24">
        <f t="shared" si="180"/>
        <v>128250.00000000001</v>
      </c>
      <c r="EU52" s="24">
        <f t="shared" si="180"/>
        <v>128250.00000000001</v>
      </c>
      <c r="EV52" s="24">
        <f t="shared" si="180"/>
        <v>128250.00000000001</v>
      </c>
      <c r="EW52" s="24">
        <f t="shared" si="180"/>
        <v>128250.00000000001</v>
      </c>
      <c r="EX52" s="24">
        <f t="shared" si="180"/>
        <v>128250.00000000001</v>
      </c>
      <c r="EY52" s="24">
        <f t="shared" si="180"/>
        <v>128250.00000000001</v>
      </c>
      <c r="EZ52" s="24">
        <f t="shared" si="180"/>
        <v>128250.00000000001</v>
      </c>
      <c r="FA52" s="24">
        <f t="shared" si="180"/>
        <v>128250.00000000001</v>
      </c>
      <c r="FB52" s="24">
        <f t="shared" si="180"/>
        <v>128250.00000000001</v>
      </c>
      <c r="FC52" s="24">
        <f t="shared" si="180"/>
        <v>128250.00000000001</v>
      </c>
      <c r="FD52" s="24">
        <f t="shared" si="180"/>
        <v>128250.00000000001</v>
      </c>
      <c r="FE52" s="24">
        <f t="shared" si="180"/>
        <v>128250.00000000001</v>
      </c>
      <c r="FF52" s="24">
        <f t="shared" si="180"/>
        <v>128250.00000000001</v>
      </c>
      <c r="FG52" s="24">
        <f t="shared" si="180"/>
        <v>128250.00000000001</v>
      </c>
      <c r="FH52" s="24">
        <f t="shared" si="180"/>
        <v>128250.00000000001</v>
      </c>
      <c r="FI52" s="24">
        <f t="shared" si="180"/>
        <v>128250.00000000001</v>
      </c>
      <c r="FJ52" s="24">
        <f t="shared" si="180"/>
        <v>128250.00000000001</v>
      </c>
      <c r="FK52" s="24">
        <f t="shared" si="180"/>
        <v>128250.00000000001</v>
      </c>
      <c r="FL52" s="24">
        <f t="shared" si="180"/>
        <v>128250.00000000001</v>
      </c>
      <c r="FM52" s="24">
        <f t="shared" si="180"/>
        <v>128250.00000000001</v>
      </c>
      <c r="FN52" s="24">
        <f t="shared" si="180"/>
        <v>128250.00000000001</v>
      </c>
      <c r="FO52" s="24">
        <f t="shared" si="180"/>
        <v>133380.00000000003</v>
      </c>
      <c r="FP52" s="24">
        <f t="shared" si="180"/>
        <v>133380.00000000003</v>
      </c>
      <c r="FQ52" s="24">
        <f t="shared" si="180"/>
        <v>133380.00000000003</v>
      </c>
      <c r="FR52" s="24">
        <f t="shared" si="180"/>
        <v>133380.00000000003</v>
      </c>
      <c r="FS52" s="24">
        <f t="shared" si="180"/>
        <v>133380.00000000003</v>
      </c>
      <c r="FT52" s="24">
        <f t="shared" si="180"/>
        <v>133380.00000000003</v>
      </c>
      <c r="FU52" s="24">
        <f t="shared" si="180"/>
        <v>133380.00000000003</v>
      </c>
      <c r="FV52" s="24">
        <f t="shared" si="180"/>
        <v>133380.00000000003</v>
      </c>
      <c r="FW52" s="24">
        <f t="shared" si="180"/>
        <v>133380.00000000003</v>
      </c>
      <c r="FX52" s="24">
        <f t="shared" si="180"/>
        <v>133380.00000000003</v>
      </c>
      <c r="FY52" s="24">
        <f t="shared" si="180"/>
        <v>133380.00000000003</v>
      </c>
      <c r="FZ52" s="24">
        <f t="shared" si="180"/>
        <v>133380.00000000003</v>
      </c>
      <c r="GA52" s="24">
        <f t="shared" si="180"/>
        <v>133380.00000000003</v>
      </c>
      <c r="GB52" s="24">
        <f t="shared" si="180"/>
        <v>133380.00000000003</v>
      </c>
      <c r="GC52" s="24">
        <f t="shared" si="180"/>
        <v>133380.00000000003</v>
      </c>
      <c r="GD52" s="24">
        <f t="shared" si="180"/>
        <v>133380.00000000003</v>
      </c>
      <c r="GE52" s="24">
        <f t="shared" si="180"/>
        <v>133380.00000000003</v>
      </c>
      <c r="GF52" s="24">
        <f t="shared" si="180"/>
        <v>133380.00000000003</v>
      </c>
      <c r="GG52" s="24">
        <f t="shared" si="180"/>
        <v>133380.00000000003</v>
      </c>
      <c r="GH52" s="24">
        <f t="shared" si="180"/>
        <v>133380.00000000003</v>
      </c>
      <c r="GI52" s="24">
        <f t="shared" si="180"/>
        <v>133380.00000000003</v>
      </c>
      <c r="GJ52" s="24">
        <f t="shared" si="180"/>
        <v>133380.00000000003</v>
      </c>
      <c r="GK52" s="24">
        <f t="shared" si="180"/>
        <v>133380.00000000003</v>
      </c>
      <c r="GL52" s="24">
        <f t="shared" si="180"/>
        <v>133380.00000000003</v>
      </c>
      <c r="GM52" s="24">
        <f t="shared" si="180"/>
        <v>138510.00000000003</v>
      </c>
      <c r="GN52" s="24">
        <f t="shared" si="179"/>
        <v>138510.00000000003</v>
      </c>
      <c r="GO52" s="24">
        <f t="shared" si="179"/>
        <v>138510.00000000003</v>
      </c>
      <c r="GP52" s="24">
        <f t="shared" si="178"/>
        <v>138510.00000000003</v>
      </c>
      <c r="GQ52" s="24">
        <f t="shared" si="178"/>
        <v>138510.00000000003</v>
      </c>
      <c r="GR52" s="24">
        <f t="shared" si="178"/>
        <v>138510.00000000003</v>
      </c>
      <c r="GS52" s="24">
        <f t="shared" si="178"/>
        <v>138510.00000000003</v>
      </c>
      <c r="GT52" s="24">
        <f t="shared" si="178"/>
        <v>138510.00000000003</v>
      </c>
      <c r="GU52" s="24">
        <f t="shared" si="178"/>
        <v>138510.00000000003</v>
      </c>
      <c r="GV52" s="24">
        <f t="shared" si="178"/>
        <v>138510.00000000003</v>
      </c>
      <c r="GW52" s="24">
        <f t="shared" si="178"/>
        <v>138510.00000000003</v>
      </c>
      <c r="GX52" s="24">
        <f t="shared" si="178"/>
        <v>138510.00000000003</v>
      </c>
      <c r="GY52" s="24">
        <f t="shared" si="178"/>
        <v>138510.00000000003</v>
      </c>
      <c r="GZ52" s="24">
        <f t="shared" si="178"/>
        <v>138510.00000000003</v>
      </c>
      <c r="HA52" s="24">
        <f t="shared" si="178"/>
        <v>138510.00000000003</v>
      </c>
      <c r="HB52" s="24">
        <f t="shared" si="178"/>
        <v>138510.00000000003</v>
      </c>
      <c r="HC52" s="24">
        <f t="shared" si="178"/>
        <v>138510.00000000003</v>
      </c>
      <c r="HD52" s="24">
        <f t="shared" si="178"/>
        <v>138510.00000000003</v>
      </c>
      <c r="HE52" s="24">
        <f t="shared" si="178"/>
        <v>138510.00000000003</v>
      </c>
      <c r="HF52" s="24">
        <f t="shared" si="178"/>
        <v>138510.00000000003</v>
      </c>
      <c r="HG52" s="24">
        <f t="shared" si="178"/>
        <v>138510.00000000003</v>
      </c>
      <c r="HH52" s="24">
        <f t="shared" si="178"/>
        <v>138510.00000000003</v>
      </c>
      <c r="HI52" s="24">
        <f t="shared" si="178"/>
        <v>138510.00000000003</v>
      </c>
      <c r="HJ52" s="24">
        <f t="shared" si="178"/>
        <v>138510.00000000003</v>
      </c>
      <c r="HK52" s="24">
        <f t="shared" si="178"/>
        <v>143640.00000000003</v>
      </c>
      <c r="HL52" s="24">
        <f t="shared" si="178"/>
        <v>143640.00000000003</v>
      </c>
      <c r="HM52" s="24">
        <f t="shared" si="178"/>
        <v>143640.00000000003</v>
      </c>
      <c r="HN52" s="24">
        <f t="shared" si="178"/>
        <v>143640.00000000003</v>
      </c>
      <c r="HO52" s="24">
        <f t="shared" si="178"/>
        <v>143640.00000000003</v>
      </c>
      <c r="HP52" s="24">
        <f t="shared" si="178"/>
        <v>143640.00000000003</v>
      </c>
      <c r="HQ52" s="24">
        <f t="shared" si="178"/>
        <v>143640.00000000003</v>
      </c>
      <c r="HR52" s="24">
        <f t="shared" si="178"/>
        <v>143640.00000000003</v>
      </c>
      <c r="HS52" s="24">
        <f t="shared" si="178"/>
        <v>143640.00000000003</v>
      </c>
      <c r="HT52" s="24">
        <f t="shared" si="178"/>
        <v>143640.00000000003</v>
      </c>
      <c r="HU52" s="24">
        <f t="shared" si="178"/>
        <v>143640.00000000003</v>
      </c>
      <c r="HV52" s="24">
        <f t="shared" si="178"/>
        <v>143640.00000000003</v>
      </c>
      <c r="HW52" s="24">
        <f t="shared" si="178"/>
        <v>143640.00000000003</v>
      </c>
      <c r="HX52" s="24">
        <f t="shared" si="178"/>
        <v>143640.00000000003</v>
      </c>
      <c r="HY52" s="24">
        <f t="shared" si="178"/>
        <v>143640.00000000003</v>
      </c>
      <c r="HZ52" s="24">
        <f t="shared" si="178"/>
        <v>143640.00000000003</v>
      </c>
      <c r="IA52" s="24">
        <f t="shared" si="178"/>
        <v>143640.00000000003</v>
      </c>
      <c r="IB52" s="24">
        <f t="shared" si="178"/>
        <v>143640.00000000003</v>
      </c>
      <c r="IC52" s="24">
        <f t="shared" si="178"/>
        <v>143640.00000000003</v>
      </c>
      <c r="ID52" s="24">
        <f t="shared" si="178"/>
        <v>143640.00000000003</v>
      </c>
      <c r="IE52" s="24">
        <f t="shared" si="178"/>
        <v>143640.00000000003</v>
      </c>
      <c r="IF52" s="24">
        <f t="shared" si="178"/>
        <v>143640.00000000003</v>
      </c>
      <c r="IG52" s="24">
        <f t="shared" si="178"/>
        <v>143640.00000000003</v>
      </c>
      <c r="IH52" s="24">
        <f t="shared" si="178"/>
        <v>143640.00000000003</v>
      </c>
      <c r="II52" s="20">
        <f t="shared" si="170"/>
        <v>26593920</v>
      </c>
    </row>
    <row r="53" spans="1:243" x14ac:dyDescent="0.45">
      <c r="A53" s="59" t="s">
        <v>110</v>
      </c>
      <c r="B53" s="62">
        <f>'Other Schedule'!G8</f>
        <v>9354</v>
      </c>
      <c r="C53" s="24">
        <f t="shared" si="171"/>
        <v>0</v>
      </c>
      <c r="D53" s="24">
        <f t="shared" si="182"/>
        <v>0</v>
      </c>
      <c r="E53" s="24">
        <f t="shared" si="182"/>
        <v>0</v>
      </c>
      <c r="F53" s="24">
        <f t="shared" si="182"/>
        <v>0</v>
      </c>
      <c r="G53" s="24">
        <f t="shared" si="182"/>
        <v>0</v>
      </c>
      <c r="H53" s="24">
        <f t="shared" si="182"/>
        <v>0</v>
      </c>
      <c r="I53" s="24">
        <f t="shared" si="182"/>
        <v>0</v>
      </c>
      <c r="J53" s="24">
        <f t="shared" si="182"/>
        <v>0</v>
      </c>
      <c r="K53" s="24">
        <f t="shared" si="182"/>
        <v>0</v>
      </c>
      <c r="L53" s="24">
        <f t="shared" si="182"/>
        <v>0</v>
      </c>
      <c r="M53" s="24">
        <f t="shared" si="182"/>
        <v>0</v>
      </c>
      <c r="N53" s="24">
        <f t="shared" si="182"/>
        <v>0</v>
      </c>
      <c r="O53" s="24">
        <f t="shared" si="182"/>
        <v>0</v>
      </c>
      <c r="P53" s="24">
        <f t="shared" si="182"/>
        <v>0</v>
      </c>
      <c r="Q53" s="24">
        <f t="shared" si="182"/>
        <v>0</v>
      </c>
      <c r="R53" s="24">
        <f t="shared" si="182"/>
        <v>0</v>
      </c>
      <c r="S53" s="24">
        <f t="shared" si="182"/>
        <v>0</v>
      </c>
      <c r="T53" s="24">
        <f t="shared" si="182"/>
        <v>0</v>
      </c>
      <c r="U53" s="24">
        <f t="shared" si="182"/>
        <v>0</v>
      </c>
      <c r="V53" s="24">
        <f t="shared" si="182"/>
        <v>0</v>
      </c>
      <c r="W53" s="24">
        <f t="shared" si="182"/>
        <v>0</v>
      </c>
      <c r="X53" s="24">
        <f t="shared" si="182"/>
        <v>0</v>
      </c>
      <c r="Y53" s="24">
        <f t="shared" si="182"/>
        <v>0</v>
      </c>
      <c r="Z53" s="24">
        <f t="shared" si="182"/>
        <v>0</v>
      </c>
      <c r="AA53" s="24">
        <f t="shared" si="182"/>
        <v>110731.13513513513</v>
      </c>
      <c r="AB53" s="24">
        <f t="shared" si="182"/>
        <v>110731.13513513513</v>
      </c>
      <c r="AC53" s="24">
        <f t="shared" si="182"/>
        <v>110731.13513513513</v>
      </c>
      <c r="AD53" s="24">
        <f t="shared" si="182"/>
        <v>110731.13513513513</v>
      </c>
      <c r="AE53" s="24">
        <f t="shared" si="182"/>
        <v>110731.13513513513</v>
      </c>
      <c r="AF53" s="24">
        <f t="shared" si="182"/>
        <v>110731.13513513513</v>
      </c>
      <c r="AG53" s="24">
        <f t="shared" si="182"/>
        <v>110731.13513513513</v>
      </c>
      <c r="AH53" s="24">
        <f t="shared" si="182"/>
        <v>110731.13513513513</v>
      </c>
      <c r="AI53" s="24">
        <f t="shared" si="182"/>
        <v>110731.13513513513</v>
      </c>
      <c r="AJ53" s="24">
        <f t="shared" si="182"/>
        <v>110731.13513513513</v>
      </c>
      <c r="AK53" s="24">
        <f t="shared" si="182"/>
        <v>110731.13513513513</v>
      </c>
      <c r="AL53" s="24">
        <f t="shared" si="182"/>
        <v>110731.13513513513</v>
      </c>
      <c r="AM53" s="24">
        <f t="shared" si="182"/>
        <v>184551.89189189189</v>
      </c>
      <c r="AN53" s="24">
        <f t="shared" si="182"/>
        <v>184551.89189189189</v>
      </c>
      <c r="AO53" s="24">
        <f t="shared" si="182"/>
        <v>184551.89189189189</v>
      </c>
      <c r="AP53" s="24">
        <f t="shared" si="182"/>
        <v>184551.89189189189</v>
      </c>
      <c r="AQ53" s="24">
        <f t="shared" si="182"/>
        <v>184551.89189189189</v>
      </c>
      <c r="AR53" s="24">
        <f t="shared" si="182"/>
        <v>184551.89189189189</v>
      </c>
      <c r="AS53" s="24">
        <f t="shared" si="182"/>
        <v>184551.89189189189</v>
      </c>
      <c r="AT53" s="24">
        <f t="shared" si="182"/>
        <v>184551.89189189189</v>
      </c>
      <c r="AU53" s="24">
        <f t="shared" si="182"/>
        <v>184551.89189189189</v>
      </c>
      <c r="AV53" s="24">
        <f t="shared" si="182"/>
        <v>184551.89189189189</v>
      </c>
      <c r="AW53" s="24">
        <f t="shared" si="182"/>
        <v>184551.89189189189</v>
      </c>
      <c r="AX53" s="24">
        <f t="shared" si="182"/>
        <v>184551.89189189189</v>
      </c>
      <c r="AY53" s="24">
        <f t="shared" si="182"/>
        <v>271291.28108108108</v>
      </c>
      <c r="AZ53" s="24">
        <f t="shared" si="182"/>
        <v>271291.28108108108</v>
      </c>
      <c r="BA53" s="24">
        <f t="shared" si="182"/>
        <v>271291.28108108108</v>
      </c>
      <c r="BB53" s="24">
        <f t="shared" si="182"/>
        <v>271291.28108108108</v>
      </c>
      <c r="BC53" s="24">
        <f t="shared" si="182"/>
        <v>271291.28108108108</v>
      </c>
      <c r="BD53" s="24">
        <f t="shared" si="182"/>
        <v>271291.28108108108</v>
      </c>
      <c r="BE53" s="24">
        <f t="shared" si="182"/>
        <v>271291.28108108108</v>
      </c>
      <c r="BF53" s="24">
        <f t="shared" si="182"/>
        <v>271291.28108108108</v>
      </c>
      <c r="BG53" s="24">
        <f t="shared" si="182"/>
        <v>271291.28108108108</v>
      </c>
      <c r="BH53" s="24">
        <f t="shared" si="182"/>
        <v>271291.28108108108</v>
      </c>
      <c r="BI53" s="24">
        <f t="shared" si="182"/>
        <v>271291.28108108108</v>
      </c>
      <c r="BJ53" s="24">
        <f t="shared" si="182"/>
        <v>271291.28108108108</v>
      </c>
      <c r="BK53" s="24">
        <f t="shared" si="182"/>
        <v>329425.12702702708</v>
      </c>
      <c r="BL53" s="24">
        <f t="shared" si="182"/>
        <v>329425.12702702708</v>
      </c>
      <c r="BM53" s="24">
        <f t="shared" si="182"/>
        <v>329425.12702702708</v>
      </c>
      <c r="BN53" s="24">
        <f t="shared" si="182"/>
        <v>329425.12702702708</v>
      </c>
      <c r="BO53" s="24">
        <f t="shared" si="182"/>
        <v>329425.12702702708</v>
      </c>
      <c r="BP53" s="24">
        <f t="shared" si="181"/>
        <v>329425.12702702708</v>
      </c>
      <c r="BQ53" s="24">
        <f t="shared" si="181"/>
        <v>329425.12702702708</v>
      </c>
      <c r="BR53" s="24">
        <f t="shared" si="181"/>
        <v>329425.12702702708</v>
      </c>
      <c r="BS53" s="24">
        <f t="shared" si="181"/>
        <v>329425.12702702708</v>
      </c>
      <c r="BT53" s="24">
        <f t="shared" si="181"/>
        <v>329425.12702702708</v>
      </c>
      <c r="BU53" s="24">
        <f t="shared" si="181"/>
        <v>329425.12702702708</v>
      </c>
      <c r="BV53" s="24">
        <f t="shared" si="181"/>
        <v>329425.12702702708</v>
      </c>
      <c r="BW53" s="24">
        <f t="shared" si="181"/>
        <v>345112.03783783782</v>
      </c>
      <c r="BX53" s="24">
        <f t="shared" si="181"/>
        <v>345112.03783783782</v>
      </c>
      <c r="BY53" s="24">
        <f t="shared" si="181"/>
        <v>345112.03783783782</v>
      </c>
      <c r="BZ53" s="24">
        <f t="shared" si="181"/>
        <v>345112.03783783782</v>
      </c>
      <c r="CA53" s="24">
        <f t="shared" si="181"/>
        <v>345112.03783783782</v>
      </c>
      <c r="CB53" s="24">
        <f t="shared" si="181"/>
        <v>345112.03783783782</v>
      </c>
      <c r="CC53" s="24">
        <f t="shared" si="181"/>
        <v>345112.03783783782</v>
      </c>
      <c r="CD53" s="24">
        <f t="shared" si="181"/>
        <v>345112.03783783782</v>
      </c>
      <c r="CE53" s="24">
        <f t="shared" si="181"/>
        <v>345112.03783783782</v>
      </c>
      <c r="CF53" s="24">
        <f t="shared" si="181"/>
        <v>345112.03783783782</v>
      </c>
      <c r="CG53" s="24">
        <f t="shared" si="181"/>
        <v>345112.03783783782</v>
      </c>
      <c r="CH53" s="24">
        <f t="shared" si="181"/>
        <v>345112.03783783782</v>
      </c>
      <c r="CI53" s="24">
        <f t="shared" si="181"/>
        <v>345112.03783783782</v>
      </c>
      <c r="CJ53" s="24">
        <f t="shared" si="181"/>
        <v>345112.03783783782</v>
      </c>
      <c r="CK53" s="24">
        <f t="shared" si="181"/>
        <v>345112.03783783782</v>
      </c>
      <c r="CL53" s="24">
        <f t="shared" si="181"/>
        <v>345112.03783783782</v>
      </c>
      <c r="CM53" s="24">
        <f t="shared" si="181"/>
        <v>345112.03783783782</v>
      </c>
      <c r="CN53" s="24">
        <f t="shared" si="181"/>
        <v>345112.03783783782</v>
      </c>
      <c r="CO53" s="24">
        <f t="shared" si="181"/>
        <v>345112.03783783782</v>
      </c>
      <c r="CP53" s="24">
        <f t="shared" si="181"/>
        <v>345112.03783783782</v>
      </c>
      <c r="CQ53" s="24">
        <f t="shared" si="181"/>
        <v>345112.03783783782</v>
      </c>
      <c r="CR53" s="24">
        <f t="shared" si="181"/>
        <v>345112.03783783782</v>
      </c>
      <c r="CS53" s="24">
        <f t="shared" si="181"/>
        <v>345112.03783783782</v>
      </c>
      <c r="CT53" s="24">
        <f t="shared" si="181"/>
        <v>345112.03783783782</v>
      </c>
      <c r="CU53" s="24">
        <f t="shared" si="181"/>
        <v>360798.94864864869</v>
      </c>
      <c r="CV53" s="24">
        <f t="shared" si="181"/>
        <v>360798.94864864869</v>
      </c>
      <c r="CW53" s="24">
        <f t="shared" si="181"/>
        <v>360798.94864864869</v>
      </c>
      <c r="CX53" s="24">
        <f t="shared" si="181"/>
        <v>360798.94864864869</v>
      </c>
      <c r="CY53" s="24">
        <f t="shared" si="181"/>
        <v>360798.94864864869</v>
      </c>
      <c r="CZ53" s="24">
        <f t="shared" si="181"/>
        <v>360798.94864864869</v>
      </c>
      <c r="DA53" s="24">
        <f t="shared" si="181"/>
        <v>360798.94864864869</v>
      </c>
      <c r="DB53" s="24">
        <f t="shared" si="181"/>
        <v>360798.94864864869</v>
      </c>
      <c r="DC53" s="24">
        <f t="shared" si="181"/>
        <v>360798.94864864869</v>
      </c>
      <c r="DD53" s="24">
        <f t="shared" si="181"/>
        <v>360798.94864864869</v>
      </c>
      <c r="DE53" s="24">
        <f t="shared" si="181"/>
        <v>360798.94864864869</v>
      </c>
      <c r="DF53" s="24">
        <f t="shared" si="181"/>
        <v>360798.94864864869</v>
      </c>
      <c r="DG53" s="24">
        <f t="shared" si="181"/>
        <v>360798.94864864869</v>
      </c>
      <c r="DH53" s="24">
        <f t="shared" si="181"/>
        <v>360798.94864864869</v>
      </c>
      <c r="DI53" s="24">
        <f t="shared" si="181"/>
        <v>360798.94864864869</v>
      </c>
      <c r="DJ53" s="24">
        <f t="shared" si="181"/>
        <v>360798.94864864869</v>
      </c>
      <c r="DK53" s="24">
        <f t="shared" si="181"/>
        <v>360798.94864864869</v>
      </c>
      <c r="DL53" s="24">
        <f t="shared" si="181"/>
        <v>360798.94864864869</v>
      </c>
      <c r="DM53" s="24">
        <f t="shared" si="181"/>
        <v>360798.94864864869</v>
      </c>
      <c r="DN53" s="24">
        <f t="shared" si="181"/>
        <v>360798.94864864869</v>
      </c>
      <c r="DO53" s="24">
        <f t="shared" si="181"/>
        <v>360798.94864864869</v>
      </c>
      <c r="DP53" s="24">
        <f t="shared" si="181"/>
        <v>360798.94864864869</v>
      </c>
      <c r="DQ53" s="24">
        <f t="shared" si="181"/>
        <v>360798.94864864869</v>
      </c>
      <c r="DR53" s="24">
        <f t="shared" si="181"/>
        <v>360798.94864864869</v>
      </c>
      <c r="DS53" s="24">
        <f t="shared" si="181"/>
        <v>376485.85945945955</v>
      </c>
      <c r="DT53" s="24">
        <f t="shared" si="181"/>
        <v>376485.85945945955</v>
      </c>
      <c r="DU53" s="24">
        <f t="shared" si="181"/>
        <v>376485.85945945955</v>
      </c>
      <c r="DV53" s="24">
        <f t="shared" si="181"/>
        <v>376485.85945945955</v>
      </c>
      <c r="DW53" s="24">
        <f t="shared" si="181"/>
        <v>376485.85945945955</v>
      </c>
      <c r="DX53" s="24">
        <f t="shared" si="181"/>
        <v>376485.85945945955</v>
      </c>
      <c r="DY53" s="24">
        <f t="shared" si="181"/>
        <v>376485.85945945955</v>
      </c>
      <c r="DZ53" s="24">
        <f t="shared" si="181"/>
        <v>376485.85945945955</v>
      </c>
      <c r="EA53" s="24">
        <f t="shared" si="174"/>
        <v>376485.85945945955</v>
      </c>
      <c r="EB53" s="24">
        <f t="shared" si="180"/>
        <v>376485.85945945955</v>
      </c>
      <c r="EC53" s="24">
        <f t="shared" si="180"/>
        <v>376485.85945945955</v>
      </c>
      <c r="ED53" s="24">
        <f t="shared" si="180"/>
        <v>376485.85945945955</v>
      </c>
      <c r="EE53" s="24">
        <f t="shared" si="180"/>
        <v>376485.85945945955</v>
      </c>
      <c r="EF53" s="24">
        <f t="shared" si="180"/>
        <v>376485.85945945955</v>
      </c>
      <c r="EG53" s="24">
        <f t="shared" si="180"/>
        <v>376485.85945945955</v>
      </c>
      <c r="EH53" s="24">
        <f t="shared" si="180"/>
        <v>376485.85945945955</v>
      </c>
      <c r="EI53" s="24">
        <f t="shared" si="180"/>
        <v>376485.85945945955</v>
      </c>
      <c r="EJ53" s="24">
        <f t="shared" si="180"/>
        <v>376485.85945945955</v>
      </c>
      <c r="EK53" s="24">
        <f t="shared" si="180"/>
        <v>376485.85945945955</v>
      </c>
      <c r="EL53" s="24">
        <f t="shared" si="180"/>
        <v>376485.85945945955</v>
      </c>
      <c r="EM53" s="24">
        <f t="shared" si="180"/>
        <v>376485.85945945955</v>
      </c>
      <c r="EN53" s="24">
        <f t="shared" si="180"/>
        <v>376485.85945945955</v>
      </c>
      <c r="EO53" s="24">
        <f t="shared" si="180"/>
        <v>376485.85945945955</v>
      </c>
      <c r="EP53" s="24">
        <f t="shared" si="180"/>
        <v>376485.85945945955</v>
      </c>
      <c r="EQ53" s="24">
        <f t="shared" si="180"/>
        <v>392172.7702702703</v>
      </c>
      <c r="ER53" s="24">
        <f t="shared" si="180"/>
        <v>392172.7702702703</v>
      </c>
      <c r="ES53" s="24">
        <f t="shared" si="180"/>
        <v>392172.7702702703</v>
      </c>
      <c r="ET53" s="24">
        <f t="shared" si="180"/>
        <v>392172.7702702703</v>
      </c>
      <c r="EU53" s="24">
        <f t="shared" si="180"/>
        <v>392172.7702702703</v>
      </c>
      <c r="EV53" s="24">
        <f t="shared" si="180"/>
        <v>392172.7702702703</v>
      </c>
      <c r="EW53" s="24">
        <f t="shared" si="180"/>
        <v>392172.7702702703</v>
      </c>
      <c r="EX53" s="24">
        <f t="shared" si="180"/>
        <v>392172.7702702703</v>
      </c>
      <c r="EY53" s="24">
        <f t="shared" si="180"/>
        <v>392172.7702702703</v>
      </c>
      <c r="EZ53" s="24">
        <f t="shared" si="180"/>
        <v>392172.7702702703</v>
      </c>
      <c r="FA53" s="24">
        <f t="shared" si="180"/>
        <v>392172.7702702703</v>
      </c>
      <c r="FB53" s="24">
        <f t="shared" si="180"/>
        <v>392172.7702702703</v>
      </c>
      <c r="FC53" s="24">
        <f t="shared" si="180"/>
        <v>392172.7702702703</v>
      </c>
      <c r="FD53" s="24">
        <f t="shared" si="180"/>
        <v>392172.7702702703</v>
      </c>
      <c r="FE53" s="24">
        <f t="shared" si="180"/>
        <v>392172.7702702703</v>
      </c>
      <c r="FF53" s="24">
        <f t="shared" si="180"/>
        <v>392172.7702702703</v>
      </c>
      <c r="FG53" s="24">
        <f t="shared" si="180"/>
        <v>392172.7702702703</v>
      </c>
      <c r="FH53" s="24">
        <f t="shared" si="180"/>
        <v>392172.7702702703</v>
      </c>
      <c r="FI53" s="24">
        <f t="shared" si="180"/>
        <v>392172.7702702703</v>
      </c>
      <c r="FJ53" s="24">
        <f t="shared" si="180"/>
        <v>392172.7702702703</v>
      </c>
      <c r="FK53" s="24">
        <f t="shared" si="180"/>
        <v>392172.7702702703</v>
      </c>
      <c r="FL53" s="24">
        <f t="shared" si="180"/>
        <v>392172.7702702703</v>
      </c>
      <c r="FM53" s="24">
        <f t="shared" si="180"/>
        <v>392172.7702702703</v>
      </c>
      <c r="FN53" s="24">
        <f t="shared" si="180"/>
        <v>392172.7702702703</v>
      </c>
      <c r="FO53" s="24">
        <f t="shared" si="180"/>
        <v>407859.68108108116</v>
      </c>
      <c r="FP53" s="24">
        <f t="shared" si="180"/>
        <v>407859.68108108116</v>
      </c>
      <c r="FQ53" s="24">
        <f t="shared" si="180"/>
        <v>407859.68108108116</v>
      </c>
      <c r="FR53" s="24">
        <f t="shared" si="180"/>
        <v>407859.68108108116</v>
      </c>
      <c r="FS53" s="24">
        <f t="shared" si="180"/>
        <v>407859.68108108116</v>
      </c>
      <c r="FT53" s="24">
        <f t="shared" si="180"/>
        <v>407859.68108108116</v>
      </c>
      <c r="FU53" s="24">
        <f t="shared" si="180"/>
        <v>407859.68108108116</v>
      </c>
      <c r="FV53" s="24">
        <f t="shared" si="180"/>
        <v>407859.68108108116</v>
      </c>
      <c r="FW53" s="24">
        <f t="shared" si="180"/>
        <v>407859.68108108116</v>
      </c>
      <c r="FX53" s="24">
        <f t="shared" si="180"/>
        <v>407859.68108108116</v>
      </c>
      <c r="FY53" s="24">
        <f t="shared" si="180"/>
        <v>407859.68108108116</v>
      </c>
      <c r="FZ53" s="24">
        <f t="shared" si="180"/>
        <v>407859.68108108116</v>
      </c>
      <c r="GA53" s="24">
        <f t="shared" si="180"/>
        <v>407859.68108108116</v>
      </c>
      <c r="GB53" s="24">
        <f t="shared" si="180"/>
        <v>407859.68108108116</v>
      </c>
      <c r="GC53" s="24">
        <f t="shared" si="180"/>
        <v>407859.68108108116</v>
      </c>
      <c r="GD53" s="24">
        <f t="shared" si="180"/>
        <v>407859.68108108116</v>
      </c>
      <c r="GE53" s="24">
        <f t="shared" si="180"/>
        <v>407859.68108108116</v>
      </c>
      <c r="GF53" s="24">
        <f t="shared" si="180"/>
        <v>407859.68108108116</v>
      </c>
      <c r="GG53" s="24">
        <f t="shared" si="180"/>
        <v>407859.68108108116</v>
      </c>
      <c r="GH53" s="24">
        <f t="shared" si="180"/>
        <v>407859.68108108116</v>
      </c>
      <c r="GI53" s="24">
        <f t="shared" si="180"/>
        <v>407859.68108108116</v>
      </c>
      <c r="GJ53" s="24">
        <f t="shared" si="180"/>
        <v>407859.68108108116</v>
      </c>
      <c r="GK53" s="24">
        <f t="shared" si="180"/>
        <v>407859.68108108116</v>
      </c>
      <c r="GL53" s="24">
        <f t="shared" si="180"/>
        <v>407859.68108108116</v>
      </c>
      <c r="GM53" s="24">
        <f t="shared" ref="GM53:IH54" si="183">$B53*GM36*GM17</f>
        <v>423546.59189189196</v>
      </c>
      <c r="GN53" s="24">
        <f t="shared" si="183"/>
        <v>423546.59189189196</v>
      </c>
      <c r="GO53" s="24">
        <f t="shared" si="183"/>
        <v>423546.59189189196</v>
      </c>
      <c r="GP53" s="24">
        <f t="shared" si="183"/>
        <v>423546.59189189196</v>
      </c>
      <c r="GQ53" s="24">
        <f t="shared" si="183"/>
        <v>423546.59189189196</v>
      </c>
      <c r="GR53" s="24">
        <f t="shared" si="183"/>
        <v>423546.59189189196</v>
      </c>
      <c r="GS53" s="24">
        <f t="shared" si="183"/>
        <v>423546.59189189196</v>
      </c>
      <c r="GT53" s="24">
        <f t="shared" si="183"/>
        <v>423546.59189189196</v>
      </c>
      <c r="GU53" s="24">
        <f t="shared" si="183"/>
        <v>423546.59189189196</v>
      </c>
      <c r="GV53" s="24">
        <f t="shared" si="183"/>
        <v>423546.59189189196</v>
      </c>
      <c r="GW53" s="24">
        <f t="shared" si="183"/>
        <v>423546.59189189196</v>
      </c>
      <c r="GX53" s="24">
        <f t="shared" si="183"/>
        <v>423546.59189189196</v>
      </c>
      <c r="GY53" s="24">
        <f t="shared" si="183"/>
        <v>423546.59189189196</v>
      </c>
      <c r="GZ53" s="24">
        <f t="shared" si="183"/>
        <v>423546.59189189196</v>
      </c>
      <c r="HA53" s="24">
        <f t="shared" si="183"/>
        <v>423546.59189189196</v>
      </c>
      <c r="HB53" s="24">
        <f t="shared" si="183"/>
        <v>423546.59189189196</v>
      </c>
      <c r="HC53" s="24">
        <f t="shared" si="183"/>
        <v>423546.59189189196</v>
      </c>
      <c r="HD53" s="24">
        <f t="shared" si="183"/>
        <v>423546.59189189196</v>
      </c>
      <c r="HE53" s="24">
        <f t="shared" si="183"/>
        <v>423546.59189189196</v>
      </c>
      <c r="HF53" s="24">
        <f t="shared" si="183"/>
        <v>423546.59189189196</v>
      </c>
      <c r="HG53" s="24">
        <f t="shared" si="183"/>
        <v>423546.59189189196</v>
      </c>
      <c r="HH53" s="24">
        <f t="shared" si="183"/>
        <v>423546.59189189196</v>
      </c>
      <c r="HI53" s="24">
        <f t="shared" si="183"/>
        <v>423546.59189189196</v>
      </c>
      <c r="HJ53" s="24">
        <f t="shared" si="183"/>
        <v>423546.59189189196</v>
      </c>
      <c r="HK53" s="24">
        <f t="shared" si="183"/>
        <v>439233.50270270277</v>
      </c>
      <c r="HL53" s="24">
        <f t="shared" si="183"/>
        <v>439233.50270270277</v>
      </c>
      <c r="HM53" s="24">
        <f t="shared" si="183"/>
        <v>439233.50270270277</v>
      </c>
      <c r="HN53" s="24">
        <f t="shared" si="183"/>
        <v>439233.50270270277</v>
      </c>
      <c r="HO53" s="24">
        <f t="shared" si="183"/>
        <v>439233.50270270277</v>
      </c>
      <c r="HP53" s="24">
        <f t="shared" si="183"/>
        <v>439233.50270270277</v>
      </c>
      <c r="HQ53" s="24">
        <f t="shared" si="183"/>
        <v>439233.50270270277</v>
      </c>
      <c r="HR53" s="24">
        <f t="shared" si="183"/>
        <v>439233.50270270277</v>
      </c>
      <c r="HS53" s="24">
        <f t="shared" si="183"/>
        <v>439233.50270270277</v>
      </c>
      <c r="HT53" s="24">
        <f t="shared" si="183"/>
        <v>439233.50270270277</v>
      </c>
      <c r="HU53" s="24">
        <f t="shared" si="183"/>
        <v>439233.50270270277</v>
      </c>
      <c r="HV53" s="24">
        <f t="shared" si="183"/>
        <v>439233.50270270277</v>
      </c>
      <c r="HW53" s="24">
        <f t="shared" si="183"/>
        <v>439233.50270270277</v>
      </c>
      <c r="HX53" s="24">
        <f t="shared" si="183"/>
        <v>439233.50270270277</v>
      </c>
      <c r="HY53" s="24">
        <f t="shared" si="183"/>
        <v>439233.50270270277</v>
      </c>
      <c r="HZ53" s="24">
        <f t="shared" si="183"/>
        <v>439233.50270270277</v>
      </c>
      <c r="IA53" s="24">
        <f t="shared" si="183"/>
        <v>439233.50270270277</v>
      </c>
      <c r="IB53" s="24">
        <f t="shared" si="183"/>
        <v>439233.50270270277</v>
      </c>
      <c r="IC53" s="24">
        <f t="shared" si="183"/>
        <v>439233.50270270277</v>
      </c>
      <c r="ID53" s="24">
        <f t="shared" si="183"/>
        <v>439233.50270270277</v>
      </c>
      <c r="IE53" s="24">
        <f t="shared" si="183"/>
        <v>439233.50270270277</v>
      </c>
      <c r="IF53" s="24">
        <f t="shared" si="183"/>
        <v>439233.50270270277</v>
      </c>
      <c r="IG53" s="24">
        <f t="shared" si="183"/>
        <v>439233.50270270277</v>
      </c>
      <c r="IH53" s="24">
        <f t="shared" si="183"/>
        <v>439233.50270270277</v>
      </c>
      <c r="II53" s="20">
        <f t="shared" si="170"/>
        <v>76637018.62702699</v>
      </c>
    </row>
    <row r="54" spans="1:243" x14ac:dyDescent="0.45">
      <c r="A54" s="59" t="s">
        <v>95</v>
      </c>
      <c r="B54" s="62">
        <f>'Other Schedule'!G6</f>
        <v>5040</v>
      </c>
      <c r="C54" s="24">
        <f t="shared" si="171"/>
        <v>0</v>
      </c>
      <c r="D54" s="24">
        <f t="shared" si="182"/>
        <v>0</v>
      </c>
      <c r="E54" s="24">
        <f t="shared" si="182"/>
        <v>0</v>
      </c>
      <c r="F54" s="24">
        <f t="shared" si="182"/>
        <v>0</v>
      </c>
      <c r="G54" s="24">
        <f t="shared" si="182"/>
        <v>0</v>
      </c>
      <c r="H54" s="24">
        <f t="shared" si="182"/>
        <v>0</v>
      </c>
      <c r="I54" s="24">
        <f t="shared" si="182"/>
        <v>0</v>
      </c>
      <c r="J54" s="24">
        <f t="shared" si="182"/>
        <v>0</v>
      </c>
      <c r="K54" s="24">
        <f t="shared" si="182"/>
        <v>0</v>
      </c>
      <c r="L54" s="24">
        <f t="shared" si="182"/>
        <v>0</v>
      </c>
      <c r="M54" s="24">
        <f t="shared" si="182"/>
        <v>0</v>
      </c>
      <c r="N54" s="24">
        <f t="shared" si="182"/>
        <v>0</v>
      </c>
      <c r="O54" s="24">
        <f t="shared" si="182"/>
        <v>0</v>
      </c>
      <c r="P54" s="24">
        <f t="shared" si="182"/>
        <v>0</v>
      </c>
      <c r="Q54" s="24">
        <f t="shared" si="182"/>
        <v>0</v>
      </c>
      <c r="R54" s="24">
        <f t="shared" si="182"/>
        <v>0</v>
      </c>
      <c r="S54" s="24">
        <f t="shared" si="182"/>
        <v>0</v>
      </c>
      <c r="T54" s="24">
        <f t="shared" si="182"/>
        <v>0</v>
      </c>
      <c r="U54" s="24">
        <f t="shared" si="182"/>
        <v>0</v>
      </c>
      <c r="V54" s="24">
        <f t="shared" si="182"/>
        <v>0</v>
      </c>
      <c r="W54" s="24">
        <f t="shared" si="182"/>
        <v>0</v>
      </c>
      <c r="X54" s="24">
        <f t="shared" si="182"/>
        <v>0</v>
      </c>
      <c r="Y54" s="24">
        <f t="shared" si="182"/>
        <v>0</v>
      </c>
      <c r="Z54" s="24">
        <f t="shared" si="182"/>
        <v>0</v>
      </c>
      <c r="AA54" s="24">
        <f t="shared" si="182"/>
        <v>226800</v>
      </c>
      <c r="AB54" s="24">
        <f t="shared" si="182"/>
        <v>226800</v>
      </c>
      <c r="AC54" s="24">
        <f t="shared" si="182"/>
        <v>226800</v>
      </c>
      <c r="AD54" s="24">
        <f t="shared" si="182"/>
        <v>226800</v>
      </c>
      <c r="AE54" s="24">
        <f t="shared" si="182"/>
        <v>226800</v>
      </c>
      <c r="AF54" s="24">
        <f t="shared" si="182"/>
        <v>226800</v>
      </c>
      <c r="AG54" s="24">
        <f t="shared" si="182"/>
        <v>226800</v>
      </c>
      <c r="AH54" s="24">
        <f t="shared" si="182"/>
        <v>226800</v>
      </c>
      <c r="AI54" s="24">
        <f t="shared" si="182"/>
        <v>226800</v>
      </c>
      <c r="AJ54" s="24">
        <f t="shared" si="182"/>
        <v>226800</v>
      </c>
      <c r="AK54" s="24">
        <f t="shared" si="182"/>
        <v>226800</v>
      </c>
      <c r="AL54" s="24">
        <f t="shared" si="182"/>
        <v>226800</v>
      </c>
      <c r="AM54" s="24">
        <f t="shared" si="182"/>
        <v>378000</v>
      </c>
      <c r="AN54" s="24">
        <f t="shared" si="182"/>
        <v>378000</v>
      </c>
      <c r="AO54" s="24">
        <f t="shared" si="182"/>
        <v>378000</v>
      </c>
      <c r="AP54" s="24">
        <f t="shared" si="182"/>
        <v>378000</v>
      </c>
      <c r="AQ54" s="24">
        <f t="shared" si="182"/>
        <v>378000</v>
      </c>
      <c r="AR54" s="24">
        <f t="shared" si="182"/>
        <v>378000</v>
      </c>
      <c r="AS54" s="24">
        <f t="shared" si="182"/>
        <v>378000</v>
      </c>
      <c r="AT54" s="24">
        <f t="shared" si="182"/>
        <v>378000</v>
      </c>
      <c r="AU54" s="24">
        <f t="shared" si="182"/>
        <v>378000</v>
      </c>
      <c r="AV54" s="24">
        <f t="shared" si="182"/>
        <v>378000</v>
      </c>
      <c r="AW54" s="24">
        <f t="shared" si="182"/>
        <v>378000</v>
      </c>
      <c r="AX54" s="24">
        <f t="shared" si="182"/>
        <v>378000</v>
      </c>
      <c r="AY54" s="24">
        <f t="shared" si="182"/>
        <v>555660</v>
      </c>
      <c r="AZ54" s="24">
        <f t="shared" si="182"/>
        <v>555660</v>
      </c>
      <c r="BA54" s="24">
        <f t="shared" si="182"/>
        <v>555660</v>
      </c>
      <c r="BB54" s="24">
        <f t="shared" si="182"/>
        <v>555660</v>
      </c>
      <c r="BC54" s="24">
        <f t="shared" si="182"/>
        <v>555660</v>
      </c>
      <c r="BD54" s="24">
        <f t="shared" si="182"/>
        <v>555660</v>
      </c>
      <c r="BE54" s="24">
        <f t="shared" si="182"/>
        <v>555660</v>
      </c>
      <c r="BF54" s="24">
        <f t="shared" si="182"/>
        <v>555660</v>
      </c>
      <c r="BG54" s="24">
        <f t="shared" si="182"/>
        <v>555660</v>
      </c>
      <c r="BH54" s="24">
        <f t="shared" si="182"/>
        <v>555660</v>
      </c>
      <c r="BI54" s="24">
        <f t="shared" si="182"/>
        <v>555660</v>
      </c>
      <c r="BJ54" s="24">
        <f t="shared" si="182"/>
        <v>555660</v>
      </c>
      <c r="BK54" s="24">
        <f t="shared" si="182"/>
        <v>674730</v>
      </c>
      <c r="BL54" s="24">
        <f t="shared" si="182"/>
        <v>674730</v>
      </c>
      <c r="BM54" s="24">
        <f t="shared" si="182"/>
        <v>674730</v>
      </c>
      <c r="BN54" s="24">
        <f t="shared" si="182"/>
        <v>674730</v>
      </c>
      <c r="BO54" s="24">
        <f t="shared" si="182"/>
        <v>674730</v>
      </c>
      <c r="BP54" s="24">
        <f t="shared" si="181"/>
        <v>674730</v>
      </c>
      <c r="BQ54" s="24">
        <f t="shared" si="181"/>
        <v>674730</v>
      </c>
      <c r="BR54" s="24">
        <f t="shared" si="181"/>
        <v>674730</v>
      </c>
      <c r="BS54" s="24">
        <f t="shared" si="181"/>
        <v>674730</v>
      </c>
      <c r="BT54" s="24">
        <f t="shared" si="181"/>
        <v>674730</v>
      </c>
      <c r="BU54" s="24">
        <f t="shared" si="181"/>
        <v>674730</v>
      </c>
      <c r="BV54" s="24">
        <f t="shared" si="181"/>
        <v>674730</v>
      </c>
      <c r="BW54" s="24">
        <f t="shared" si="181"/>
        <v>706860</v>
      </c>
      <c r="BX54" s="24">
        <f t="shared" si="181"/>
        <v>706860</v>
      </c>
      <c r="BY54" s="24">
        <f t="shared" si="181"/>
        <v>706860</v>
      </c>
      <c r="BZ54" s="24">
        <f t="shared" si="181"/>
        <v>706860</v>
      </c>
      <c r="CA54" s="24">
        <f t="shared" si="181"/>
        <v>706860</v>
      </c>
      <c r="CB54" s="24">
        <f t="shared" si="181"/>
        <v>706860</v>
      </c>
      <c r="CC54" s="24">
        <f t="shared" si="181"/>
        <v>706860</v>
      </c>
      <c r="CD54" s="24">
        <f t="shared" si="181"/>
        <v>706860</v>
      </c>
      <c r="CE54" s="24">
        <f t="shared" si="181"/>
        <v>706860</v>
      </c>
      <c r="CF54" s="24">
        <f t="shared" si="181"/>
        <v>706860</v>
      </c>
      <c r="CG54" s="24">
        <f t="shared" si="181"/>
        <v>706860</v>
      </c>
      <c r="CH54" s="24">
        <f t="shared" si="181"/>
        <v>706860</v>
      </c>
      <c r="CI54" s="24">
        <f t="shared" si="181"/>
        <v>706860</v>
      </c>
      <c r="CJ54" s="24">
        <f t="shared" si="181"/>
        <v>706860</v>
      </c>
      <c r="CK54" s="24">
        <f t="shared" si="181"/>
        <v>706860</v>
      </c>
      <c r="CL54" s="24">
        <f t="shared" si="181"/>
        <v>706860</v>
      </c>
      <c r="CM54" s="24">
        <f t="shared" si="181"/>
        <v>706860</v>
      </c>
      <c r="CN54" s="24">
        <f t="shared" si="181"/>
        <v>706860</v>
      </c>
      <c r="CO54" s="24">
        <f t="shared" si="181"/>
        <v>706860</v>
      </c>
      <c r="CP54" s="24">
        <f t="shared" si="181"/>
        <v>706860</v>
      </c>
      <c r="CQ54" s="24">
        <f t="shared" si="181"/>
        <v>706860</v>
      </c>
      <c r="CR54" s="24">
        <f t="shared" si="181"/>
        <v>706860</v>
      </c>
      <c r="CS54" s="24">
        <f t="shared" si="181"/>
        <v>706860</v>
      </c>
      <c r="CT54" s="24">
        <f t="shared" si="181"/>
        <v>706860</v>
      </c>
      <c r="CU54" s="24">
        <f t="shared" si="181"/>
        <v>738990.00000000012</v>
      </c>
      <c r="CV54" s="24">
        <f t="shared" si="181"/>
        <v>738990.00000000012</v>
      </c>
      <c r="CW54" s="24">
        <f t="shared" si="181"/>
        <v>738990.00000000012</v>
      </c>
      <c r="CX54" s="24">
        <f t="shared" si="181"/>
        <v>738990.00000000012</v>
      </c>
      <c r="CY54" s="24">
        <f t="shared" si="181"/>
        <v>738990.00000000012</v>
      </c>
      <c r="CZ54" s="24">
        <f t="shared" si="181"/>
        <v>738990.00000000012</v>
      </c>
      <c r="DA54" s="24">
        <f t="shared" si="181"/>
        <v>738990.00000000012</v>
      </c>
      <c r="DB54" s="24">
        <f t="shared" si="181"/>
        <v>738990.00000000012</v>
      </c>
      <c r="DC54" s="24">
        <f t="shared" si="181"/>
        <v>738990.00000000012</v>
      </c>
      <c r="DD54" s="24">
        <f t="shared" si="181"/>
        <v>738990.00000000012</v>
      </c>
      <c r="DE54" s="24">
        <f t="shared" si="181"/>
        <v>738990.00000000012</v>
      </c>
      <c r="DF54" s="24">
        <f t="shared" si="181"/>
        <v>738990.00000000012</v>
      </c>
      <c r="DG54" s="24">
        <f t="shared" si="181"/>
        <v>738990.00000000012</v>
      </c>
      <c r="DH54" s="24">
        <f t="shared" si="181"/>
        <v>738990.00000000012</v>
      </c>
      <c r="DI54" s="24">
        <f t="shared" si="181"/>
        <v>738990.00000000012</v>
      </c>
      <c r="DJ54" s="24">
        <f t="shared" si="181"/>
        <v>738990.00000000012</v>
      </c>
      <c r="DK54" s="24">
        <f t="shared" si="181"/>
        <v>738990.00000000012</v>
      </c>
      <c r="DL54" s="24">
        <f t="shared" si="181"/>
        <v>738990.00000000012</v>
      </c>
      <c r="DM54" s="24">
        <f t="shared" si="181"/>
        <v>738990.00000000012</v>
      </c>
      <c r="DN54" s="24">
        <f t="shared" si="181"/>
        <v>738990.00000000012</v>
      </c>
      <c r="DO54" s="24">
        <f t="shared" si="181"/>
        <v>738990.00000000012</v>
      </c>
      <c r="DP54" s="24">
        <f t="shared" si="181"/>
        <v>738990.00000000012</v>
      </c>
      <c r="DQ54" s="24">
        <f t="shared" si="181"/>
        <v>738990.00000000012</v>
      </c>
      <c r="DR54" s="24">
        <f t="shared" si="181"/>
        <v>738990.00000000012</v>
      </c>
      <c r="DS54" s="24">
        <f t="shared" si="181"/>
        <v>771120.00000000012</v>
      </c>
      <c r="DT54" s="24">
        <f t="shared" si="181"/>
        <v>771120.00000000012</v>
      </c>
      <c r="DU54" s="24">
        <f t="shared" si="181"/>
        <v>771120.00000000012</v>
      </c>
      <c r="DV54" s="24">
        <f t="shared" si="181"/>
        <v>771120.00000000012</v>
      </c>
      <c r="DW54" s="24">
        <f t="shared" si="181"/>
        <v>771120.00000000012</v>
      </c>
      <c r="DX54" s="24">
        <f t="shared" si="181"/>
        <v>771120.00000000012</v>
      </c>
      <c r="DY54" s="24">
        <f t="shared" si="181"/>
        <v>771120.00000000012</v>
      </c>
      <c r="DZ54" s="24">
        <f t="shared" si="181"/>
        <v>771120.00000000012</v>
      </c>
      <c r="EA54" s="24">
        <f t="shared" si="174"/>
        <v>771120.00000000012</v>
      </c>
      <c r="EB54" s="24">
        <f t="shared" ref="EB54:GM54" si="184">$B54*EB37*EB18</f>
        <v>771120.00000000012</v>
      </c>
      <c r="EC54" s="24">
        <f t="shared" si="184"/>
        <v>771120.00000000012</v>
      </c>
      <c r="ED54" s="24">
        <f t="shared" si="184"/>
        <v>771120.00000000012</v>
      </c>
      <c r="EE54" s="24">
        <f t="shared" si="184"/>
        <v>771120.00000000012</v>
      </c>
      <c r="EF54" s="24">
        <f t="shared" si="184"/>
        <v>771120.00000000012</v>
      </c>
      <c r="EG54" s="24">
        <f t="shared" si="184"/>
        <v>771120.00000000012</v>
      </c>
      <c r="EH54" s="24">
        <f t="shared" si="184"/>
        <v>771120.00000000012</v>
      </c>
      <c r="EI54" s="24">
        <f t="shared" si="184"/>
        <v>771120.00000000012</v>
      </c>
      <c r="EJ54" s="24">
        <f t="shared" si="184"/>
        <v>771120.00000000012</v>
      </c>
      <c r="EK54" s="24">
        <f t="shared" si="184"/>
        <v>771120.00000000012</v>
      </c>
      <c r="EL54" s="24">
        <f t="shared" si="184"/>
        <v>771120.00000000012</v>
      </c>
      <c r="EM54" s="24">
        <f t="shared" si="184"/>
        <v>771120.00000000012</v>
      </c>
      <c r="EN54" s="24">
        <f t="shared" si="184"/>
        <v>771120.00000000012</v>
      </c>
      <c r="EO54" s="24">
        <f t="shared" si="184"/>
        <v>771120.00000000012</v>
      </c>
      <c r="EP54" s="24">
        <f t="shared" si="184"/>
        <v>771120.00000000012</v>
      </c>
      <c r="EQ54" s="24">
        <f t="shared" si="184"/>
        <v>803250.00000000012</v>
      </c>
      <c r="ER54" s="24">
        <f t="shared" si="184"/>
        <v>803250.00000000012</v>
      </c>
      <c r="ES54" s="24">
        <f t="shared" si="184"/>
        <v>803250.00000000012</v>
      </c>
      <c r="ET54" s="24">
        <f t="shared" si="184"/>
        <v>803250.00000000012</v>
      </c>
      <c r="EU54" s="24">
        <f t="shared" si="184"/>
        <v>803250.00000000012</v>
      </c>
      <c r="EV54" s="24">
        <f t="shared" si="184"/>
        <v>803250.00000000012</v>
      </c>
      <c r="EW54" s="24">
        <f t="shared" si="184"/>
        <v>803250.00000000012</v>
      </c>
      <c r="EX54" s="24">
        <f t="shared" si="184"/>
        <v>803250.00000000012</v>
      </c>
      <c r="EY54" s="24">
        <f t="shared" si="184"/>
        <v>803250.00000000012</v>
      </c>
      <c r="EZ54" s="24">
        <f t="shared" si="184"/>
        <v>803250.00000000012</v>
      </c>
      <c r="FA54" s="24">
        <f t="shared" si="184"/>
        <v>803250.00000000012</v>
      </c>
      <c r="FB54" s="24">
        <f t="shared" si="184"/>
        <v>803250.00000000012</v>
      </c>
      <c r="FC54" s="24">
        <f t="shared" si="184"/>
        <v>803250.00000000012</v>
      </c>
      <c r="FD54" s="24">
        <f t="shared" si="184"/>
        <v>803250.00000000012</v>
      </c>
      <c r="FE54" s="24">
        <f t="shared" si="184"/>
        <v>803250.00000000012</v>
      </c>
      <c r="FF54" s="24">
        <f t="shared" si="184"/>
        <v>803250.00000000012</v>
      </c>
      <c r="FG54" s="24">
        <f t="shared" si="184"/>
        <v>803250.00000000012</v>
      </c>
      <c r="FH54" s="24">
        <f t="shared" si="184"/>
        <v>803250.00000000012</v>
      </c>
      <c r="FI54" s="24">
        <f t="shared" si="184"/>
        <v>803250.00000000012</v>
      </c>
      <c r="FJ54" s="24">
        <f t="shared" si="184"/>
        <v>803250.00000000012</v>
      </c>
      <c r="FK54" s="24">
        <f t="shared" si="184"/>
        <v>803250.00000000012</v>
      </c>
      <c r="FL54" s="24">
        <f t="shared" si="184"/>
        <v>803250.00000000012</v>
      </c>
      <c r="FM54" s="24">
        <f t="shared" si="184"/>
        <v>803250.00000000012</v>
      </c>
      <c r="FN54" s="24">
        <f t="shared" si="184"/>
        <v>803250.00000000012</v>
      </c>
      <c r="FO54" s="24">
        <f t="shared" si="184"/>
        <v>835380.00000000012</v>
      </c>
      <c r="FP54" s="24">
        <f t="shared" si="184"/>
        <v>835380.00000000012</v>
      </c>
      <c r="FQ54" s="24">
        <f t="shared" si="184"/>
        <v>835380.00000000012</v>
      </c>
      <c r="FR54" s="24">
        <f t="shared" si="184"/>
        <v>835380.00000000012</v>
      </c>
      <c r="FS54" s="24">
        <f t="shared" si="184"/>
        <v>835380.00000000012</v>
      </c>
      <c r="FT54" s="24">
        <f t="shared" si="184"/>
        <v>835380.00000000012</v>
      </c>
      <c r="FU54" s="24">
        <f t="shared" si="184"/>
        <v>835380.00000000012</v>
      </c>
      <c r="FV54" s="24">
        <f t="shared" si="184"/>
        <v>835380.00000000012</v>
      </c>
      <c r="FW54" s="24">
        <f t="shared" si="184"/>
        <v>835380.00000000012</v>
      </c>
      <c r="FX54" s="24">
        <f t="shared" si="184"/>
        <v>835380.00000000012</v>
      </c>
      <c r="FY54" s="24">
        <f t="shared" si="184"/>
        <v>835380.00000000012</v>
      </c>
      <c r="FZ54" s="24">
        <f t="shared" si="184"/>
        <v>835380.00000000012</v>
      </c>
      <c r="GA54" s="24">
        <f t="shared" si="184"/>
        <v>835380.00000000012</v>
      </c>
      <c r="GB54" s="24">
        <f t="shared" si="184"/>
        <v>835380.00000000012</v>
      </c>
      <c r="GC54" s="24">
        <f t="shared" si="184"/>
        <v>835380.00000000012</v>
      </c>
      <c r="GD54" s="24">
        <f t="shared" si="184"/>
        <v>835380.00000000012</v>
      </c>
      <c r="GE54" s="24">
        <f t="shared" si="184"/>
        <v>835380.00000000012</v>
      </c>
      <c r="GF54" s="24">
        <f t="shared" si="184"/>
        <v>835380.00000000012</v>
      </c>
      <c r="GG54" s="24">
        <f t="shared" si="184"/>
        <v>835380.00000000012</v>
      </c>
      <c r="GH54" s="24">
        <f t="shared" si="184"/>
        <v>835380.00000000012</v>
      </c>
      <c r="GI54" s="24">
        <f t="shared" si="184"/>
        <v>835380.00000000012</v>
      </c>
      <c r="GJ54" s="24">
        <f t="shared" si="184"/>
        <v>835380.00000000012</v>
      </c>
      <c r="GK54" s="24">
        <f t="shared" si="184"/>
        <v>835380.00000000012</v>
      </c>
      <c r="GL54" s="24">
        <f t="shared" si="184"/>
        <v>835380.00000000012</v>
      </c>
      <c r="GM54" s="24">
        <f t="shared" si="184"/>
        <v>867510.00000000023</v>
      </c>
      <c r="GN54" s="24">
        <f t="shared" si="183"/>
        <v>867510.00000000023</v>
      </c>
      <c r="GO54" s="24">
        <f t="shared" si="183"/>
        <v>867510.00000000023</v>
      </c>
      <c r="GP54" s="24">
        <f t="shared" si="183"/>
        <v>867510.00000000023</v>
      </c>
      <c r="GQ54" s="24">
        <f t="shared" si="183"/>
        <v>867510.00000000023</v>
      </c>
      <c r="GR54" s="24">
        <f t="shared" si="183"/>
        <v>867510.00000000023</v>
      </c>
      <c r="GS54" s="24">
        <f t="shared" si="183"/>
        <v>867510.00000000023</v>
      </c>
      <c r="GT54" s="24">
        <f t="shared" si="183"/>
        <v>867510.00000000023</v>
      </c>
      <c r="GU54" s="24">
        <f t="shared" si="183"/>
        <v>867510.00000000023</v>
      </c>
      <c r="GV54" s="24">
        <f t="shared" si="183"/>
        <v>867510.00000000023</v>
      </c>
      <c r="GW54" s="24">
        <f t="shared" si="183"/>
        <v>867510.00000000023</v>
      </c>
      <c r="GX54" s="24">
        <f t="shared" si="183"/>
        <v>867510.00000000023</v>
      </c>
      <c r="GY54" s="24">
        <f t="shared" si="183"/>
        <v>867510.00000000023</v>
      </c>
      <c r="GZ54" s="24">
        <f t="shared" si="183"/>
        <v>867510.00000000023</v>
      </c>
      <c r="HA54" s="24">
        <f t="shared" si="183"/>
        <v>867510.00000000023</v>
      </c>
      <c r="HB54" s="24">
        <f t="shared" si="183"/>
        <v>867510.00000000023</v>
      </c>
      <c r="HC54" s="24">
        <f t="shared" si="183"/>
        <v>867510.00000000023</v>
      </c>
      <c r="HD54" s="24">
        <f t="shared" si="183"/>
        <v>867510.00000000023</v>
      </c>
      <c r="HE54" s="24">
        <f t="shared" si="183"/>
        <v>867510.00000000023</v>
      </c>
      <c r="HF54" s="24">
        <f t="shared" si="183"/>
        <v>867510.00000000023</v>
      </c>
      <c r="HG54" s="24">
        <f t="shared" si="183"/>
        <v>867510.00000000023</v>
      </c>
      <c r="HH54" s="24">
        <f t="shared" si="183"/>
        <v>867510.00000000023</v>
      </c>
      <c r="HI54" s="24">
        <f t="shared" si="183"/>
        <v>867510.00000000023</v>
      </c>
      <c r="HJ54" s="24">
        <f t="shared" si="183"/>
        <v>867510.00000000023</v>
      </c>
      <c r="HK54" s="24">
        <f t="shared" si="183"/>
        <v>899640.00000000012</v>
      </c>
      <c r="HL54" s="24">
        <f t="shared" si="183"/>
        <v>899640.00000000012</v>
      </c>
      <c r="HM54" s="24">
        <f t="shared" si="183"/>
        <v>899640.00000000012</v>
      </c>
      <c r="HN54" s="24">
        <f t="shared" si="183"/>
        <v>899640.00000000012</v>
      </c>
      <c r="HO54" s="24">
        <f t="shared" si="183"/>
        <v>899640.00000000012</v>
      </c>
      <c r="HP54" s="24">
        <f t="shared" si="183"/>
        <v>899640.00000000012</v>
      </c>
      <c r="HQ54" s="24">
        <f t="shared" si="183"/>
        <v>899640.00000000012</v>
      </c>
      <c r="HR54" s="24">
        <f t="shared" si="183"/>
        <v>899640.00000000012</v>
      </c>
      <c r="HS54" s="24">
        <f t="shared" si="183"/>
        <v>899640.00000000012</v>
      </c>
      <c r="HT54" s="24">
        <f t="shared" si="183"/>
        <v>899640.00000000012</v>
      </c>
      <c r="HU54" s="24">
        <f t="shared" si="183"/>
        <v>899640.00000000012</v>
      </c>
      <c r="HV54" s="24">
        <f t="shared" si="183"/>
        <v>899640.00000000012</v>
      </c>
      <c r="HW54" s="24">
        <f t="shared" si="183"/>
        <v>899640.00000000012</v>
      </c>
      <c r="HX54" s="24">
        <f t="shared" si="183"/>
        <v>899640.00000000012</v>
      </c>
      <c r="HY54" s="24">
        <f t="shared" si="183"/>
        <v>899640.00000000012</v>
      </c>
      <c r="HZ54" s="24">
        <f t="shared" si="183"/>
        <v>899640.00000000012</v>
      </c>
      <c r="IA54" s="24">
        <f t="shared" si="183"/>
        <v>899640.00000000012</v>
      </c>
      <c r="IB54" s="24">
        <f t="shared" si="183"/>
        <v>899640.00000000012</v>
      </c>
      <c r="IC54" s="24">
        <f t="shared" si="183"/>
        <v>899640.00000000012</v>
      </c>
      <c r="ID54" s="24">
        <f t="shared" si="183"/>
        <v>899640.00000000012</v>
      </c>
      <c r="IE54" s="24">
        <f t="shared" si="183"/>
        <v>899640.00000000012</v>
      </c>
      <c r="IF54" s="24">
        <f t="shared" si="183"/>
        <v>899640.00000000012</v>
      </c>
      <c r="IG54" s="24">
        <f t="shared" si="183"/>
        <v>899640.00000000012</v>
      </c>
      <c r="IH54" s="24">
        <f t="shared" si="183"/>
        <v>899640.00000000012</v>
      </c>
      <c r="II54" s="20">
        <f t="shared" si="170"/>
        <v>156968280</v>
      </c>
    </row>
    <row r="55" spans="1:243" x14ac:dyDescent="0.45">
      <c r="C55" s="68">
        <f>SUM(C41:C54)</f>
        <v>0</v>
      </c>
      <c r="D55" s="68">
        <f t="shared" ref="D55:BO55" si="185">SUM(D41:D54)</f>
        <v>0</v>
      </c>
      <c r="E55" s="68">
        <f t="shared" si="185"/>
        <v>0</v>
      </c>
      <c r="F55" s="68">
        <f t="shared" si="185"/>
        <v>0</v>
      </c>
      <c r="G55" s="68">
        <f t="shared" si="185"/>
        <v>0</v>
      </c>
      <c r="H55" s="68">
        <f t="shared" si="185"/>
        <v>0</v>
      </c>
      <c r="I55" s="68">
        <f t="shared" si="185"/>
        <v>0</v>
      </c>
      <c r="J55" s="68">
        <f t="shared" si="185"/>
        <v>0</v>
      </c>
      <c r="K55" s="68">
        <f t="shared" si="185"/>
        <v>0</v>
      </c>
      <c r="L55" s="68">
        <f t="shared" si="185"/>
        <v>0</v>
      </c>
      <c r="M55" s="68">
        <f t="shared" si="185"/>
        <v>0</v>
      </c>
      <c r="N55" s="68">
        <f t="shared" si="185"/>
        <v>0</v>
      </c>
      <c r="O55" s="68">
        <f t="shared" si="185"/>
        <v>0</v>
      </c>
      <c r="P55" s="68">
        <f t="shared" si="185"/>
        <v>0</v>
      </c>
      <c r="Q55" s="68">
        <f t="shared" si="185"/>
        <v>0</v>
      </c>
      <c r="R55" s="68">
        <f t="shared" si="185"/>
        <v>0</v>
      </c>
      <c r="S55" s="68">
        <f t="shared" si="185"/>
        <v>0</v>
      </c>
      <c r="T55" s="68">
        <f t="shared" si="185"/>
        <v>0</v>
      </c>
      <c r="U55" s="68">
        <f t="shared" si="185"/>
        <v>0</v>
      </c>
      <c r="V55" s="68">
        <f t="shared" si="185"/>
        <v>0</v>
      </c>
      <c r="W55" s="68">
        <f t="shared" si="185"/>
        <v>0</v>
      </c>
      <c r="X55" s="68">
        <f t="shared" si="185"/>
        <v>0</v>
      </c>
      <c r="Y55" s="68">
        <f t="shared" si="185"/>
        <v>0</v>
      </c>
      <c r="Z55" s="68">
        <f t="shared" si="185"/>
        <v>0</v>
      </c>
      <c r="AA55" s="68">
        <f t="shared" si="185"/>
        <v>5696260.1891351342</v>
      </c>
      <c r="AB55" s="68">
        <f t="shared" si="185"/>
        <v>5696260.1891351342</v>
      </c>
      <c r="AC55" s="68">
        <f t="shared" si="185"/>
        <v>5696260.1891351342</v>
      </c>
      <c r="AD55" s="68">
        <f t="shared" si="185"/>
        <v>5696260.1891351342</v>
      </c>
      <c r="AE55" s="68">
        <f t="shared" si="185"/>
        <v>5696260.1891351342</v>
      </c>
      <c r="AF55" s="68">
        <f t="shared" si="185"/>
        <v>5696260.1891351342</v>
      </c>
      <c r="AG55" s="68">
        <f t="shared" si="185"/>
        <v>5696260.1891351342</v>
      </c>
      <c r="AH55" s="68">
        <f t="shared" si="185"/>
        <v>5696260.1891351342</v>
      </c>
      <c r="AI55" s="68">
        <f t="shared" si="185"/>
        <v>5696260.1891351342</v>
      </c>
      <c r="AJ55" s="68">
        <f t="shared" si="185"/>
        <v>5696260.1891351342</v>
      </c>
      <c r="AK55" s="68">
        <f t="shared" si="185"/>
        <v>5696260.1891351342</v>
      </c>
      <c r="AL55" s="68">
        <f t="shared" si="185"/>
        <v>5696260.1891351342</v>
      </c>
      <c r="AM55" s="68">
        <f t="shared" si="185"/>
        <v>9425366.981891891</v>
      </c>
      <c r="AN55" s="68">
        <f t="shared" si="185"/>
        <v>9425366.981891891</v>
      </c>
      <c r="AO55" s="68">
        <f t="shared" si="185"/>
        <v>9425366.981891891</v>
      </c>
      <c r="AP55" s="68">
        <f t="shared" si="185"/>
        <v>9425366.981891891</v>
      </c>
      <c r="AQ55" s="68">
        <f t="shared" si="185"/>
        <v>9425366.981891891</v>
      </c>
      <c r="AR55" s="68">
        <f t="shared" si="185"/>
        <v>9425366.981891891</v>
      </c>
      <c r="AS55" s="68">
        <f t="shared" si="185"/>
        <v>9425366.981891891</v>
      </c>
      <c r="AT55" s="68">
        <f t="shared" si="185"/>
        <v>9425366.981891891</v>
      </c>
      <c r="AU55" s="68">
        <f t="shared" si="185"/>
        <v>9425366.981891891</v>
      </c>
      <c r="AV55" s="68">
        <f t="shared" si="185"/>
        <v>9425366.981891891</v>
      </c>
      <c r="AW55" s="68">
        <f t="shared" si="185"/>
        <v>9425366.981891891</v>
      </c>
      <c r="AX55" s="68">
        <f t="shared" si="185"/>
        <v>9425366.981891891</v>
      </c>
      <c r="AY55" s="68">
        <f t="shared" si="185"/>
        <v>13812197.463381082</v>
      </c>
      <c r="AZ55" s="68">
        <f t="shared" si="185"/>
        <v>13812197.463381082</v>
      </c>
      <c r="BA55" s="68">
        <f t="shared" si="185"/>
        <v>13812197.463381082</v>
      </c>
      <c r="BB55" s="68">
        <f t="shared" si="185"/>
        <v>13812197.463381082</v>
      </c>
      <c r="BC55" s="68">
        <f t="shared" si="185"/>
        <v>13812197.463381082</v>
      </c>
      <c r="BD55" s="68">
        <f t="shared" si="185"/>
        <v>13812197.463381082</v>
      </c>
      <c r="BE55" s="68">
        <f t="shared" si="185"/>
        <v>13812197.463381082</v>
      </c>
      <c r="BF55" s="68">
        <f t="shared" si="185"/>
        <v>13812197.463381082</v>
      </c>
      <c r="BG55" s="68">
        <f t="shared" si="185"/>
        <v>13812197.463381082</v>
      </c>
      <c r="BH55" s="68">
        <f t="shared" si="185"/>
        <v>13812197.463381082</v>
      </c>
      <c r="BI55" s="68">
        <f t="shared" si="185"/>
        <v>13812197.463381082</v>
      </c>
      <c r="BJ55" s="68">
        <f t="shared" si="185"/>
        <v>13812197.463381082</v>
      </c>
      <c r="BK55" s="68">
        <f t="shared" si="185"/>
        <v>16748869.062677026</v>
      </c>
      <c r="BL55" s="68">
        <f t="shared" si="185"/>
        <v>16748869.062677026</v>
      </c>
      <c r="BM55" s="68">
        <f t="shared" si="185"/>
        <v>16748869.062677026</v>
      </c>
      <c r="BN55" s="68">
        <f t="shared" si="185"/>
        <v>16748869.062677026</v>
      </c>
      <c r="BO55" s="68">
        <f t="shared" si="185"/>
        <v>16748869.062677026</v>
      </c>
      <c r="BP55" s="68">
        <f t="shared" ref="BP55:EA55" si="186">SUM(BP41:BP54)</f>
        <v>16748869.062677026</v>
      </c>
      <c r="BQ55" s="68">
        <f t="shared" si="186"/>
        <v>16748869.062677026</v>
      </c>
      <c r="BR55" s="68">
        <f t="shared" si="186"/>
        <v>16748869.062677026</v>
      </c>
      <c r="BS55" s="68">
        <f t="shared" si="186"/>
        <v>16748869.062677026</v>
      </c>
      <c r="BT55" s="68">
        <f t="shared" si="186"/>
        <v>16748869.062677026</v>
      </c>
      <c r="BU55" s="68">
        <f t="shared" si="186"/>
        <v>16748869.062677026</v>
      </c>
      <c r="BV55" s="68">
        <f t="shared" si="186"/>
        <v>16748869.062677026</v>
      </c>
      <c r="BW55" s="68">
        <f t="shared" si="186"/>
        <v>17546434.25613784</v>
      </c>
      <c r="BX55" s="68">
        <f t="shared" si="186"/>
        <v>17546434.25613784</v>
      </c>
      <c r="BY55" s="68">
        <f t="shared" si="186"/>
        <v>17546434.25613784</v>
      </c>
      <c r="BZ55" s="68">
        <f t="shared" si="186"/>
        <v>17546434.25613784</v>
      </c>
      <c r="CA55" s="68">
        <f t="shared" si="186"/>
        <v>17546434.25613784</v>
      </c>
      <c r="CB55" s="68">
        <f t="shared" si="186"/>
        <v>17546434.25613784</v>
      </c>
      <c r="CC55" s="68">
        <f t="shared" si="186"/>
        <v>17546434.25613784</v>
      </c>
      <c r="CD55" s="68">
        <f t="shared" si="186"/>
        <v>17546434.25613784</v>
      </c>
      <c r="CE55" s="68">
        <f t="shared" si="186"/>
        <v>17546434.25613784</v>
      </c>
      <c r="CF55" s="68">
        <f t="shared" si="186"/>
        <v>17546434.25613784</v>
      </c>
      <c r="CG55" s="68">
        <f t="shared" si="186"/>
        <v>17546434.25613784</v>
      </c>
      <c r="CH55" s="68">
        <f t="shared" si="186"/>
        <v>17546434.25613784</v>
      </c>
      <c r="CI55" s="68">
        <f t="shared" si="186"/>
        <v>17546434.25613784</v>
      </c>
      <c r="CJ55" s="68">
        <f t="shared" si="186"/>
        <v>17546434.25613784</v>
      </c>
      <c r="CK55" s="68">
        <f t="shared" si="186"/>
        <v>17546434.25613784</v>
      </c>
      <c r="CL55" s="68">
        <f t="shared" si="186"/>
        <v>17546434.25613784</v>
      </c>
      <c r="CM55" s="68">
        <f t="shared" si="186"/>
        <v>17546434.25613784</v>
      </c>
      <c r="CN55" s="68">
        <f t="shared" si="186"/>
        <v>17546434.25613784</v>
      </c>
      <c r="CO55" s="68">
        <f t="shared" si="186"/>
        <v>17546434.25613784</v>
      </c>
      <c r="CP55" s="68">
        <f t="shared" si="186"/>
        <v>17546434.25613784</v>
      </c>
      <c r="CQ55" s="68">
        <f t="shared" si="186"/>
        <v>17546434.25613784</v>
      </c>
      <c r="CR55" s="68">
        <f t="shared" si="186"/>
        <v>17546434.25613784</v>
      </c>
      <c r="CS55" s="68">
        <f t="shared" si="186"/>
        <v>17546434.25613784</v>
      </c>
      <c r="CT55" s="68">
        <f t="shared" si="186"/>
        <v>17546434.25613784</v>
      </c>
      <c r="CU55" s="68">
        <f t="shared" si="186"/>
        <v>18343999.449598655</v>
      </c>
      <c r="CV55" s="68">
        <f t="shared" si="186"/>
        <v>18343999.449598655</v>
      </c>
      <c r="CW55" s="68">
        <f t="shared" si="186"/>
        <v>18343999.449598655</v>
      </c>
      <c r="CX55" s="68">
        <f t="shared" si="186"/>
        <v>18343999.449598655</v>
      </c>
      <c r="CY55" s="68">
        <f t="shared" si="186"/>
        <v>18343999.449598655</v>
      </c>
      <c r="CZ55" s="68">
        <f t="shared" si="186"/>
        <v>18343999.449598655</v>
      </c>
      <c r="DA55" s="68">
        <f t="shared" si="186"/>
        <v>18343999.449598655</v>
      </c>
      <c r="DB55" s="68">
        <f t="shared" si="186"/>
        <v>18343999.449598655</v>
      </c>
      <c r="DC55" s="68">
        <f t="shared" si="186"/>
        <v>18343999.449598655</v>
      </c>
      <c r="DD55" s="68">
        <f t="shared" si="186"/>
        <v>18343999.449598655</v>
      </c>
      <c r="DE55" s="68">
        <f t="shared" si="186"/>
        <v>18343999.449598655</v>
      </c>
      <c r="DF55" s="68">
        <f t="shared" si="186"/>
        <v>18343999.449598655</v>
      </c>
      <c r="DG55" s="68">
        <f t="shared" si="186"/>
        <v>18343999.449598655</v>
      </c>
      <c r="DH55" s="68">
        <f t="shared" si="186"/>
        <v>18343999.449598655</v>
      </c>
      <c r="DI55" s="68">
        <f t="shared" si="186"/>
        <v>18343999.449598655</v>
      </c>
      <c r="DJ55" s="68">
        <f t="shared" si="186"/>
        <v>18343999.449598655</v>
      </c>
      <c r="DK55" s="68">
        <f t="shared" si="186"/>
        <v>18343999.449598655</v>
      </c>
      <c r="DL55" s="68">
        <f t="shared" si="186"/>
        <v>18343999.449598655</v>
      </c>
      <c r="DM55" s="68">
        <f t="shared" si="186"/>
        <v>18343999.449598655</v>
      </c>
      <c r="DN55" s="68">
        <f t="shared" si="186"/>
        <v>18343999.449598655</v>
      </c>
      <c r="DO55" s="68">
        <f t="shared" si="186"/>
        <v>18343999.449598655</v>
      </c>
      <c r="DP55" s="68">
        <f t="shared" si="186"/>
        <v>18343999.449598655</v>
      </c>
      <c r="DQ55" s="68">
        <f t="shared" si="186"/>
        <v>18343999.449598655</v>
      </c>
      <c r="DR55" s="68">
        <f t="shared" si="186"/>
        <v>18343999.449598655</v>
      </c>
      <c r="DS55" s="68">
        <f t="shared" si="186"/>
        <v>19141564.643059466</v>
      </c>
      <c r="DT55" s="68">
        <f t="shared" si="186"/>
        <v>19141564.643059466</v>
      </c>
      <c r="DU55" s="68">
        <f t="shared" si="186"/>
        <v>19141564.643059466</v>
      </c>
      <c r="DV55" s="68">
        <f t="shared" si="186"/>
        <v>19141564.643059466</v>
      </c>
      <c r="DW55" s="68">
        <f t="shared" si="186"/>
        <v>19141564.643059466</v>
      </c>
      <c r="DX55" s="68">
        <f t="shared" si="186"/>
        <v>19141564.643059466</v>
      </c>
      <c r="DY55" s="68">
        <f t="shared" si="186"/>
        <v>19141564.643059466</v>
      </c>
      <c r="DZ55" s="68">
        <f t="shared" si="186"/>
        <v>19141564.643059466</v>
      </c>
      <c r="EA55" s="68">
        <f t="shared" si="186"/>
        <v>19141564.643059466</v>
      </c>
      <c r="EB55" s="68">
        <f t="shared" ref="EB55:GI55" si="187">SUM(EB41:EB54)</f>
        <v>19141564.643059466</v>
      </c>
      <c r="EC55" s="68">
        <f t="shared" si="187"/>
        <v>19141564.643059466</v>
      </c>
      <c r="ED55" s="68">
        <f t="shared" si="187"/>
        <v>19141564.643059466</v>
      </c>
      <c r="EE55" s="68">
        <f t="shared" si="187"/>
        <v>19141564.643059466</v>
      </c>
      <c r="EF55" s="68">
        <f t="shared" si="187"/>
        <v>19141564.643059466</v>
      </c>
      <c r="EG55" s="68">
        <f t="shared" si="187"/>
        <v>19141564.643059466</v>
      </c>
      <c r="EH55" s="68">
        <f t="shared" si="187"/>
        <v>19141564.643059466</v>
      </c>
      <c r="EI55" s="68">
        <f t="shared" si="187"/>
        <v>19141564.643059466</v>
      </c>
      <c r="EJ55" s="68">
        <f t="shared" si="187"/>
        <v>19141564.643059466</v>
      </c>
      <c r="EK55" s="68">
        <f t="shared" si="187"/>
        <v>19141564.643059466</v>
      </c>
      <c r="EL55" s="68">
        <f t="shared" si="187"/>
        <v>19141564.643059466</v>
      </c>
      <c r="EM55" s="68">
        <f t="shared" si="187"/>
        <v>19141564.643059466</v>
      </c>
      <c r="EN55" s="68">
        <f t="shared" si="187"/>
        <v>19141564.643059466</v>
      </c>
      <c r="EO55" s="68">
        <f t="shared" si="187"/>
        <v>19141564.643059466</v>
      </c>
      <c r="EP55" s="68">
        <f t="shared" si="187"/>
        <v>19141564.643059466</v>
      </c>
      <c r="EQ55" s="68">
        <f t="shared" si="187"/>
        <v>19939129.836520277</v>
      </c>
      <c r="ER55" s="68">
        <f t="shared" si="187"/>
        <v>19939129.836520277</v>
      </c>
      <c r="ES55" s="68">
        <f t="shared" si="187"/>
        <v>19939129.836520277</v>
      </c>
      <c r="ET55" s="68">
        <f t="shared" si="187"/>
        <v>19939129.836520277</v>
      </c>
      <c r="EU55" s="68">
        <f t="shared" si="187"/>
        <v>19939129.836520277</v>
      </c>
      <c r="EV55" s="68">
        <f t="shared" si="187"/>
        <v>19939129.836520277</v>
      </c>
      <c r="EW55" s="68">
        <f t="shared" si="187"/>
        <v>19939129.836520277</v>
      </c>
      <c r="EX55" s="68">
        <f t="shared" si="187"/>
        <v>19939129.836520277</v>
      </c>
      <c r="EY55" s="68">
        <f t="shared" si="187"/>
        <v>19939129.836520277</v>
      </c>
      <c r="EZ55" s="68">
        <f t="shared" si="187"/>
        <v>19939129.836520277</v>
      </c>
      <c r="FA55" s="68">
        <f t="shared" si="187"/>
        <v>19939129.836520277</v>
      </c>
      <c r="FB55" s="68">
        <f t="shared" si="187"/>
        <v>19939129.836520277</v>
      </c>
      <c r="FC55" s="68">
        <f t="shared" si="187"/>
        <v>19939129.836520277</v>
      </c>
      <c r="FD55" s="68">
        <f t="shared" si="187"/>
        <v>19939129.836520277</v>
      </c>
      <c r="FE55" s="68">
        <f t="shared" si="187"/>
        <v>19939129.836520277</v>
      </c>
      <c r="FF55" s="68">
        <f t="shared" si="187"/>
        <v>19939129.836520277</v>
      </c>
      <c r="FG55" s="68">
        <f t="shared" si="187"/>
        <v>19939129.836520277</v>
      </c>
      <c r="FH55" s="68">
        <f t="shared" si="187"/>
        <v>19939129.836520277</v>
      </c>
      <c r="FI55" s="68">
        <f t="shared" si="187"/>
        <v>19939129.836520277</v>
      </c>
      <c r="FJ55" s="68">
        <f t="shared" si="187"/>
        <v>19939129.836520277</v>
      </c>
      <c r="FK55" s="68">
        <f t="shared" si="187"/>
        <v>19939129.836520277</v>
      </c>
      <c r="FL55" s="68">
        <f t="shared" si="187"/>
        <v>19939129.836520277</v>
      </c>
      <c r="FM55" s="68">
        <f t="shared" si="187"/>
        <v>19939129.836520277</v>
      </c>
      <c r="FN55" s="68">
        <f t="shared" si="187"/>
        <v>19939129.836520277</v>
      </c>
      <c r="FO55" s="68">
        <f t="shared" si="187"/>
        <v>20736695.029981088</v>
      </c>
      <c r="FP55" s="68">
        <f t="shared" si="187"/>
        <v>20736695.029981088</v>
      </c>
      <c r="FQ55" s="68">
        <f t="shared" si="187"/>
        <v>20736695.029981088</v>
      </c>
      <c r="FR55" s="68">
        <f t="shared" si="187"/>
        <v>20736695.029981088</v>
      </c>
      <c r="FS55" s="68">
        <f t="shared" si="187"/>
        <v>20736695.029981088</v>
      </c>
      <c r="FT55" s="68">
        <f t="shared" si="187"/>
        <v>20736695.029981088</v>
      </c>
      <c r="FU55" s="68">
        <f t="shared" si="187"/>
        <v>20736695.029981088</v>
      </c>
      <c r="FV55" s="68">
        <f t="shared" si="187"/>
        <v>20736695.029981088</v>
      </c>
      <c r="FW55" s="68">
        <f t="shared" si="187"/>
        <v>20736695.029981088</v>
      </c>
      <c r="FX55" s="68">
        <f t="shared" si="187"/>
        <v>20736695.029981088</v>
      </c>
      <c r="FY55" s="68">
        <f t="shared" si="187"/>
        <v>20736695.029981088</v>
      </c>
      <c r="FZ55" s="68">
        <f t="shared" si="187"/>
        <v>20736695.029981088</v>
      </c>
      <c r="GA55" s="68">
        <f t="shared" si="187"/>
        <v>20736695.029981088</v>
      </c>
      <c r="GB55" s="68">
        <f t="shared" si="187"/>
        <v>20736695.029981088</v>
      </c>
      <c r="GC55" s="68">
        <f t="shared" si="187"/>
        <v>20736695.029981088</v>
      </c>
      <c r="GD55" s="68">
        <f t="shared" si="187"/>
        <v>20736695.029981088</v>
      </c>
      <c r="GE55" s="68">
        <f t="shared" si="187"/>
        <v>20736695.029981088</v>
      </c>
      <c r="GF55" s="68">
        <f t="shared" si="187"/>
        <v>20736695.029981088</v>
      </c>
      <c r="GG55" s="68">
        <f t="shared" si="187"/>
        <v>20736695.029981088</v>
      </c>
      <c r="GH55" s="68">
        <f t="shared" si="187"/>
        <v>20736695.029981088</v>
      </c>
      <c r="GI55" s="68">
        <f t="shared" si="187"/>
        <v>20736695.029981088</v>
      </c>
      <c r="GJ55" s="68">
        <f t="shared" ref="GJ55:IH55" si="188">SUM(GJ41:GJ54)</f>
        <v>20736695.029981088</v>
      </c>
      <c r="GK55" s="68">
        <f t="shared" si="188"/>
        <v>20736695.029981088</v>
      </c>
      <c r="GL55" s="68">
        <f t="shared" si="188"/>
        <v>20736695.029981088</v>
      </c>
      <c r="GM55" s="68">
        <f t="shared" si="188"/>
        <v>21534260.223441899</v>
      </c>
      <c r="GN55" s="68">
        <f t="shared" si="188"/>
        <v>21534260.223441899</v>
      </c>
      <c r="GO55" s="68">
        <f t="shared" si="188"/>
        <v>21534260.223441899</v>
      </c>
      <c r="GP55" s="68">
        <f t="shared" si="188"/>
        <v>21534260.223441899</v>
      </c>
      <c r="GQ55" s="68">
        <f t="shared" si="188"/>
        <v>21534260.223441899</v>
      </c>
      <c r="GR55" s="68">
        <f t="shared" si="188"/>
        <v>21534260.223441899</v>
      </c>
      <c r="GS55" s="68">
        <f t="shared" si="188"/>
        <v>21534260.223441899</v>
      </c>
      <c r="GT55" s="68">
        <f t="shared" si="188"/>
        <v>21534260.223441899</v>
      </c>
      <c r="GU55" s="68">
        <f t="shared" si="188"/>
        <v>21534260.223441899</v>
      </c>
      <c r="GV55" s="68">
        <f t="shared" si="188"/>
        <v>21534260.223441899</v>
      </c>
      <c r="GW55" s="68">
        <f t="shared" si="188"/>
        <v>21534260.223441899</v>
      </c>
      <c r="GX55" s="68">
        <f t="shared" si="188"/>
        <v>21534260.223441899</v>
      </c>
      <c r="GY55" s="68">
        <f t="shared" si="188"/>
        <v>21534260.223441899</v>
      </c>
      <c r="GZ55" s="68">
        <f t="shared" si="188"/>
        <v>21534260.223441899</v>
      </c>
      <c r="HA55" s="68">
        <f t="shared" si="188"/>
        <v>21534260.223441899</v>
      </c>
      <c r="HB55" s="68">
        <f t="shared" si="188"/>
        <v>21534260.223441899</v>
      </c>
      <c r="HC55" s="68">
        <f t="shared" si="188"/>
        <v>21534260.223441899</v>
      </c>
      <c r="HD55" s="68">
        <f t="shared" si="188"/>
        <v>21534260.223441899</v>
      </c>
      <c r="HE55" s="68">
        <f t="shared" si="188"/>
        <v>21534260.223441899</v>
      </c>
      <c r="HF55" s="68">
        <f t="shared" si="188"/>
        <v>21534260.223441899</v>
      </c>
      <c r="HG55" s="68">
        <f t="shared" si="188"/>
        <v>21534260.223441899</v>
      </c>
      <c r="HH55" s="68">
        <f t="shared" si="188"/>
        <v>21534260.223441899</v>
      </c>
      <c r="HI55" s="68">
        <f t="shared" si="188"/>
        <v>21534260.223441899</v>
      </c>
      <c r="HJ55" s="68">
        <f t="shared" si="188"/>
        <v>21534260.223441899</v>
      </c>
      <c r="HK55" s="68">
        <f t="shared" si="188"/>
        <v>22331825.416902706</v>
      </c>
      <c r="HL55" s="68">
        <f t="shared" si="188"/>
        <v>22331825.416902706</v>
      </c>
      <c r="HM55" s="68">
        <f t="shared" si="188"/>
        <v>22331825.416902706</v>
      </c>
      <c r="HN55" s="68">
        <f t="shared" si="188"/>
        <v>22331825.416902706</v>
      </c>
      <c r="HO55" s="68">
        <f t="shared" si="188"/>
        <v>22331825.416902706</v>
      </c>
      <c r="HP55" s="68">
        <f t="shared" si="188"/>
        <v>22331825.416902706</v>
      </c>
      <c r="HQ55" s="68">
        <f t="shared" si="188"/>
        <v>22331825.416902706</v>
      </c>
      <c r="HR55" s="68">
        <f t="shared" si="188"/>
        <v>22331825.416902706</v>
      </c>
      <c r="HS55" s="68">
        <f t="shared" si="188"/>
        <v>22331825.416902706</v>
      </c>
      <c r="HT55" s="68">
        <f t="shared" si="188"/>
        <v>22331825.416902706</v>
      </c>
      <c r="HU55" s="68">
        <f t="shared" si="188"/>
        <v>22331825.416902706</v>
      </c>
      <c r="HV55" s="68">
        <f t="shared" si="188"/>
        <v>22331825.416902706</v>
      </c>
      <c r="HW55" s="68">
        <f t="shared" si="188"/>
        <v>22331825.416902706</v>
      </c>
      <c r="HX55" s="68">
        <f t="shared" si="188"/>
        <v>22331825.416902706</v>
      </c>
      <c r="HY55" s="68">
        <f t="shared" si="188"/>
        <v>22331825.416902706</v>
      </c>
      <c r="HZ55" s="68">
        <f t="shared" si="188"/>
        <v>22331825.416902706</v>
      </c>
      <c r="IA55" s="68">
        <f t="shared" si="188"/>
        <v>22331825.416902706</v>
      </c>
      <c r="IB55" s="68">
        <f t="shared" si="188"/>
        <v>22331825.416902706</v>
      </c>
      <c r="IC55" s="68">
        <f t="shared" si="188"/>
        <v>22331825.416902706</v>
      </c>
      <c r="ID55" s="68">
        <f t="shared" si="188"/>
        <v>22331825.416902706</v>
      </c>
      <c r="IE55" s="68">
        <f t="shared" si="188"/>
        <v>22331825.416902706</v>
      </c>
      <c r="IF55" s="68">
        <f t="shared" si="188"/>
        <v>22331825.416902706</v>
      </c>
      <c r="IG55" s="68">
        <f t="shared" si="188"/>
        <v>22331825.416902706</v>
      </c>
      <c r="IH55" s="68">
        <f t="shared" si="188"/>
        <v>22331825.416902706</v>
      </c>
      <c r="II55" s="68">
        <f>SUM(C55:IH55)</f>
        <v>3897966136.9004264</v>
      </c>
    </row>
    <row r="56" spans="1:243" x14ac:dyDescent="0.45">
      <c r="C56" s="887">
        <f>SUM(C55:N55)</f>
        <v>0</v>
      </c>
      <c r="D56" s="887"/>
      <c r="E56" s="887"/>
      <c r="F56" s="887"/>
      <c r="G56" s="887"/>
      <c r="H56" s="887"/>
      <c r="I56" s="887"/>
      <c r="J56" s="887"/>
      <c r="K56" s="887"/>
      <c r="L56" s="887"/>
      <c r="M56" s="887"/>
      <c r="N56" s="887"/>
      <c r="O56" s="887">
        <f>SUM(O55:Z55)</f>
        <v>0</v>
      </c>
      <c r="P56" s="887"/>
      <c r="Q56" s="887"/>
      <c r="R56" s="887"/>
      <c r="S56" s="887"/>
      <c r="T56" s="887"/>
      <c r="U56" s="887"/>
      <c r="V56" s="887"/>
      <c r="W56" s="887"/>
      <c r="X56" s="887"/>
      <c r="Y56" s="887"/>
      <c r="Z56" s="887"/>
      <c r="AA56" s="887">
        <f>SUM(AA55:AL55)</f>
        <v>68355122.269621611</v>
      </c>
      <c r="AB56" s="887"/>
      <c r="AC56" s="887"/>
      <c r="AD56" s="887"/>
      <c r="AE56" s="887"/>
      <c r="AF56" s="887"/>
      <c r="AG56" s="887"/>
      <c r="AH56" s="887"/>
      <c r="AI56" s="887"/>
      <c r="AJ56" s="887"/>
      <c r="AK56" s="887"/>
      <c r="AL56" s="887"/>
      <c r="AM56" s="887">
        <f>SUM(AM55:AX55)</f>
        <v>113104403.78270267</v>
      </c>
      <c r="AN56" s="887"/>
      <c r="AO56" s="887"/>
      <c r="AP56" s="887"/>
      <c r="AQ56" s="887"/>
      <c r="AR56" s="887"/>
      <c r="AS56" s="887"/>
      <c r="AT56" s="887"/>
      <c r="AU56" s="887"/>
      <c r="AV56" s="887"/>
      <c r="AW56" s="887"/>
      <c r="AX56" s="887"/>
      <c r="AY56" s="887">
        <f>SUM(AY55:BJ55)</f>
        <v>165746369.56057298</v>
      </c>
      <c r="AZ56" s="887"/>
      <c r="BA56" s="887"/>
      <c r="BB56" s="887"/>
      <c r="BC56" s="887"/>
      <c r="BD56" s="887"/>
      <c r="BE56" s="887"/>
      <c r="BF56" s="887"/>
      <c r="BG56" s="887"/>
      <c r="BH56" s="887"/>
      <c r="BI56" s="887"/>
      <c r="BJ56" s="887"/>
      <c r="BK56" s="887">
        <f>SUM(BK55:BV55)</f>
        <v>200986428.75212431</v>
      </c>
      <c r="BL56" s="887"/>
      <c r="BM56" s="887"/>
      <c r="BN56" s="887"/>
      <c r="BO56" s="887"/>
      <c r="BP56" s="887"/>
      <c r="BQ56" s="887"/>
      <c r="BR56" s="887"/>
      <c r="BS56" s="887"/>
      <c r="BT56" s="887"/>
      <c r="BU56" s="887"/>
      <c r="BV56" s="887"/>
      <c r="BW56" s="887">
        <f>SUM(BW55:CH55)</f>
        <v>210557211.07365415</v>
      </c>
      <c r="BX56" s="887"/>
      <c r="BY56" s="887"/>
      <c r="BZ56" s="887"/>
      <c r="CA56" s="887"/>
      <c r="CB56" s="887"/>
      <c r="CC56" s="887"/>
      <c r="CD56" s="887"/>
      <c r="CE56" s="887"/>
      <c r="CF56" s="887"/>
      <c r="CG56" s="887"/>
      <c r="CH56" s="887"/>
      <c r="CI56" s="887">
        <f>SUM(CI55:CT55)</f>
        <v>210557211.07365415</v>
      </c>
      <c r="CJ56" s="887"/>
      <c r="CK56" s="887"/>
      <c r="CL56" s="887"/>
      <c r="CM56" s="887"/>
      <c r="CN56" s="887"/>
      <c r="CO56" s="887"/>
      <c r="CP56" s="887"/>
      <c r="CQ56" s="887"/>
      <c r="CR56" s="887"/>
      <c r="CS56" s="887"/>
      <c r="CT56" s="887"/>
      <c r="CU56" s="887">
        <f>SUM(CU55:DF55)</f>
        <v>220127993.39518392</v>
      </c>
      <c r="CV56" s="887"/>
      <c r="CW56" s="887"/>
      <c r="CX56" s="887"/>
      <c r="CY56" s="887"/>
      <c r="CZ56" s="887"/>
      <c r="DA56" s="887"/>
      <c r="DB56" s="887"/>
      <c r="DC56" s="887"/>
      <c r="DD56" s="887"/>
      <c r="DE56" s="887"/>
      <c r="DF56" s="887"/>
      <c r="DG56" s="887">
        <f>SUM(DG55:DR55)</f>
        <v>220127993.39518392</v>
      </c>
      <c r="DH56" s="887"/>
      <c r="DI56" s="887"/>
      <c r="DJ56" s="887"/>
      <c r="DK56" s="887"/>
      <c r="DL56" s="887"/>
      <c r="DM56" s="887"/>
      <c r="DN56" s="887"/>
      <c r="DO56" s="887"/>
      <c r="DP56" s="887"/>
      <c r="DQ56" s="887"/>
      <c r="DR56" s="887"/>
      <c r="DS56" s="887">
        <f>SUM(DS55:ED55)</f>
        <v>229698775.71671358</v>
      </c>
      <c r="DT56" s="887"/>
      <c r="DU56" s="887"/>
      <c r="DV56" s="887"/>
      <c r="DW56" s="887"/>
      <c r="DX56" s="887"/>
      <c r="DY56" s="887"/>
      <c r="DZ56" s="887"/>
      <c r="EA56" s="887"/>
      <c r="EB56" s="887"/>
      <c r="EC56" s="887"/>
      <c r="ED56" s="887"/>
      <c r="EE56" s="887">
        <f>SUM(EE55:EP55)</f>
        <v>229698775.71671358</v>
      </c>
      <c r="EF56" s="887"/>
      <c r="EG56" s="887"/>
      <c r="EH56" s="887"/>
      <c r="EI56" s="887"/>
      <c r="EJ56" s="887"/>
      <c r="EK56" s="887"/>
      <c r="EL56" s="887"/>
      <c r="EM56" s="887"/>
      <c r="EN56" s="887"/>
      <c r="EO56" s="887"/>
      <c r="EP56" s="887"/>
      <c r="EQ56" s="887">
        <f>SUM(EQ55:FB55)</f>
        <v>239269558.03824338</v>
      </c>
      <c r="ER56" s="887"/>
      <c r="ES56" s="887"/>
      <c r="ET56" s="887"/>
      <c r="EU56" s="887"/>
      <c r="EV56" s="887"/>
      <c r="EW56" s="887"/>
      <c r="EX56" s="887"/>
      <c r="EY56" s="887"/>
      <c r="EZ56" s="887"/>
      <c r="FA56" s="887"/>
      <c r="FB56" s="887"/>
      <c r="FC56" s="887">
        <f>SUM(FC55:FN55)</f>
        <v>239269558.03824338</v>
      </c>
      <c r="FD56" s="887"/>
      <c r="FE56" s="887"/>
      <c r="FF56" s="887"/>
      <c r="FG56" s="887"/>
      <c r="FH56" s="887"/>
      <c r="FI56" s="887"/>
      <c r="FJ56" s="887"/>
      <c r="FK56" s="887"/>
      <c r="FL56" s="887"/>
      <c r="FM56" s="887"/>
      <c r="FN56" s="887"/>
      <c r="FO56" s="887">
        <f>SUM(FO55:FZ55)</f>
        <v>248840340.35977301</v>
      </c>
      <c r="FP56" s="887"/>
      <c r="FQ56" s="887"/>
      <c r="FR56" s="887"/>
      <c r="FS56" s="887"/>
      <c r="FT56" s="887"/>
      <c r="FU56" s="887"/>
      <c r="FV56" s="887"/>
      <c r="FW56" s="887"/>
      <c r="FX56" s="887"/>
      <c r="FY56" s="887"/>
      <c r="FZ56" s="887"/>
      <c r="GA56" s="887">
        <f>SUM(GA55:GL55)</f>
        <v>248840340.35977301</v>
      </c>
      <c r="GB56" s="887"/>
      <c r="GC56" s="887"/>
      <c r="GD56" s="887"/>
      <c r="GE56" s="887"/>
      <c r="GF56" s="887"/>
      <c r="GG56" s="887"/>
      <c r="GH56" s="887"/>
      <c r="GI56" s="887"/>
      <c r="GJ56" s="887"/>
      <c r="GK56" s="887"/>
      <c r="GL56" s="887"/>
      <c r="GM56" s="887">
        <f>SUM(GM55:GX55)</f>
        <v>258411122.68130279</v>
      </c>
      <c r="GN56" s="887"/>
      <c r="GO56" s="887"/>
      <c r="GP56" s="887"/>
      <c r="GQ56" s="887"/>
      <c r="GR56" s="887"/>
      <c r="GS56" s="887"/>
      <c r="GT56" s="887"/>
      <c r="GU56" s="887"/>
      <c r="GV56" s="887"/>
      <c r="GW56" s="887"/>
      <c r="GX56" s="887"/>
      <c r="GY56" s="887">
        <f>SUM(GY55:HJ55)</f>
        <v>258411122.68130279</v>
      </c>
      <c r="GZ56" s="887"/>
      <c r="HA56" s="887"/>
      <c r="HB56" s="887"/>
      <c r="HC56" s="887"/>
      <c r="HD56" s="887"/>
      <c r="HE56" s="887"/>
      <c r="HF56" s="887"/>
      <c r="HG56" s="887"/>
      <c r="HH56" s="887"/>
      <c r="HI56" s="887"/>
      <c r="HJ56" s="887"/>
      <c r="HK56" s="887">
        <f>SUM(HK55:HV55)</f>
        <v>267981905.00283253</v>
      </c>
      <c r="HL56" s="887"/>
      <c r="HM56" s="887"/>
      <c r="HN56" s="887"/>
      <c r="HO56" s="887"/>
      <c r="HP56" s="887"/>
      <c r="HQ56" s="887"/>
      <c r="HR56" s="887"/>
      <c r="HS56" s="887"/>
      <c r="HT56" s="887"/>
      <c r="HU56" s="887"/>
      <c r="HV56" s="887"/>
      <c r="HW56" s="887">
        <f>SUM(HW55:IH55)</f>
        <v>267981905.00283253</v>
      </c>
      <c r="HX56" s="887"/>
      <c r="HY56" s="887"/>
      <c r="HZ56" s="887"/>
      <c r="IA56" s="887"/>
      <c r="IB56" s="887"/>
      <c r="IC56" s="887"/>
      <c r="ID56" s="887"/>
      <c r="IE56" s="887"/>
      <c r="IF56" s="887"/>
      <c r="IG56" s="887"/>
      <c r="IH56" s="887"/>
      <c r="II56" s="20">
        <f>SUM(C56:IH56)</f>
        <v>3897966136.9004288</v>
      </c>
    </row>
  </sheetData>
  <mergeCells count="57">
    <mergeCell ref="GA56:GL56"/>
    <mergeCell ref="GM56:GX56"/>
    <mergeCell ref="GY56:HJ56"/>
    <mergeCell ref="HK56:HV56"/>
    <mergeCell ref="HW56:IH56"/>
    <mergeCell ref="GA3:GL3"/>
    <mergeCell ref="GM3:GX3"/>
    <mergeCell ref="GY3:HJ3"/>
    <mergeCell ref="HK3:HV3"/>
    <mergeCell ref="HW3:IH3"/>
    <mergeCell ref="EQ56:FB56"/>
    <mergeCell ref="FC56:FN56"/>
    <mergeCell ref="FO56:FZ56"/>
    <mergeCell ref="A9:B9"/>
    <mergeCell ref="A10:B10"/>
    <mergeCell ref="A11:B11"/>
    <mergeCell ref="A12:B12"/>
    <mergeCell ref="BW56:CH56"/>
    <mergeCell ref="CI56:CT56"/>
    <mergeCell ref="CU56:DF56"/>
    <mergeCell ref="DG56:DR56"/>
    <mergeCell ref="DS56:ED56"/>
    <mergeCell ref="EE56:EP56"/>
    <mergeCell ref="C56:N56"/>
    <mergeCell ref="O56:Z56"/>
    <mergeCell ref="AA56:AL56"/>
    <mergeCell ref="AM56:AX56"/>
    <mergeCell ref="AY56:BJ56"/>
    <mergeCell ref="BK56:BV56"/>
    <mergeCell ref="A20:B20"/>
    <mergeCell ref="A19:B19"/>
    <mergeCell ref="A16:B16"/>
    <mergeCell ref="A17:B17"/>
    <mergeCell ref="A18:B18"/>
    <mergeCell ref="EQ3:FB3"/>
    <mergeCell ref="FC3:FN3"/>
    <mergeCell ref="A6:B6"/>
    <mergeCell ref="A7:B7"/>
    <mergeCell ref="A8:B8"/>
    <mergeCell ref="A14:B14"/>
    <mergeCell ref="A15:B15"/>
    <mergeCell ref="FO3:FZ3"/>
    <mergeCell ref="A3:B3"/>
    <mergeCell ref="A4:B4"/>
    <mergeCell ref="A5:B5"/>
    <mergeCell ref="BW3:CH3"/>
    <mergeCell ref="CI3:CT3"/>
    <mergeCell ref="CU3:DF3"/>
    <mergeCell ref="DG3:DR3"/>
    <mergeCell ref="DS3:ED3"/>
    <mergeCell ref="EE3:EP3"/>
    <mergeCell ref="C3:N3"/>
    <mergeCell ref="O3:Z3"/>
    <mergeCell ref="AA3:AL3"/>
    <mergeCell ref="AM3:AX3"/>
    <mergeCell ref="AY3:BJ3"/>
    <mergeCell ref="BK3:BV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opLeftCell="B1" zoomScale="85" zoomScaleNormal="85" workbookViewId="0">
      <selection sqref="A1:U26"/>
    </sheetView>
  </sheetViews>
  <sheetFormatPr defaultRowHeight="14.25" x14ac:dyDescent="0.45"/>
  <cols>
    <col min="1" max="1" width="43.19921875" bestFit="1" customWidth="1"/>
    <col min="2" max="21" width="8.796875" customWidth="1"/>
  </cols>
  <sheetData>
    <row r="1" spans="1:21" ht="14.65" thickBot="1" x14ac:dyDescent="0.5">
      <c r="A1" s="828"/>
      <c r="B1" s="854" t="str">
        <f>PL_Extract!E3</f>
        <v>Year 0</v>
      </c>
      <c r="C1" s="855" t="str">
        <f>PL_Extract!F3</f>
        <v>Year 1</v>
      </c>
      <c r="D1" s="855" t="str">
        <f>PL_Extract!G3</f>
        <v>Year 2</v>
      </c>
      <c r="E1" s="855" t="str">
        <f>PL_Extract!H3</f>
        <v>Year 3</v>
      </c>
      <c r="F1" s="855" t="str">
        <f>PL_Extract!I3</f>
        <v>Year 4</v>
      </c>
      <c r="G1" s="855" t="str">
        <f>PL_Extract!J3</f>
        <v>Year 5</v>
      </c>
      <c r="H1" s="855" t="str">
        <f>PL_Extract!K3</f>
        <v>Year 6</v>
      </c>
      <c r="I1" s="855" t="str">
        <f>PL_Extract!L3</f>
        <v>Year 7</v>
      </c>
      <c r="J1" s="855" t="str">
        <f>PL_Extract!M3</f>
        <v>Year 8</v>
      </c>
      <c r="K1" s="855" t="str">
        <f>PL_Extract!N3</f>
        <v>Year 9</v>
      </c>
      <c r="L1" s="855" t="str">
        <f>PL_Extract!O3</f>
        <v>Year 10</v>
      </c>
      <c r="M1" s="855" t="str">
        <f>PL_Extract!P3</f>
        <v>Year 11</v>
      </c>
      <c r="N1" s="855" t="str">
        <f>PL_Extract!Q3</f>
        <v>Year 12</v>
      </c>
      <c r="O1" s="855" t="str">
        <f>PL_Extract!R3</f>
        <v>Year 13</v>
      </c>
      <c r="P1" s="855" t="str">
        <f>PL_Extract!S3</f>
        <v>Year 14</v>
      </c>
      <c r="Q1" s="855" t="str">
        <f>PL_Extract!T3</f>
        <v>Year 15</v>
      </c>
      <c r="R1" s="855" t="str">
        <f>PL_Extract!U3</f>
        <v>Year 16</v>
      </c>
      <c r="S1" s="855" t="str">
        <f>PL_Extract!V3</f>
        <v>Year 17</v>
      </c>
      <c r="T1" s="855" t="str">
        <f>PL_Extract!W3</f>
        <v>Year 18</v>
      </c>
      <c r="U1" s="855" t="str">
        <f>PL_Extract!X3</f>
        <v>Year 19</v>
      </c>
    </row>
    <row r="2" spans="1:21" ht="14.65" thickTop="1" x14ac:dyDescent="0.45">
      <c r="A2" s="856" t="str">
        <f>PL_Extract!B13</f>
        <v>Land Lease from Manateq</v>
      </c>
      <c r="B2" s="857">
        <f>PL_Extract!E13</f>
        <v>0</v>
      </c>
      <c r="C2" s="857">
        <f>PL_Extract!F13</f>
        <v>517.37600000000009</v>
      </c>
      <c r="D2" s="857">
        <f>PL_Extract!G13</f>
        <v>517.37600000000009</v>
      </c>
      <c r="E2" s="857">
        <f>PL_Extract!H13</f>
        <v>517.37600000000009</v>
      </c>
      <c r="F2" s="857">
        <f>PL_Extract!I13</f>
        <v>517.37600000000009</v>
      </c>
      <c r="G2" s="857">
        <f>PL_Extract!J13</f>
        <v>517.37600000000009</v>
      </c>
      <c r="H2" s="857">
        <f>PL_Extract!K13</f>
        <v>517.37600000000009</v>
      </c>
      <c r="I2" s="857">
        <f>PL_Extract!L13</f>
        <v>517.37600000000009</v>
      </c>
      <c r="J2" s="857">
        <f>PL_Extract!M13</f>
        <v>517.37600000000009</v>
      </c>
      <c r="K2" s="857">
        <f>PL_Extract!N13</f>
        <v>517.37600000000009</v>
      </c>
      <c r="L2" s="857">
        <f>PL_Extract!O13</f>
        <v>517.37600000000009</v>
      </c>
      <c r="M2" s="857">
        <f>PL_Extract!P13</f>
        <v>517.37600000000009</v>
      </c>
      <c r="N2" s="857">
        <f>PL_Extract!Q13</f>
        <v>517.37600000000009</v>
      </c>
      <c r="O2" s="857">
        <f>PL_Extract!R13</f>
        <v>517.37600000000009</v>
      </c>
      <c r="P2" s="857">
        <f>PL_Extract!S13</f>
        <v>517.37600000000009</v>
      </c>
      <c r="Q2" s="857">
        <f>PL_Extract!T13</f>
        <v>517.37600000000009</v>
      </c>
      <c r="R2" s="857">
        <f>PL_Extract!U13</f>
        <v>517.37600000000009</v>
      </c>
      <c r="S2" s="857">
        <f>PL_Extract!V13</f>
        <v>517.37600000000009</v>
      </c>
      <c r="T2" s="857">
        <f>PL_Extract!W13</f>
        <v>517.37600000000009</v>
      </c>
      <c r="U2" s="857">
        <f>PL_Extract!X13</f>
        <v>517.37600000000009</v>
      </c>
    </row>
    <row r="3" spans="1:21" x14ac:dyDescent="0.45">
      <c r="A3" s="858" t="str">
        <f>PL_Extract!B14</f>
        <v>Manateq 3% of rental administration fee</v>
      </c>
      <c r="B3" s="859">
        <f>PL_Extract!E14</f>
        <v>0</v>
      </c>
      <c r="C3" s="859">
        <f>PL_Extract!F14</f>
        <v>0</v>
      </c>
      <c r="D3" s="859">
        <f>PL_Extract!G14</f>
        <v>2050.6536680886479</v>
      </c>
      <c r="E3" s="859">
        <f>PL_Extract!H14</f>
        <v>3393.1321134810796</v>
      </c>
      <c r="F3" s="859">
        <f>PL_Extract!I14</f>
        <v>4972.3910868171879</v>
      </c>
      <c r="G3" s="859">
        <f>PL_Extract!J14</f>
        <v>6029.5928625637289</v>
      </c>
      <c r="H3" s="859">
        <f>PL_Extract!K14</f>
        <v>6316.716332209623</v>
      </c>
      <c r="I3" s="859">
        <f>PL_Extract!L14</f>
        <v>6316.716332209623</v>
      </c>
      <c r="J3" s="859">
        <f>PL_Extract!M14</f>
        <v>6603.8398018555163</v>
      </c>
      <c r="K3" s="859">
        <f>PL_Extract!N14</f>
        <v>6603.8398018555163</v>
      </c>
      <c r="L3" s="859">
        <f>PL_Extract!O14</f>
        <v>6890.9632715014059</v>
      </c>
      <c r="M3" s="859">
        <f>PL_Extract!P14</f>
        <v>6890.9632715014059</v>
      </c>
      <c r="N3" s="859">
        <f>PL_Extract!Q14</f>
        <v>7178.0867411472991</v>
      </c>
      <c r="O3" s="859">
        <f>PL_Extract!R14</f>
        <v>7178.0867411472991</v>
      </c>
      <c r="P3" s="859">
        <f>PL_Extract!S14</f>
        <v>7465.2102107931923</v>
      </c>
      <c r="Q3" s="859">
        <f>PL_Extract!T14</f>
        <v>7465.2102107931923</v>
      </c>
      <c r="R3" s="859">
        <f>PL_Extract!U14</f>
        <v>7752.333680439081</v>
      </c>
      <c r="S3" s="859">
        <f>PL_Extract!V14</f>
        <v>7752.333680439081</v>
      </c>
      <c r="T3" s="859">
        <f>PL_Extract!W14</f>
        <v>8039.4571500849734</v>
      </c>
      <c r="U3" s="859">
        <f>PL_Extract!X14</f>
        <v>8039.4571500849734</v>
      </c>
    </row>
    <row r="4" spans="1:21" x14ac:dyDescent="0.45">
      <c r="A4" s="858" t="str">
        <f>PL_Extract!B15</f>
        <v>Manateq fixed administration fee</v>
      </c>
      <c r="B4" s="859">
        <f>PL_Extract!E15</f>
        <v>0</v>
      </c>
      <c r="C4" s="859">
        <f>PL_Extract!F15</f>
        <v>0</v>
      </c>
      <c r="D4" s="859">
        <f>PL_Extract!G15</f>
        <v>240</v>
      </c>
      <c r="E4" s="859">
        <f>PL_Extract!H15</f>
        <v>240</v>
      </c>
      <c r="F4" s="859">
        <f>PL_Extract!I15</f>
        <v>240</v>
      </c>
      <c r="G4" s="859">
        <f>PL_Extract!J15</f>
        <v>240</v>
      </c>
      <c r="H4" s="859">
        <f>PL_Extract!K15</f>
        <v>240</v>
      </c>
      <c r="I4" s="859">
        <f>PL_Extract!L15</f>
        <v>240</v>
      </c>
      <c r="J4" s="859">
        <f>PL_Extract!M15</f>
        <v>240</v>
      </c>
      <c r="K4" s="859">
        <f>PL_Extract!N15</f>
        <v>240</v>
      </c>
      <c r="L4" s="859">
        <f>PL_Extract!O15</f>
        <v>240</v>
      </c>
      <c r="M4" s="859">
        <f>PL_Extract!P15</f>
        <v>240</v>
      </c>
      <c r="N4" s="859">
        <f>PL_Extract!Q15</f>
        <v>240</v>
      </c>
      <c r="O4" s="859">
        <f>PL_Extract!R15</f>
        <v>240</v>
      </c>
      <c r="P4" s="859">
        <f>PL_Extract!S15</f>
        <v>240</v>
      </c>
      <c r="Q4" s="859">
        <f>PL_Extract!T15</f>
        <v>240</v>
      </c>
      <c r="R4" s="859">
        <f>PL_Extract!U15</f>
        <v>240</v>
      </c>
      <c r="S4" s="859">
        <f>PL_Extract!V15</f>
        <v>240</v>
      </c>
      <c r="T4" s="859">
        <f>PL_Extract!W15</f>
        <v>240</v>
      </c>
      <c r="U4" s="859">
        <f>PL_Extract!X15</f>
        <v>240</v>
      </c>
    </row>
    <row r="5" spans="1:21" x14ac:dyDescent="0.45">
      <c r="A5" s="858" t="str">
        <f>PL_Extract!B16</f>
        <v>Manateq - Charges</v>
      </c>
      <c r="B5" s="859">
        <f>PL_Extract!E16</f>
        <v>0</v>
      </c>
      <c r="C5" s="859">
        <f>PL_Extract!F16</f>
        <v>517.37600000000009</v>
      </c>
      <c r="D5" s="859">
        <f>PL_Extract!G16</f>
        <v>2808.0296680886481</v>
      </c>
      <c r="E5" s="859">
        <f>PL_Extract!H16</f>
        <v>4150.5081134810798</v>
      </c>
      <c r="F5" s="859">
        <f>PL_Extract!I16</f>
        <v>5729.7670868171881</v>
      </c>
      <c r="G5" s="859">
        <f>PL_Extract!J16</f>
        <v>6786.9688625637291</v>
      </c>
      <c r="H5" s="859">
        <f>PL_Extract!K16</f>
        <v>7074.0923322096232</v>
      </c>
      <c r="I5" s="859">
        <f>PL_Extract!L16</f>
        <v>7074.0923322096232</v>
      </c>
      <c r="J5" s="859">
        <f>PL_Extract!M16</f>
        <v>7361.2158018555165</v>
      </c>
      <c r="K5" s="859">
        <f>PL_Extract!N16</f>
        <v>7361.2158018555165</v>
      </c>
      <c r="L5" s="859">
        <f>PL_Extract!O16</f>
        <v>7648.3392715014061</v>
      </c>
      <c r="M5" s="859">
        <f>PL_Extract!P16</f>
        <v>7648.3392715014061</v>
      </c>
      <c r="N5" s="859">
        <f>PL_Extract!Q16</f>
        <v>7935.4627411472993</v>
      </c>
      <c r="O5" s="859">
        <f>PL_Extract!R16</f>
        <v>7935.4627411472993</v>
      </c>
      <c r="P5" s="859">
        <f>PL_Extract!S16</f>
        <v>8222.5862107931935</v>
      </c>
      <c r="Q5" s="859">
        <f>PL_Extract!T16</f>
        <v>8222.5862107931935</v>
      </c>
      <c r="R5" s="859">
        <f>PL_Extract!U16</f>
        <v>8509.7096804390803</v>
      </c>
      <c r="S5" s="859">
        <f>PL_Extract!V16</f>
        <v>8509.7096804390803</v>
      </c>
      <c r="T5" s="859">
        <f>PL_Extract!W16</f>
        <v>8796.8331500849727</v>
      </c>
      <c r="U5" s="859">
        <f>PL_Extract!X16</f>
        <v>8796.8331500849727</v>
      </c>
    </row>
    <row r="6" spans="1:21" x14ac:dyDescent="0.45">
      <c r="A6" s="853"/>
      <c r="B6" s="851"/>
      <c r="C6" s="851"/>
      <c r="D6" s="851"/>
      <c r="E6" s="851"/>
      <c r="F6" s="851"/>
      <c r="G6" s="851"/>
      <c r="H6" s="851"/>
      <c r="I6" s="851"/>
      <c r="J6" s="851"/>
      <c r="K6" s="851"/>
      <c r="L6" s="851"/>
      <c r="M6" s="851"/>
      <c r="N6" s="851"/>
      <c r="O6" s="851"/>
      <c r="P6" s="851"/>
      <c r="Q6" s="851"/>
      <c r="R6" s="851"/>
      <c r="S6" s="851"/>
      <c r="T6" s="851"/>
      <c r="U6" s="851"/>
    </row>
    <row r="7" spans="1:21" x14ac:dyDescent="0.45">
      <c r="A7" s="856" t="str">
        <f>PL_Extract!B19</f>
        <v>Construction project manager</v>
      </c>
      <c r="B7" s="857">
        <f>PL_Extract!E19</f>
        <v>900</v>
      </c>
      <c r="C7" s="857">
        <f>PL_Extract!F19</f>
        <v>900</v>
      </c>
      <c r="D7" s="857">
        <f>PL_Extract!G19</f>
        <v>0</v>
      </c>
      <c r="E7" s="857">
        <f>PL_Extract!H19</f>
        <v>0</v>
      </c>
      <c r="F7" s="857">
        <f>PL_Extract!I19</f>
        <v>0</v>
      </c>
      <c r="G7" s="857">
        <f>PL_Extract!J19</f>
        <v>0</v>
      </c>
      <c r="H7" s="857">
        <f>PL_Extract!K19</f>
        <v>0</v>
      </c>
      <c r="I7" s="857">
        <f>PL_Extract!L19</f>
        <v>0</v>
      </c>
      <c r="J7" s="857">
        <f>PL_Extract!M19</f>
        <v>0</v>
      </c>
      <c r="K7" s="857">
        <f>PL_Extract!N19</f>
        <v>0</v>
      </c>
      <c r="L7" s="857">
        <f>PL_Extract!O19</f>
        <v>0</v>
      </c>
      <c r="M7" s="857">
        <f>PL_Extract!P19</f>
        <v>0</v>
      </c>
      <c r="N7" s="857">
        <f>PL_Extract!Q19</f>
        <v>0</v>
      </c>
      <c r="O7" s="857">
        <f>PL_Extract!R19</f>
        <v>0</v>
      </c>
      <c r="P7" s="857">
        <f>PL_Extract!S19</f>
        <v>0</v>
      </c>
      <c r="Q7" s="857">
        <f>PL_Extract!T19</f>
        <v>0</v>
      </c>
      <c r="R7" s="857">
        <f>PL_Extract!U19</f>
        <v>0</v>
      </c>
      <c r="S7" s="857">
        <f>PL_Extract!V19</f>
        <v>0</v>
      </c>
      <c r="T7" s="857">
        <f>PL_Extract!W19</f>
        <v>0</v>
      </c>
      <c r="U7" s="857">
        <f>PL_Extract!X19</f>
        <v>0</v>
      </c>
    </row>
    <row r="8" spans="1:21" x14ac:dyDescent="0.45">
      <c r="A8" s="858" t="str">
        <f>PL_Extract!B20</f>
        <v>Utilities for the admin office</v>
      </c>
      <c r="B8" s="859">
        <f>PL_Extract!E20</f>
        <v>30</v>
      </c>
      <c r="C8" s="859">
        <f>PL_Extract!F20</f>
        <v>30</v>
      </c>
      <c r="D8" s="859">
        <f>PL_Extract!G20</f>
        <v>90</v>
      </c>
      <c r="E8" s="859">
        <f>PL_Extract!H20</f>
        <v>90</v>
      </c>
      <c r="F8" s="859">
        <f>PL_Extract!I20</f>
        <v>90</v>
      </c>
      <c r="G8" s="859">
        <f>PL_Extract!J20</f>
        <v>90</v>
      </c>
      <c r="H8" s="859">
        <f>PL_Extract!K20</f>
        <v>120</v>
      </c>
      <c r="I8" s="859">
        <f>PL_Extract!L20</f>
        <v>122.1</v>
      </c>
      <c r="J8" s="859">
        <f>PL_Extract!M20</f>
        <v>127.2</v>
      </c>
      <c r="K8" s="859">
        <f>PL_Extract!N20</f>
        <v>130.80000000000001</v>
      </c>
      <c r="L8" s="859">
        <f>PL_Extract!O20</f>
        <v>134.40000000000003</v>
      </c>
      <c r="M8" s="859">
        <f>PL_Extract!P20</f>
        <v>138.00000000000003</v>
      </c>
      <c r="N8" s="859">
        <f>PL_Extract!Q20</f>
        <v>141.60000000000002</v>
      </c>
      <c r="O8" s="859">
        <f>PL_Extract!R20</f>
        <v>145.20000000000002</v>
      </c>
      <c r="P8" s="859">
        <f>PL_Extract!S20</f>
        <v>148.80000000000004</v>
      </c>
      <c r="Q8" s="859">
        <f>PL_Extract!T20</f>
        <v>152.40000000000003</v>
      </c>
      <c r="R8" s="859">
        <f>PL_Extract!U20</f>
        <v>156.00000000000003</v>
      </c>
      <c r="S8" s="859">
        <f>PL_Extract!V20</f>
        <v>159.60000000000002</v>
      </c>
      <c r="T8" s="859">
        <f>PL_Extract!W20</f>
        <v>159.60000000000002</v>
      </c>
      <c r="U8" s="859">
        <f>PL_Extract!X20</f>
        <v>159.60000000000002</v>
      </c>
    </row>
    <row r="9" spans="1:21" x14ac:dyDescent="0.45">
      <c r="A9" s="858" t="str">
        <f>PL_Extract!B21</f>
        <v>Communications (phone and Internet)</v>
      </c>
      <c r="B9" s="859">
        <f>PL_Extract!E21</f>
        <v>30</v>
      </c>
      <c r="C9" s="859">
        <f>PL_Extract!F21</f>
        <v>30</v>
      </c>
      <c r="D9" s="859">
        <f>PL_Extract!G21</f>
        <v>90</v>
      </c>
      <c r="E9" s="859">
        <f>PL_Extract!H21</f>
        <v>90</v>
      </c>
      <c r="F9" s="859">
        <f>PL_Extract!I21</f>
        <v>90</v>
      </c>
      <c r="G9" s="859">
        <f>PL_Extract!J21</f>
        <v>90</v>
      </c>
      <c r="H9" s="859">
        <f>PL_Extract!K21</f>
        <v>120</v>
      </c>
      <c r="I9" s="859">
        <f>PL_Extract!L21</f>
        <v>122.1</v>
      </c>
      <c r="J9" s="859">
        <f>PL_Extract!M21</f>
        <v>127.2</v>
      </c>
      <c r="K9" s="859">
        <f>PL_Extract!N21</f>
        <v>130.80000000000001</v>
      </c>
      <c r="L9" s="859">
        <f>PL_Extract!O21</f>
        <v>134.40000000000003</v>
      </c>
      <c r="M9" s="859">
        <f>PL_Extract!P21</f>
        <v>138.00000000000003</v>
      </c>
      <c r="N9" s="859">
        <f>PL_Extract!Q21</f>
        <v>141.60000000000002</v>
      </c>
      <c r="O9" s="859">
        <f>PL_Extract!R21</f>
        <v>145.20000000000002</v>
      </c>
      <c r="P9" s="859">
        <f>PL_Extract!S21</f>
        <v>148.80000000000004</v>
      </c>
      <c r="Q9" s="859">
        <f>PL_Extract!T21</f>
        <v>152.40000000000003</v>
      </c>
      <c r="R9" s="859">
        <f>PL_Extract!U21</f>
        <v>156.00000000000003</v>
      </c>
      <c r="S9" s="859">
        <f>PL_Extract!V21</f>
        <v>159.60000000000002</v>
      </c>
      <c r="T9" s="859">
        <f>PL_Extract!W21</f>
        <v>159.60000000000002</v>
      </c>
      <c r="U9" s="859">
        <f>PL_Extract!X21</f>
        <v>159.60000000000002</v>
      </c>
    </row>
    <row r="10" spans="1:21" x14ac:dyDescent="0.45">
      <c r="A10" s="858" t="str">
        <f>PL_Extract!B22</f>
        <v>Information Systems</v>
      </c>
      <c r="B10" s="859">
        <f>PL_Extract!E22</f>
        <v>135</v>
      </c>
      <c r="C10" s="859">
        <f>PL_Extract!F22</f>
        <v>135</v>
      </c>
      <c r="D10" s="859">
        <f>PL_Extract!G22</f>
        <v>405</v>
      </c>
      <c r="E10" s="859">
        <f>PL_Extract!H22</f>
        <v>405</v>
      </c>
      <c r="F10" s="859">
        <f>PL_Extract!I22</f>
        <v>405</v>
      </c>
      <c r="G10" s="859">
        <f>PL_Extract!J22</f>
        <v>405</v>
      </c>
      <c r="H10" s="859">
        <f>PL_Extract!K22</f>
        <v>540</v>
      </c>
      <c r="I10" s="859">
        <f>PL_Extract!L22</f>
        <v>549.45000000000005</v>
      </c>
      <c r="J10" s="859">
        <f>PL_Extract!M22</f>
        <v>572.4</v>
      </c>
      <c r="K10" s="859">
        <f>PL_Extract!N22</f>
        <v>588.6</v>
      </c>
      <c r="L10" s="859">
        <f>PL_Extract!O22</f>
        <v>604.80000000000007</v>
      </c>
      <c r="M10" s="859">
        <f>PL_Extract!P22</f>
        <v>621.00000000000011</v>
      </c>
      <c r="N10" s="859">
        <f>PL_Extract!Q22</f>
        <v>637.20000000000016</v>
      </c>
      <c r="O10" s="859">
        <f>PL_Extract!R22</f>
        <v>653.40000000000009</v>
      </c>
      <c r="P10" s="859">
        <f>PL_Extract!S22</f>
        <v>669.60000000000014</v>
      </c>
      <c r="Q10" s="859">
        <f>PL_Extract!T22</f>
        <v>685.80000000000007</v>
      </c>
      <c r="R10" s="859">
        <f>PL_Extract!U22</f>
        <v>702.00000000000011</v>
      </c>
      <c r="S10" s="859">
        <f>PL_Extract!V22</f>
        <v>718.20000000000016</v>
      </c>
      <c r="T10" s="859">
        <f>PL_Extract!W22</f>
        <v>718.20000000000016</v>
      </c>
      <c r="U10" s="859">
        <f>PL_Extract!X22</f>
        <v>718.20000000000016</v>
      </c>
    </row>
    <row r="11" spans="1:21" x14ac:dyDescent="0.45">
      <c r="A11" s="858" t="str">
        <f>PL_Extract!B23</f>
        <v>Buildings Insurance</v>
      </c>
      <c r="B11" s="859">
        <f>PL_Extract!E23</f>
        <v>851.18789339968782</v>
      </c>
      <c r="C11" s="859">
        <f>PL_Extract!F23</f>
        <v>851.18789339968782</v>
      </c>
      <c r="D11" s="859">
        <f>PL_Extract!G23</f>
        <v>2553.5636801990631</v>
      </c>
      <c r="E11" s="859">
        <f>PL_Extract!H23</f>
        <v>2553.5636801990631</v>
      </c>
      <c r="F11" s="859">
        <f>PL_Extract!I23</f>
        <v>2553.5636801990631</v>
      </c>
      <c r="G11" s="859">
        <f>PL_Extract!J23</f>
        <v>2553.5636801990631</v>
      </c>
      <c r="H11" s="859">
        <f>PL_Extract!K23</f>
        <v>3404.7515735987513</v>
      </c>
      <c r="I11" s="859">
        <f>PL_Extract!L23</f>
        <v>3464.3347261367294</v>
      </c>
      <c r="J11" s="859">
        <f>PL_Extract!M23</f>
        <v>3609.0366680146767</v>
      </c>
      <c r="K11" s="859">
        <f>PL_Extract!N23</f>
        <v>3711.1792152226385</v>
      </c>
      <c r="L11" s="859">
        <f>PL_Extract!O23</f>
        <v>3813.3217624306012</v>
      </c>
      <c r="M11" s="859">
        <f>PL_Extract!P23</f>
        <v>3915.4643096385639</v>
      </c>
      <c r="N11" s="859">
        <f>PL_Extract!Q23</f>
        <v>4017.6068568465266</v>
      </c>
      <c r="O11" s="859">
        <f>PL_Extract!R23</f>
        <v>4119.7494040544898</v>
      </c>
      <c r="P11" s="859">
        <f>PL_Extract!S23</f>
        <v>4221.8919512624525</v>
      </c>
      <c r="Q11" s="859">
        <f>PL_Extract!T23</f>
        <v>4324.0344984704125</v>
      </c>
      <c r="R11" s="859">
        <f>PL_Extract!U23</f>
        <v>4426.1770456783752</v>
      </c>
      <c r="S11" s="859">
        <f>PL_Extract!V23</f>
        <v>4528.3195928863379</v>
      </c>
      <c r="T11" s="859">
        <f>PL_Extract!W23</f>
        <v>4528.3195928863379</v>
      </c>
      <c r="U11" s="859">
        <f>PL_Extract!X23</f>
        <v>4528.3195928863379</v>
      </c>
    </row>
    <row r="12" spans="1:21" x14ac:dyDescent="0.45">
      <c r="A12" s="858" t="str">
        <f>PL_Extract!B24</f>
        <v>Licenses</v>
      </c>
      <c r="B12" s="859">
        <f>PL_Extract!E24</f>
        <v>60</v>
      </c>
      <c r="C12" s="859">
        <f>PL_Extract!F24</f>
        <v>60</v>
      </c>
      <c r="D12" s="859">
        <f>PL_Extract!G24</f>
        <v>180</v>
      </c>
      <c r="E12" s="859">
        <f>PL_Extract!H24</f>
        <v>180</v>
      </c>
      <c r="F12" s="859">
        <f>PL_Extract!I24</f>
        <v>180</v>
      </c>
      <c r="G12" s="859">
        <f>PL_Extract!J24</f>
        <v>180</v>
      </c>
      <c r="H12" s="859">
        <f>PL_Extract!K24</f>
        <v>240</v>
      </c>
      <c r="I12" s="859">
        <f>PL_Extract!L24</f>
        <v>244.2</v>
      </c>
      <c r="J12" s="859">
        <f>PL_Extract!M24</f>
        <v>254.4</v>
      </c>
      <c r="K12" s="859">
        <f>PL_Extract!N24</f>
        <v>261.60000000000002</v>
      </c>
      <c r="L12" s="859">
        <f>PL_Extract!O24</f>
        <v>268.80000000000007</v>
      </c>
      <c r="M12" s="859">
        <f>PL_Extract!P24</f>
        <v>276.00000000000006</v>
      </c>
      <c r="N12" s="859">
        <f>PL_Extract!Q24</f>
        <v>283.20000000000005</v>
      </c>
      <c r="O12" s="859">
        <f>PL_Extract!R24</f>
        <v>290.40000000000003</v>
      </c>
      <c r="P12" s="859">
        <f>PL_Extract!S24</f>
        <v>297.60000000000008</v>
      </c>
      <c r="Q12" s="859">
        <f>PL_Extract!T24</f>
        <v>304.80000000000007</v>
      </c>
      <c r="R12" s="859">
        <f>PL_Extract!U24</f>
        <v>312.00000000000006</v>
      </c>
      <c r="S12" s="859">
        <f>PL_Extract!V24</f>
        <v>319.20000000000005</v>
      </c>
      <c r="T12" s="859">
        <f>PL_Extract!W24</f>
        <v>319.20000000000005</v>
      </c>
      <c r="U12" s="859">
        <f>PL_Extract!X24</f>
        <v>319.20000000000005</v>
      </c>
    </row>
    <row r="13" spans="1:21" x14ac:dyDescent="0.45">
      <c r="A13" s="858" t="str">
        <f>PL_Extract!B25</f>
        <v>Management Fees</v>
      </c>
      <c r="B13" s="859">
        <f>PL_Extract!E25</f>
        <v>150</v>
      </c>
      <c r="C13" s="859">
        <f>PL_Extract!F25</f>
        <v>150</v>
      </c>
      <c r="D13" s="859">
        <f>PL_Extract!G25</f>
        <v>450</v>
      </c>
      <c r="E13" s="859">
        <f>PL_Extract!H25</f>
        <v>450</v>
      </c>
      <c r="F13" s="859">
        <f>PL_Extract!I25</f>
        <v>450</v>
      </c>
      <c r="G13" s="859">
        <f>PL_Extract!J25</f>
        <v>450</v>
      </c>
      <c r="H13" s="859">
        <f>PL_Extract!K25</f>
        <v>600</v>
      </c>
      <c r="I13" s="859">
        <f>PL_Extract!L25</f>
        <v>610.5</v>
      </c>
      <c r="J13" s="859">
        <f>PL_Extract!M25</f>
        <v>636</v>
      </c>
      <c r="K13" s="859">
        <f>PL_Extract!N25</f>
        <v>654.00000000000011</v>
      </c>
      <c r="L13" s="859">
        <f>PL_Extract!O25</f>
        <v>672.00000000000011</v>
      </c>
      <c r="M13" s="859">
        <f>PL_Extract!P25</f>
        <v>690.00000000000011</v>
      </c>
      <c r="N13" s="859">
        <f>PL_Extract!Q25</f>
        <v>708.00000000000011</v>
      </c>
      <c r="O13" s="859">
        <f>PL_Extract!R25</f>
        <v>726.00000000000011</v>
      </c>
      <c r="P13" s="859">
        <f>PL_Extract!S25</f>
        <v>744.00000000000011</v>
      </c>
      <c r="Q13" s="859">
        <f>PL_Extract!T25</f>
        <v>762.00000000000011</v>
      </c>
      <c r="R13" s="859">
        <f>PL_Extract!U25</f>
        <v>780.00000000000011</v>
      </c>
      <c r="S13" s="859">
        <f>PL_Extract!V25</f>
        <v>798.00000000000011</v>
      </c>
      <c r="T13" s="859">
        <f>PL_Extract!W25</f>
        <v>798.00000000000011</v>
      </c>
      <c r="U13" s="859">
        <f>PL_Extract!X25</f>
        <v>798.00000000000011</v>
      </c>
    </row>
    <row r="14" spans="1:21" x14ac:dyDescent="0.45">
      <c r="A14" s="858" t="str">
        <f>PL_Extract!B26</f>
        <v>Marketing</v>
      </c>
      <c r="B14" s="859">
        <f>PL_Extract!E26</f>
        <v>310</v>
      </c>
      <c r="C14" s="859">
        <f>PL_Extract!F26</f>
        <v>260</v>
      </c>
      <c r="D14" s="859">
        <f>PL_Extract!G26</f>
        <v>120</v>
      </c>
      <c r="E14" s="859">
        <f>PL_Extract!H26</f>
        <v>120</v>
      </c>
      <c r="F14" s="859">
        <f>PL_Extract!I26</f>
        <v>120</v>
      </c>
      <c r="G14" s="859">
        <f>PL_Extract!J26</f>
        <v>120</v>
      </c>
      <c r="H14" s="859">
        <f>PL_Extract!K26</f>
        <v>120</v>
      </c>
      <c r="I14" s="859">
        <f>PL_Extract!L26</f>
        <v>120</v>
      </c>
      <c r="J14" s="859">
        <f>PL_Extract!M26</f>
        <v>120</v>
      </c>
      <c r="K14" s="859">
        <f>PL_Extract!N26</f>
        <v>120</v>
      </c>
      <c r="L14" s="859">
        <f>PL_Extract!O26</f>
        <v>120</v>
      </c>
      <c r="M14" s="859">
        <f>PL_Extract!P26</f>
        <v>120</v>
      </c>
      <c r="N14" s="859">
        <f>PL_Extract!Q26</f>
        <v>120</v>
      </c>
      <c r="O14" s="859">
        <f>PL_Extract!R26</f>
        <v>120</v>
      </c>
      <c r="P14" s="859">
        <f>PL_Extract!S26</f>
        <v>120</v>
      </c>
      <c r="Q14" s="859">
        <f>PL_Extract!T26</f>
        <v>120</v>
      </c>
      <c r="R14" s="859">
        <f>PL_Extract!U26</f>
        <v>120</v>
      </c>
      <c r="S14" s="859">
        <f>PL_Extract!V26</f>
        <v>120</v>
      </c>
      <c r="T14" s="859">
        <f>PL_Extract!W26</f>
        <v>120</v>
      </c>
      <c r="U14" s="859">
        <f>PL_Extract!X26</f>
        <v>120</v>
      </c>
    </row>
    <row r="15" spans="1:21" x14ac:dyDescent="0.45">
      <c r="A15" s="858" t="str">
        <f>PL_Extract!B27</f>
        <v>Repairs and Maintenance of Common Parts</v>
      </c>
      <c r="B15" s="859">
        <f>PL_Extract!E27</f>
        <v>1050</v>
      </c>
      <c r="C15" s="859">
        <f>PL_Extract!F27</f>
        <v>1050</v>
      </c>
      <c r="D15" s="859">
        <f>PL_Extract!G27</f>
        <v>3150</v>
      </c>
      <c r="E15" s="859">
        <f>PL_Extract!H27</f>
        <v>3150</v>
      </c>
      <c r="F15" s="859">
        <f>PL_Extract!I27</f>
        <v>3150</v>
      </c>
      <c r="G15" s="859">
        <f>PL_Extract!J27</f>
        <v>3150</v>
      </c>
      <c r="H15" s="859">
        <f>PL_Extract!K27</f>
        <v>4200</v>
      </c>
      <c r="I15" s="859">
        <f>PL_Extract!L27</f>
        <v>4273.5</v>
      </c>
      <c r="J15" s="859">
        <f>PL_Extract!M27</f>
        <v>4452</v>
      </c>
      <c r="K15" s="859">
        <f>PL_Extract!N27</f>
        <v>4578</v>
      </c>
      <c r="L15" s="859">
        <f>PL_Extract!O27</f>
        <v>4704.0000000000009</v>
      </c>
      <c r="M15" s="859">
        <f>PL_Extract!P27</f>
        <v>4830.0000000000009</v>
      </c>
      <c r="N15" s="859">
        <f>PL_Extract!Q27</f>
        <v>4956.0000000000009</v>
      </c>
      <c r="O15" s="859">
        <f>PL_Extract!R27</f>
        <v>5082.0000000000009</v>
      </c>
      <c r="P15" s="859">
        <f>PL_Extract!S27</f>
        <v>5208.0000000000009</v>
      </c>
      <c r="Q15" s="859">
        <f>PL_Extract!T27</f>
        <v>5334.0000000000009</v>
      </c>
      <c r="R15" s="859">
        <f>PL_Extract!U27</f>
        <v>5460.0000000000009</v>
      </c>
      <c r="S15" s="859">
        <f>PL_Extract!V27</f>
        <v>5586.0000000000009</v>
      </c>
      <c r="T15" s="859">
        <f>PL_Extract!W27</f>
        <v>5586.0000000000009</v>
      </c>
      <c r="U15" s="859">
        <f>PL_Extract!X27</f>
        <v>5586.0000000000009</v>
      </c>
    </row>
    <row r="16" spans="1:21" x14ac:dyDescent="0.45">
      <c r="A16" s="858" t="str">
        <f>PL_Extract!B28</f>
        <v>Salaries</v>
      </c>
      <c r="B16" s="859">
        <f>PL_Extract!E28</f>
        <v>651</v>
      </c>
      <c r="C16" s="859">
        <f>PL_Extract!F28</f>
        <v>651</v>
      </c>
      <c r="D16" s="859">
        <f>PL_Extract!G28</f>
        <v>1953</v>
      </c>
      <c r="E16" s="859">
        <f>PL_Extract!H28</f>
        <v>1953</v>
      </c>
      <c r="F16" s="859">
        <f>PL_Extract!I28</f>
        <v>1953</v>
      </c>
      <c r="G16" s="859">
        <f>PL_Extract!J28</f>
        <v>1953</v>
      </c>
      <c r="H16" s="859">
        <f>PL_Extract!K28</f>
        <v>2604</v>
      </c>
      <c r="I16" s="859">
        <f>PL_Extract!L28</f>
        <v>2649.57</v>
      </c>
      <c r="J16" s="859">
        <f>PL_Extract!M28</f>
        <v>2760.24</v>
      </c>
      <c r="K16" s="859">
        <f>PL_Extract!N28</f>
        <v>2838.3600000000006</v>
      </c>
      <c r="L16" s="859">
        <f>PL_Extract!O28</f>
        <v>2916.4800000000005</v>
      </c>
      <c r="M16" s="859">
        <f>PL_Extract!P28</f>
        <v>2994.6000000000004</v>
      </c>
      <c r="N16" s="859">
        <f>PL_Extract!Q28</f>
        <v>3072.7200000000003</v>
      </c>
      <c r="O16" s="859">
        <f>PL_Extract!R28</f>
        <v>3150.8400000000006</v>
      </c>
      <c r="P16" s="859">
        <f>PL_Extract!S28</f>
        <v>3228.9600000000005</v>
      </c>
      <c r="Q16" s="859">
        <f>PL_Extract!T28</f>
        <v>3307.0800000000004</v>
      </c>
      <c r="R16" s="859">
        <f>PL_Extract!U28</f>
        <v>3385.2000000000003</v>
      </c>
      <c r="S16" s="859">
        <f>PL_Extract!V28</f>
        <v>3463.3200000000006</v>
      </c>
      <c r="T16" s="859">
        <f>PL_Extract!W28</f>
        <v>3463.3200000000006</v>
      </c>
      <c r="U16" s="859">
        <f>PL_Extract!X28</f>
        <v>3463.3200000000006</v>
      </c>
    </row>
    <row r="17" spans="1:21" x14ac:dyDescent="0.45">
      <c r="A17" s="858" t="str">
        <f>PL_Extract!B29</f>
        <v>Supplies</v>
      </c>
      <c r="B17" s="859">
        <f>PL_Extract!E29</f>
        <v>225</v>
      </c>
      <c r="C17" s="859">
        <f>PL_Extract!F29</f>
        <v>225</v>
      </c>
      <c r="D17" s="859">
        <f>PL_Extract!G29</f>
        <v>675</v>
      </c>
      <c r="E17" s="859">
        <f>PL_Extract!H29</f>
        <v>675</v>
      </c>
      <c r="F17" s="859">
        <f>PL_Extract!I29</f>
        <v>675</v>
      </c>
      <c r="G17" s="859">
        <f>PL_Extract!J29</f>
        <v>675</v>
      </c>
      <c r="H17" s="859">
        <f>PL_Extract!K29</f>
        <v>900</v>
      </c>
      <c r="I17" s="859">
        <f>PL_Extract!L29</f>
        <v>915.75</v>
      </c>
      <c r="J17" s="859">
        <f>PL_Extract!M29</f>
        <v>954</v>
      </c>
      <c r="K17" s="859">
        <f>PL_Extract!N29</f>
        <v>981</v>
      </c>
      <c r="L17" s="859">
        <f>PL_Extract!O29</f>
        <v>1008.0000000000001</v>
      </c>
      <c r="M17" s="859">
        <f>PL_Extract!P29</f>
        <v>1035.0000000000002</v>
      </c>
      <c r="N17" s="859">
        <f>PL_Extract!Q29</f>
        <v>1062.0000000000002</v>
      </c>
      <c r="O17" s="859">
        <f>PL_Extract!R29</f>
        <v>1089.0000000000002</v>
      </c>
      <c r="P17" s="859">
        <f>PL_Extract!S29</f>
        <v>1116.0000000000002</v>
      </c>
      <c r="Q17" s="859">
        <f>PL_Extract!T29</f>
        <v>1143.0000000000002</v>
      </c>
      <c r="R17" s="859">
        <f>PL_Extract!U29</f>
        <v>1170.0000000000002</v>
      </c>
      <c r="S17" s="859">
        <f>PL_Extract!V29</f>
        <v>1197.0000000000002</v>
      </c>
      <c r="T17" s="859">
        <f>PL_Extract!W29</f>
        <v>1197.0000000000002</v>
      </c>
      <c r="U17" s="859">
        <f>PL_Extract!X29</f>
        <v>1197.0000000000002</v>
      </c>
    </row>
    <row r="18" spans="1:21" x14ac:dyDescent="0.45">
      <c r="A18" s="858" t="str">
        <f>PL_Extract!B30</f>
        <v>Vehicle Operations</v>
      </c>
      <c r="B18" s="859">
        <f>PL_Extract!E30</f>
        <v>45</v>
      </c>
      <c r="C18" s="859">
        <f>PL_Extract!F30</f>
        <v>45</v>
      </c>
      <c r="D18" s="859">
        <f>PL_Extract!G30</f>
        <v>135</v>
      </c>
      <c r="E18" s="859">
        <f>PL_Extract!H30</f>
        <v>135</v>
      </c>
      <c r="F18" s="859">
        <f>PL_Extract!I30</f>
        <v>135</v>
      </c>
      <c r="G18" s="859">
        <f>PL_Extract!J30</f>
        <v>135</v>
      </c>
      <c r="H18" s="859">
        <f>PL_Extract!K30</f>
        <v>180</v>
      </c>
      <c r="I18" s="859">
        <f>PL_Extract!L30</f>
        <v>183.15</v>
      </c>
      <c r="J18" s="859">
        <f>PL_Extract!M30</f>
        <v>190.8</v>
      </c>
      <c r="K18" s="859">
        <f>PL_Extract!N30</f>
        <v>196.20000000000002</v>
      </c>
      <c r="L18" s="859">
        <f>PL_Extract!O30</f>
        <v>201.6</v>
      </c>
      <c r="M18" s="859">
        <f>PL_Extract!P30</f>
        <v>207.00000000000003</v>
      </c>
      <c r="N18" s="859">
        <f>PL_Extract!Q30</f>
        <v>212.40000000000003</v>
      </c>
      <c r="O18" s="859">
        <f>PL_Extract!R30</f>
        <v>217.80000000000004</v>
      </c>
      <c r="P18" s="859">
        <f>PL_Extract!S30</f>
        <v>223.20000000000002</v>
      </c>
      <c r="Q18" s="859">
        <f>PL_Extract!T30</f>
        <v>228.60000000000002</v>
      </c>
      <c r="R18" s="859">
        <f>PL_Extract!U30</f>
        <v>234.00000000000003</v>
      </c>
      <c r="S18" s="859">
        <f>PL_Extract!V30</f>
        <v>239.40000000000003</v>
      </c>
      <c r="T18" s="859">
        <f>PL_Extract!W30</f>
        <v>239.40000000000003</v>
      </c>
      <c r="U18" s="859">
        <f>PL_Extract!X30</f>
        <v>239.40000000000003</v>
      </c>
    </row>
    <row r="19" spans="1:21" x14ac:dyDescent="0.45">
      <c r="A19" s="858" t="str">
        <f>PL_Extract!B31</f>
        <v>Miscellaneous</v>
      </c>
      <c r="B19" s="859">
        <f>PL_Extract!E31</f>
        <v>450</v>
      </c>
      <c r="C19" s="859">
        <f>PL_Extract!F31</f>
        <v>450</v>
      </c>
      <c r="D19" s="859">
        <f>PL_Extract!G31</f>
        <v>1350</v>
      </c>
      <c r="E19" s="859">
        <f>PL_Extract!H31</f>
        <v>1350</v>
      </c>
      <c r="F19" s="859">
        <f>PL_Extract!I31</f>
        <v>1350</v>
      </c>
      <c r="G19" s="859">
        <f>PL_Extract!J31</f>
        <v>1350</v>
      </c>
      <c r="H19" s="859">
        <f>PL_Extract!K31</f>
        <v>1800</v>
      </c>
      <c r="I19" s="859">
        <f>PL_Extract!L31</f>
        <v>1831.5</v>
      </c>
      <c r="J19" s="859">
        <f>PL_Extract!M31</f>
        <v>1908</v>
      </c>
      <c r="K19" s="859">
        <f>PL_Extract!N31</f>
        <v>1962</v>
      </c>
      <c r="L19" s="859">
        <f>PL_Extract!O31</f>
        <v>2016.0000000000002</v>
      </c>
      <c r="M19" s="859">
        <f>PL_Extract!P31</f>
        <v>2070.0000000000005</v>
      </c>
      <c r="N19" s="859">
        <f>PL_Extract!Q31</f>
        <v>2124.0000000000005</v>
      </c>
      <c r="O19" s="859">
        <f>PL_Extract!R31</f>
        <v>2178.0000000000005</v>
      </c>
      <c r="P19" s="859">
        <f>PL_Extract!S31</f>
        <v>2232.0000000000005</v>
      </c>
      <c r="Q19" s="859">
        <f>PL_Extract!T31</f>
        <v>2286.0000000000005</v>
      </c>
      <c r="R19" s="859">
        <f>PL_Extract!U31</f>
        <v>2340.0000000000005</v>
      </c>
      <c r="S19" s="859">
        <f>PL_Extract!V31</f>
        <v>2394.0000000000005</v>
      </c>
      <c r="T19" s="859">
        <f>PL_Extract!W31</f>
        <v>2394.0000000000005</v>
      </c>
      <c r="U19" s="859">
        <f>PL_Extract!X31</f>
        <v>2394.0000000000005</v>
      </c>
    </row>
    <row r="20" spans="1:21" x14ac:dyDescent="0.45">
      <c r="A20" s="858" t="str">
        <f>PL_Extract!B32</f>
        <v>Energy Costs for Common Parts</v>
      </c>
      <c r="B20" s="859">
        <f>PL_Extract!E32</f>
        <v>77.026499999999913</v>
      </c>
      <c r="C20" s="859">
        <f>PL_Extract!F32</f>
        <v>77.026499999999913</v>
      </c>
      <c r="D20" s="859">
        <f>PL_Extract!G32</f>
        <v>231.07949999999968</v>
      </c>
      <c r="E20" s="859">
        <f>PL_Extract!H32</f>
        <v>231.07949999999968</v>
      </c>
      <c r="F20" s="859">
        <f>PL_Extract!I32</f>
        <v>231.07949999999968</v>
      </c>
      <c r="G20" s="859">
        <f>PL_Extract!J32</f>
        <v>231.07949999999968</v>
      </c>
      <c r="H20" s="859">
        <f>PL_Extract!K32</f>
        <v>308.10599999999965</v>
      </c>
      <c r="I20" s="859">
        <f>PL_Extract!L32</f>
        <v>313.49785499999956</v>
      </c>
      <c r="J20" s="859">
        <f>PL_Extract!M32</f>
        <v>326.59235999999964</v>
      </c>
      <c r="K20" s="859">
        <f>PL_Extract!N32</f>
        <v>335.83553999999975</v>
      </c>
      <c r="L20" s="859">
        <f>PL_Extract!O32</f>
        <v>345.07871999999963</v>
      </c>
      <c r="M20" s="859">
        <f>PL_Extract!P32</f>
        <v>354.32189999999963</v>
      </c>
      <c r="N20" s="859">
        <f>PL_Extract!Q32</f>
        <v>363.56507999999968</v>
      </c>
      <c r="O20" s="859">
        <f>PL_Extract!R32</f>
        <v>372.80825999999973</v>
      </c>
      <c r="P20" s="859">
        <f>PL_Extract!S32</f>
        <v>382.05143999999973</v>
      </c>
      <c r="Q20" s="859">
        <f>PL_Extract!T32</f>
        <v>391.29461999999961</v>
      </c>
      <c r="R20" s="859">
        <f>PL_Extract!U32</f>
        <v>400.53779999999966</v>
      </c>
      <c r="S20" s="859">
        <f>PL_Extract!V32</f>
        <v>409.78097999999972</v>
      </c>
      <c r="T20" s="859">
        <f>PL_Extract!W32</f>
        <v>409.78097999999972</v>
      </c>
      <c r="U20" s="859">
        <f>PL_Extract!X32</f>
        <v>409.78097999999972</v>
      </c>
    </row>
    <row r="21" spans="1:21" x14ac:dyDescent="0.45">
      <c r="A21" s="858" t="str">
        <f>PL_Extract!B33</f>
        <v>Security of Common Parts 24x7</v>
      </c>
      <c r="B21" s="859">
        <f>PL_Extract!E33</f>
        <v>720</v>
      </c>
      <c r="C21" s="859">
        <f>PL_Extract!F33</f>
        <v>720</v>
      </c>
      <c r="D21" s="859">
        <f>PL_Extract!G33</f>
        <v>2160</v>
      </c>
      <c r="E21" s="859">
        <f>PL_Extract!H33</f>
        <v>2160</v>
      </c>
      <c r="F21" s="859">
        <f>PL_Extract!I33</f>
        <v>2160</v>
      </c>
      <c r="G21" s="859">
        <f>PL_Extract!J33</f>
        <v>2160</v>
      </c>
      <c r="H21" s="859">
        <f>PL_Extract!K33</f>
        <v>2880</v>
      </c>
      <c r="I21" s="859">
        <f>PL_Extract!L33</f>
        <v>2930.4</v>
      </c>
      <c r="J21" s="859">
        <f>PL_Extract!M33</f>
        <v>3052.8</v>
      </c>
      <c r="K21" s="859">
        <f>PL_Extract!N33</f>
        <v>3139.2000000000003</v>
      </c>
      <c r="L21" s="859">
        <f>PL_Extract!O33</f>
        <v>3225.6</v>
      </c>
      <c r="M21" s="859">
        <f>PL_Extract!P33</f>
        <v>3312.0000000000005</v>
      </c>
      <c r="N21" s="859">
        <f>PL_Extract!Q33</f>
        <v>3398.4000000000005</v>
      </c>
      <c r="O21" s="859">
        <f>PL_Extract!R33</f>
        <v>3484.8000000000006</v>
      </c>
      <c r="P21" s="859">
        <f>PL_Extract!S33</f>
        <v>3571.2000000000003</v>
      </c>
      <c r="Q21" s="859">
        <f>PL_Extract!T33</f>
        <v>3657.6000000000004</v>
      </c>
      <c r="R21" s="859">
        <f>PL_Extract!U33</f>
        <v>3744.0000000000005</v>
      </c>
      <c r="S21" s="859">
        <f>PL_Extract!V33</f>
        <v>3830.4000000000005</v>
      </c>
      <c r="T21" s="859">
        <f>PL_Extract!W33</f>
        <v>3830.4000000000005</v>
      </c>
      <c r="U21" s="859">
        <f>PL_Extract!X33</f>
        <v>3830.4000000000005</v>
      </c>
    </row>
    <row r="22" spans="1:21" x14ac:dyDescent="0.45">
      <c r="A22" s="858" t="str">
        <f>PL_Extract!B34</f>
        <v>Water and Sewage Charges for Common Parts</v>
      </c>
      <c r="B22" s="859">
        <f>PL_Extract!E34</f>
        <v>120</v>
      </c>
      <c r="C22" s="859">
        <f>PL_Extract!F34</f>
        <v>120</v>
      </c>
      <c r="D22" s="859">
        <f>PL_Extract!G34</f>
        <v>360</v>
      </c>
      <c r="E22" s="859">
        <f>PL_Extract!H34</f>
        <v>360</v>
      </c>
      <c r="F22" s="859">
        <f>PL_Extract!I34</f>
        <v>360</v>
      </c>
      <c r="G22" s="859">
        <f>PL_Extract!J34</f>
        <v>360</v>
      </c>
      <c r="H22" s="859">
        <f>PL_Extract!K34</f>
        <v>480</v>
      </c>
      <c r="I22" s="859">
        <f>PL_Extract!L34</f>
        <v>488.4</v>
      </c>
      <c r="J22" s="859">
        <f>PL_Extract!M34</f>
        <v>508.8</v>
      </c>
      <c r="K22" s="859">
        <f>PL_Extract!N34</f>
        <v>523.20000000000005</v>
      </c>
      <c r="L22" s="859">
        <f>PL_Extract!O34</f>
        <v>537.60000000000014</v>
      </c>
      <c r="M22" s="859">
        <f>PL_Extract!P34</f>
        <v>552.00000000000011</v>
      </c>
      <c r="N22" s="859">
        <f>PL_Extract!Q34</f>
        <v>566.40000000000009</v>
      </c>
      <c r="O22" s="859">
        <f>PL_Extract!R34</f>
        <v>580.80000000000007</v>
      </c>
      <c r="P22" s="859">
        <f>PL_Extract!S34</f>
        <v>595.20000000000016</v>
      </c>
      <c r="Q22" s="859">
        <f>PL_Extract!T34</f>
        <v>609.60000000000014</v>
      </c>
      <c r="R22" s="859">
        <f>PL_Extract!U34</f>
        <v>624.00000000000011</v>
      </c>
      <c r="S22" s="859">
        <f>PL_Extract!V34</f>
        <v>638.40000000000009</v>
      </c>
      <c r="T22" s="859">
        <f>PL_Extract!W34</f>
        <v>638.40000000000009</v>
      </c>
      <c r="U22" s="859">
        <f>PL_Extract!X34</f>
        <v>638.40000000000009</v>
      </c>
    </row>
    <row r="23" spans="1:21" x14ac:dyDescent="0.45">
      <c r="A23" s="858" t="str">
        <f>PL_Extract!B35</f>
        <v>Cleaning and Environmental Charges</v>
      </c>
      <c r="B23" s="859">
        <f>PL_Extract!E35</f>
        <v>45</v>
      </c>
      <c r="C23" s="859">
        <f>PL_Extract!F35</f>
        <v>45</v>
      </c>
      <c r="D23" s="859">
        <f>PL_Extract!G35</f>
        <v>135</v>
      </c>
      <c r="E23" s="859">
        <f>PL_Extract!H35</f>
        <v>135</v>
      </c>
      <c r="F23" s="859">
        <f>PL_Extract!I35</f>
        <v>135</v>
      </c>
      <c r="G23" s="859">
        <f>PL_Extract!J35</f>
        <v>135</v>
      </c>
      <c r="H23" s="859">
        <f>PL_Extract!K35</f>
        <v>180</v>
      </c>
      <c r="I23" s="859">
        <f>PL_Extract!L35</f>
        <v>183.15</v>
      </c>
      <c r="J23" s="859">
        <f>PL_Extract!M35</f>
        <v>190.8</v>
      </c>
      <c r="K23" s="859">
        <f>PL_Extract!N35</f>
        <v>196.20000000000002</v>
      </c>
      <c r="L23" s="859">
        <f>PL_Extract!O35</f>
        <v>201.6</v>
      </c>
      <c r="M23" s="859">
        <f>PL_Extract!P35</f>
        <v>207.00000000000003</v>
      </c>
      <c r="N23" s="859">
        <f>PL_Extract!Q35</f>
        <v>212.40000000000003</v>
      </c>
      <c r="O23" s="859">
        <f>PL_Extract!R35</f>
        <v>217.80000000000004</v>
      </c>
      <c r="P23" s="859">
        <f>PL_Extract!S35</f>
        <v>223.20000000000002</v>
      </c>
      <c r="Q23" s="859">
        <f>PL_Extract!T35</f>
        <v>228.60000000000002</v>
      </c>
      <c r="R23" s="859">
        <f>PL_Extract!U35</f>
        <v>234.00000000000003</v>
      </c>
      <c r="S23" s="859">
        <f>PL_Extract!V35</f>
        <v>239.40000000000003</v>
      </c>
      <c r="T23" s="859">
        <f>PL_Extract!W35</f>
        <v>239.40000000000003</v>
      </c>
      <c r="U23" s="859">
        <f>PL_Extract!X35</f>
        <v>239.40000000000003</v>
      </c>
    </row>
    <row r="24" spans="1:21" x14ac:dyDescent="0.45">
      <c r="A24" s="858" t="str">
        <f>PL_Extract!B36</f>
        <v>Landscaping of Common Parts</v>
      </c>
      <c r="B24" s="859">
        <f>PL_Extract!E36</f>
        <v>282.5</v>
      </c>
      <c r="C24" s="859">
        <f>PL_Extract!F36</f>
        <v>90</v>
      </c>
      <c r="D24" s="859">
        <f>PL_Extract!G36</f>
        <v>270</v>
      </c>
      <c r="E24" s="859">
        <f>PL_Extract!H36</f>
        <v>270</v>
      </c>
      <c r="F24" s="859">
        <f>PL_Extract!I36</f>
        <v>270</v>
      </c>
      <c r="G24" s="859">
        <f>PL_Extract!J36</f>
        <v>270</v>
      </c>
      <c r="H24" s="859">
        <f>PL_Extract!K36</f>
        <v>360</v>
      </c>
      <c r="I24" s="859">
        <f>PL_Extract!L36</f>
        <v>366.3</v>
      </c>
      <c r="J24" s="859">
        <f>PL_Extract!M36</f>
        <v>381.6</v>
      </c>
      <c r="K24" s="859">
        <f>PL_Extract!N36</f>
        <v>392.40000000000003</v>
      </c>
      <c r="L24" s="859">
        <f>PL_Extract!O36</f>
        <v>403.2</v>
      </c>
      <c r="M24" s="859">
        <f>PL_Extract!P36</f>
        <v>414.00000000000006</v>
      </c>
      <c r="N24" s="859">
        <f>PL_Extract!Q36</f>
        <v>424.80000000000007</v>
      </c>
      <c r="O24" s="859">
        <f>PL_Extract!R36</f>
        <v>435.60000000000008</v>
      </c>
      <c r="P24" s="859">
        <f>PL_Extract!S36</f>
        <v>446.40000000000003</v>
      </c>
      <c r="Q24" s="859">
        <f>PL_Extract!T36</f>
        <v>457.20000000000005</v>
      </c>
      <c r="R24" s="859">
        <f>PL_Extract!U36</f>
        <v>468.00000000000006</v>
      </c>
      <c r="S24" s="859">
        <f>PL_Extract!V36</f>
        <v>478.80000000000007</v>
      </c>
      <c r="T24" s="859">
        <f>PL_Extract!W36</f>
        <v>478.80000000000007</v>
      </c>
      <c r="U24" s="859">
        <f>PL_Extract!X36</f>
        <v>478.80000000000007</v>
      </c>
    </row>
    <row r="25" spans="1:21" ht="14.65" thickBot="1" x14ac:dyDescent="0.5">
      <c r="A25" s="858" t="str">
        <f>PL_Extract!B37</f>
        <v>Major Works</v>
      </c>
      <c r="B25" s="860">
        <f>PL_Extract!E37</f>
        <v>0</v>
      </c>
      <c r="C25" s="860">
        <f>PL_Extract!F37</f>
        <v>0</v>
      </c>
      <c r="D25" s="860">
        <f>PL_Extract!G37</f>
        <v>0</v>
      </c>
      <c r="E25" s="860">
        <f>PL_Extract!H37</f>
        <v>0</v>
      </c>
      <c r="F25" s="860">
        <f>PL_Extract!I37</f>
        <v>0</v>
      </c>
      <c r="G25" s="860">
        <f>PL_Extract!J37</f>
        <v>0</v>
      </c>
      <c r="H25" s="860">
        <f>PL_Extract!K37</f>
        <v>0</v>
      </c>
      <c r="I25" s="860">
        <f>PL_Extract!L37</f>
        <v>0</v>
      </c>
      <c r="J25" s="860">
        <f>PL_Extract!M37</f>
        <v>0</v>
      </c>
      <c r="K25" s="860">
        <f>PL_Extract!N37</f>
        <v>0</v>
      </c>
      <c r="L25" s="860">
        <f>PL_Extract!O37</f>
        <v>0</v>
      </c>
      <c r="M25" s="860">
        <f>PL_Extract!P37</f>
        <v>0</v>
      </c>
      <c r="N25" s="860">
        <f>PL_Extract!Q37</f>
        <v>0</v>
      </c>
      <c r="O25" s="860">
        <f>PL_Extract!R37</f>
        <v>0</v>
      </c>
      <c r="P25" s="860">
        <f>PL_Extract!S37</f>
        <v>0</v>
      </c>
      <c r="Q25" s="860">
        <f>PL_Extract!T37</f>
        <v>0</v>
      </c>
      <c r="R25" s="860">
        <f>PL_Extract!U37</f>
        <v>0</v>
      </c>
      <c r="S25" s="860">
        <f>PL_Extract!V37</f>
        <v>0</v>
      </c>
      <c r="T25" s="860">
        <f>PL_Extract!W37</f>
        <v>0</v>
      </c>
      <c r="U25" s="860">
        <f>PL_Extract!X37</f>
        <v>0</v>
      </c>
    </row>
    <row r="26" spans="1:21" ht="14.65" thickTop="1" x14ac:dyDescent="0.45">
      <c r="A26" s="852" t="str">
        <f>PL_Extract!B38</f>
        <v>Total Expenses</v>
      </c>
      <c r="B26" s="861">
        <f>SUM(B7:B25)</f>
        <v>6131.7143933996877</v>
      </c>
      <c r="C26" s="861">
        <f t="shared" ref="C26:U26" si="0">SUM(C7:C25)</f>
        <v>5889.2143933996877</v>
      </c>
      <c r="D26" s="861">
        <f t="shared" si="0"/>
        <v>14307.643180199062</v>
      </c>
      <c r="E26" s="861">
        <f t="shared" si="0"/>
        <v>14307.643180199062</v>
      </c>
      <c r="F26" s="861">
        <f t="shared" si="0"/>
        <v>14307.643180199062</v>
      </c>
      <c r="G26" s="861">
        <f t="shared" si="0"/>
        <v>14307.643180199062</v>
      </c>
      <c r="H26" s="861">
        <f t="shared" si="0"/>
        <v>19036.857573598751</v>
      </c>
      <c r="I26" s="861">
        <f t="shared" si="0"/>
        <v>19367.902581136732</v>
      </c>
      <c r="J26" s="861">
        <f t="shared" si="0"/>
        <v>20171.869028014673</v>
      </c>
      <c r="K26" s="861">
        <f t="shared" si="0"/>
        <v>20739.374755222645</v>
      </c>
      <c r="L26" s="861">
        <f t="shared" si="0"/>
        <v>21306.880482430603</v>
      </c>
      <c r="M26" s="861">
        <f t="shared" si="0"/>
        <v>21874.386209638567</v>
      </c>
      <c r="N26" s="861">
        <f t="shared" si="0"/>
        <v>22441.891936846532</v>
      </c>
      <c r="O26" s="861">
        <f t="shared" si="0"/>
        <v>23009.397664054486</v>
      </c>
      <c r="P26" s="861">
        <f t="shared" si="0"/>
        <v>23576.903391262462</v>
      </c>
      <c r="Q26" s="861">
        <f t="shared" si="0"/>
        <v>24144.409118470412</v>
      </c>
      <c r="R26" s="861">
        <f t="shared" si="0"/>
        <v>24711.914845678377</v>
      </c>
      <c r="S26" s="861">
        <f t="shared" si="0"/>
        <v>25279.420572886345</v>
      </c>
      <c r="T26" s="861">
        <f t="shared" si="0"/>
        <v>25279.420572886345</v>
      </c>
      <c r="U26" s="861">
        <f t="shared" si="0"/>
        <v>25279.420572886345</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theme="6" tint="0.39997558519241921"/>
  </sheetPr>
  <dimension ref="A1:II31"/>
  <sheetViews>
    <sheetView zoomScale="85" zoomScaleNormal="85" workbookViewId="0">
      <pane xSplit="2" ySplit="4" topLeftCell="C26" activePane="bottomRight" state="frozen"/>
      <selection activeCell="C22" sqref="C22"/>
      <selection pane="topRight" activeCell="C22" sqref="C22"/>
      <selection pane="bottomLeft" activeCell="C22" sqref="C22"/>
      <selection pane="bottomRight" activeCell="J32" sqref="J32"/>
    </sheetView>
  </sheetViews>
  <sheetFormatPr defaultRowHeight="14.25" x14ac:dyDescent="0.45"/>
  <cols>
    <col min="1" max="1" width="36.265625" customWidth="1"/>
    <col min="2" max="2" width="12.59765625" customWidth="1"/>
    <col min="3" max="3" width="15.265625" bestFit="1" customWidth="1"/>
    <col min="4" max="4" width="14.265625" customWidth="1"/>
    <col min="5" max="7" width="12.59765625" customWidth="1"/>
    <col min="8" max="8" width="14" bestFit="1" customWidth="1"/>
    <col min="9" max="9" width="14.265625" bestFit="1" customWidth="1"/>
    <col min="10" max="69" width="12.59765625" customWidth="1"/>
    <col min="70" max="70" width="15" bestFit="1" customWidth="1"/>
    <col min="71" max="184" width="12.59765625" customWidth="1"/>
    <col min="185" max="185" width="13.3984375" bestFit="1" customWidth="1"/>
    <col min="186" max="241" width="12.59765625" customWidth="1"/>
    <col min="242" max="242" width="16.59765625" bestFit="1" customWidth="1"/>
    <col min="243" max="243" width="14.86328125" bestFit="1" customWidth="1"/>
  </cols>
  <sheetData>
    <row r="1" spans="1:243" ht="23.25" x14ac:dyDescent="0.7">
      <c r="A1" s="9" t="s">
        <v>385</v>
      </c>
      <c r="B1" s="9"/>
      <c r="C1" s="63"/>
      <c r="D1" s="63"/>
    </row>
    <row r="3" spans="1:243" x14ac:dyDescent="0.45">
      <c r="A3" s="67" t="s">
        <v>166</v>
      </c>
      <c r="B3" s="112"/>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c r="II3" s="21" t="s">
        <v>245</v>
      </c>
    </row>
    <row r="4" spans="1:243" x14ac:dyDescent="0.45">
      <c r="A4" s="67" t="s">
        <v>167</v>
      </c>
      <c r="B4" s="112" t="s">
        <v>367</v>
      </c>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3" x14ac:dyDescent="0.45">
      <c r="A5" s="67" t="s">
        <v>253</v>
      </c>
      <c r="B5" s="112"/>
      <c r="C5" s="47">
        <v>1</v>
      </c>
      <c r="D5" s="47">
        <v>2</v>
      </c>
      <c r="E5" s="47">
        <v>3</v>
      </c>
      <c r="F5" s="47">
        <v>4</v>
      </c>
      <c r="G5" s="47">
        <v>5</v>
      </c>
      <c r="H5" s="47">
        <v>6</v>
      </c>
      <c r="I5" s="47">
        <v>7</v>
      </c>
      <c r="J5" s="47">
        <v>8</v>
      </c>
      <c r="K5" s="47">
        <v>9</v>
      </c>
      <c r="L5" s="47">
        <v>10</v>
      </c>
      <c r="M5" s="47">
        <v>11</v>
      </c>
      <c r="N5" s="47">
        <v>12</v>
      </c>
      <c r="O5" s="47">
        <v>13</v>
      </c>
      <c r="P5" s="47">
        <v>14</v>
      </c>
      <c r="Q5" s="47">
        <v>15</v>
      </c>
      <c r="R5" s="47">
        <v>16</v>
      </c>
      <c r="S5" s="47">
        <v>17</v>
      </c>
      <c r="T5" s="47">
        <v>18</v>
      </c>
      <c r="U5" s="47">
        <v>19</v>
      </c>
      <c r="V5" s="47">
        <v>20</v>
      </c>
      <c r="W5" s="47">
        <v>21</v>
      </c>
      <c r="X5" s="47">
        <v>22</v>
      </c>
      <c r="Y5" s="47">
        <v>23</v>
      </c>
      <c r="Z5" s="47">
        <v>24</v>
      </c>
      <c r="AA5" s="47">
        <v>25</v>
      </c>
      <c r="AB5" s="47">
        <v>26</v>
      </c>
      <c r="AC5" s="47">
        <v>27</v>
      </c>
      <c r="AD5" s="47">
        <v>28</v>
      </c>
      <c r="AE5" s="47">
        <v>29</v>
      </c>
      <c r="AF5" s="47">
        <v>30</v>
      </c>
      <c r="AG5" s="47">
        <v>31</v>
      </c>
      <c r="AH5" s="47">
        <v>32</v>
      </c>
      <c r="AI5" s="47">
        <v>33</v>
      </c>
      <c r="AJ5" s="47">
        <v>34</v>
      </c>
      <c r="AK5" s="47">
        <v>35</v>
      </c>
      <c r="AL5" s="47">
        <v>36</v>
      </c>
      <c r="AM5" s="47">
        <v>37</v>
      </c>
      <c r="AN5" s="47">
        <v>38</v>
      </c>
      <c r="AO5" s="47">
        <v>39</v>
      </c>
      <c r="AP5" s="47">
        <v>40</v>
      </c>
      <c r="AQ5" s="47">
        <v>41</v>
      </c>
      <c r="AR5" s="47">
        <v>42</v>
      </c>
      <c r="AS5" s="47">
        <v>43</v>
      </c>
      <c r="AT5" s="47">
        <v>44</v>
      </c>
      <c r="AU5" s="47">
        <v>45</v>
      </c>
      <c r="AV5" s="47">
        <v>46</v>
      </c>
      <c r="AW5" s="47">
        <v>47</v>
      </c>
      <c r="AX5" s="47">
        <v>48</v>
      </c>
      <c r="AY5" s="47">
        <v>49</v>
      </c>
      <c r="AZ5" s="47">
        <v>50</v>
      </c>
      <c r="BA5" s="47">
        <v>51</v>
      </c>
      <c r="BB5" s="47">
        <v>52</v>
      </c>
      <c r="BC5" s="47">
        <v>53</v>
      </c>
      <c r="BD5" s="47">
        <v>54</v>
      </c>
      <c r="BE5" s="47">
        <v>55</v>
      </c>
      <c r="BF5" s="47">
        <v>56</v>
      </c>
      <c r="BG5" s="47">
        <v>57</v>
      </c>
      <c r="BH5" s="47">
        <v>58</v>
      </c>
      <c r="BI5" s="47">
        <v>59</v>
      </c>
      <c r="BJ5" s="47">
        <v>60</v>
      </c>
      <c r="BK5" s="47">
        <v>61</v>
      </c>
      <c r="BL5" s="47">
        <v>62</v>
      </c>
      <c r="BM5" s="47">
        <v>63</v>
      </c>
      <c r="BN5" s="47">
        <v>64</v>
      </c>
      <c r="BO5" s="47">
        <v>65</v>
      </c>
      <c r="BP5" s="47">
        <v>66</v>
      </c>
      <c r="BQ5" s="47">
        <v>67</v>
      </c>
      <c r="BR5" s="47">
        <v>68</v>
      </c>
      <c r="BS5" s="47">
        <v>69</v>
      </c>
      <c r="BT5" s="47">
        <v>70</v>
      </c>
      <c r="BU5" s="47">
        <v>71</v>
      </c>
      <c r="BV5" s="47">
        <v>72</v>
      </c>
      <c r="BW5" s="47">
        <v>73</v>
      </c>
      <c r="BX5" s="47">
        <v>74</v>
      </c>
      <c r="BY5" s="47">
        <v>75</v>
      </c>
      <c r="BZ5" s="47">
        <v>76</v>
      </c>
      <c r="CA5" s="47">
        <v>77</v>
      </c>
      <c r="CB5" s="47">
        <v>78</v>
      </c>
      <c r="CC5" s="47">
        <v>79</v>
      </c>
      <c r="CD5" s="47">
        <v>80</v>
      </c>
      <c r="CE5" s="47">
        <v>81</v>
      </c>
      <c r="CF5" s="47">
        <v>82</v>
      </c>
      <c r="CG5" s="47">
        <v>83</v>
      </c>
      <c r="CH5" s="47">
        <v>84</v>
      </c>
      <c r="CI5" s="47">
        <v>85</v>
      </c>
      <c r="CJ5" s="47">
        <v>86</v>
      </c>
      <c r="CK5" s="47">
        <v>87</v>
      </c>
      <c r="CL5" s="47">
        <v>88</v>
      </c>
      <c r="CM5" s="47">
        <v>89</v>
      </c>
      <c r="CN5" s="47">
        <v>90</v>
      </c>
      <c r="CO5" s="47">
        <v>91</v>
      </c>
      <c r="CP5" s="47">
        <v>92</v>
      </c>
      <c r="CQ5" s="47">
        <v>93</v>
      </c>
      <c r="CR5" s="47">
        <v>94</v>
      </c>
      <c r="CS5" s="47">
        <v>95</v>
      </c>
      <c r="CT5" s="47">
        <v>96</v>
      </c>
      <c r="CU5" s="47">
        <v>97</v>
      </c>
      <c r="CV5" s="47">
        <v>98</v>
      </c>
      <c r="CW5" s="47">
        <v>99</v>
      </c>
      <c r="CX5" s="47">
        <v>100</v>
      </c>
      <c r="CY5" s="47">
        <v>101</v>
      </c>
      <c r="CZ5" s="47">
        <v>102</v>
      </c>
      <c r="DA5" s="47">
        <v>103</v>
      </c>
      <c r="DB5" s="47">
        <v>104</v>
      </c>
      <c r="DC5" s="47">
        <v>105</v>
      </c>
      <c r="DD5" s="47">
        <v>106</v>
      </c>
      <c r="DE5" s="47">
        <v>107</v>
      </c>
      <c r="DF5" s="47">
        <v>108</v>
      </c>
      <c r="DG5" s="47">
        <v>109</v>
      </c>
      <c r="DH5" s="47">
        <v>110</v>
      </c>
      <c r="DI5" s="47">
        <v>111</v>
      </c>
      <c r="DJ5" s="47">
        <v>112</v>
      </c>
      <c r="DK5" s="47">
        <v>113</v>
      </c>
      <c r="DL5" s="47">
        <v>114</v>
      </c>
      <c r="DM5" s="47">
        <v>115</v>
      </c>
      <c r="DN5" s="47">
        <v>116</v>
      </c>
      <c r="DO5" s="47">
        <v>117</v>
      </c>
      <c r="DP5" s="47">
        <v>118</v>
      </c>
      <c r="DQ5" s="47">
        <v>119</v>
      </c>
      <c r="DR5" s="47">
        <v>120</v>
      </c>
      <c r="DS5" s="47">
        <v>121</v>
      </c>
      <c r="DT5" s="47">
        <v>122</v>
      </c>
      <c r="DU5" s="47">
        <v>123</v>
      </c>
      <c r="DV5" s="47">
        <v>124</v>
      </c>
      <c r="DW5" s="47">
        <v>125</v>
      </c>
      <c r="DX5" s="47">
        <v>126</v>
      </c>
      <c r="DY5" s="47">
        <v>127</v>
      </c>
      <c r="DZ5" s="47">
        <v>128</v>
      </c>
      <c r="EA5" s="47">
        <v>129</v>
      </c>
      <c r="EB5" s="47">
        <v>130</v>
      </c>
      <c r="EC5" s="47">
        <v>131</v>
      </c>
      <c r="ED5" s="47">
        <v>132</v>
      </c>
      <c r="EE5" s="47">
        <v>133</v>
      </c>
      <c r="EF5" s="47">
        <v>134</v>
      </c>
      <c r="EG5" s="47">
        <v>135</v>
      </c>
      <c r="EH5" s="47">
        <v>136</v>
      </c>
      <c r="EI5" s="47">
        <v>137</v>
      </c>
      <c r="EJ5" s="47">
        <v>138</v>
      </c>
      <c r="EK5" s="47">
        <v>139</v>
      </c>
      <c r="EL5" s="47">
        <v>140</v>
      </c>
      <c r="EM5" s="47">
        <v>141</v>
      </c>
      <c r="EN5" s="47">
        <v>142</v>
      </c>
      <c r="EO5" s="47">
        <v>143</v>
      </c>
      <c r="EP5" s="47">
        <v>144</v>
      </c>
      <c r="EQ5" s="47">
        <v>145</v>
      </c>
      <c r="ER5" s="47">
        <v>146</v>
      </c>
      <c r="ES5" s="47">
        <v>147</v>
      </c>
      <c r="ET5" s="47">
        <v>148</v>
      </c>
      <c r="EU5" s="47">
        <v>149</v>
      </c>
      <c r="EV5" s="47">
        <v>150</v>
      </c>
      <c r="EW5" s="47">
        <v>151</v>
      </c>
      <c r="EX5" s="47">
        <v>152</v>
      </c>
      <c r="EY5" s="47">
        <v>153</v>
      </c>
      <c r="EZ5" s="47">
        <v>154</v>
      </c>
      <c r="FA5" s="47">
        <v>155</v>
      </c>
      <c r="FB5" s="47">
        <v>156</v>
      </c>
      <c r="FC5" s="47">
        <v>157</v>
      </c>
      <c r="FD5" s="47">
        <v>158</v>
      </c>
      <c r="FE5" s="47">
        <v>159</v>
      </c>
      <c r="FF5" s="47">
        <v>160</v>
      </c>
      <c r="FG5" s="47">
        <v>161</v>
      </c>
      <c r="FH5" s="47">
        <v>162</v>
      </c>
      <c r="FI5" s="47">
        <v>163</v>
      </c>
      <c r="FJ5" s="47">
        <v>164</v>
      </c>
      <c r="FK5" s="47">
        <v>165</v>
      </c>
      <c r="FL5" s="47">
        <v>166</v>
      </c>
      <c r="FM5" s="47">
        <v>167</v>
      </c>
      <c r="FN5" s="47">
        <v>168</v>
      </c>
      <c r="FO5" s="47">
        <v>169</v>
      </c>
      <c r="FP5" s="47">
        <v>170</v>
      </c>
      <c r="FQ5" s="47">
        <v>171</v>
      </c>
      <c r="FR5" s="47">
        <v>172</v>
      </c>
      <c r="FS5" s="47">
        <v>173</v>
      </c>
      <c r="FT5" s="47">
        <v>174</v>
      </c>
      <c r="FU5" s="47">
        <v>175</v>
      </c>
      <c r="FV5" s="47">
        <v>176</v>
      </c>
      <c r="FW5" s="47">
        <v>177</v>
      </c>
      <c r="FX5" s="47">
        <v>178</v>
      </c>
      <c r="FY5" s="47">
        <v>179</v>
      </c>
      <c r="FZ5" s="47">
        <v>180</v>
      </c>
      <c r="GA5" s="47">
        <v>181</v>
      </c>
      <c r="GB5" s="47">
        <v>182</v>
      </c>
      <c r="GC5" s="47">
        <v>183</v>
      </c>
      <c r="GD5" s="47">
        <v>184</v>
      </c>
      <c r="GE5" s="47">
        <v>185</v>
      </c>
      <c r="GF5" s="47">
        <v>186</v>
      </c>
      <c r="GG5" s="47">
        <v>187</v>
      </c>
      <c r="GH5" s="47">
        <v>188</v>
      </c>
      <c r="GI5" s="47">
        <v>189</v>
      </c>
      <c r="GJ5" s="47">
        <v>190</v>
      </c>
      <c r="GK5" s="47">
        <v>191</v>
      </c>
      <c r="GL5" s="47">
        <v>192</v>
      </c>
      <c r="GM5" s="47">
        <v>193</v>
      </c>
      <c r="GN5" s="47">
        <v>194</v>
      </c>
      <c r="GO5" s="47">
        <v>195</v>
      </c>
      <c r="GP5" s="47">
        <v>196</v>
      </c>
      <c r="GQ5" s="47">
        <v>197</v>
      </c>
      <c r="GR5" s="47">
        <v>198</v>
      </c>
      <c r="GS5" s="47">
        <v>199</v>
      </c>
      <c r="GT5" s="47">
        <v>200</v>
      </c>
      <c r="GU5" s="47">
        <v>201</v>
      </c>
      <c r="GV5" s="47">
        <v>202</v>
      </c>
      <c r="GW5" s="47">
        <v>203</v>
      </c>
      <c r="GX5" s="47">
        <v>204</v>
      </c>
      <c r="GY5" s="47">
        <v>205</v>
      </c>
      <c r="GZ5" s="47">
        <v>206</v>
      </c>
      <c r="HA5" s="47">
        <v>207</v>
      </c>
      <c r="HB5" s="47">
        <v>208</v>
      </c>
      <c r="HC5" s="47">
        <v>209</v>
      </c>
      <c r="HD5" s="47">
        <v>210</v>
      </c>
      <c r="HE5" s="47">
        <v>211</v>
      </c>
      <c r="HF5" s="47">
        <v>212</v>
      </c>
      <c r="HG5" s="47">
        <v>213</v>
      </c>
      <c r="HH5" s="47">
        <v>214</v>
      </c>
      <c r="HI5" s="47">
        <v>215</v>
      </c>
      <c r="HJ5" s="47">
        <v>216</v>
      </c>
      <c r="HK5" s="47">
        <v>217</v>
      </c>
      <c r="HL5" s="47">
        <v>218</v>
      </c>
      <c r="HM5" s="47">
        <v>219</v>
      </c>
      <c r="HN5" s="47">
        <v>220</v>
      </c>
      <c r="HO5" s="47">
        <v>221</v>
      </c>
      <c r="HP5" s="47">
        <v>222</v>
      </c>
      <c r="HQ5" s="47">
        <v>223</v>
      </c>
      <c r="HR5" s="47">
        <v>224</v>
      </c>
      <c r="HS5" s="47">
        <v>225</v>
      </c>
      <c r="HT5" s="47">
        <v>226</v>
      </c>
      <c r="HU5" s="47">
        <v>227</v>
      </c>
      <c r="HV5" s="47">
        <v>228</v>
      </c>
      <c r="HW5" s="47">
        <v>229</v>
      </c>
      <c r="HX5" s="47">
        <v>230</v>
      </c>
      <c r="HY5" s="47">
        <v>231</v>
      </c>
      <c r="HZ5" s="47">
        <v>232</v>
      </c>
      <c r="IA5" s="47">
        <v>233</v>
      </c>
      <c r="IB5" s="47">
        <v>234</v>
      </c>
      <c r="IC5" s="47">
        <v>235</v>
      </c>
      <c r="ID5" s="47">
        <v>236</v>
      </c>
      <c r="IE5" s="47">
        <v>237</v>
      </c>
      <c r="IF5" s="47">
        <v>238</v>
      </c>
      <c r="IG5" s="47">
        <v>239</v>
      </c>
      <c r="IH5" s="47">
        <v>240</v>
      </c>
    </row>
    <row r="6" spans="1:243" x14ac:dyDescent="0.45">
      <c r="A6" s="67" t="s">
        <v>423</v>
      </c>
      <c r="B6" s="112"/>
      <c r="C6" s="124">
        <f>IF(SUM($C$7:C7)&gt;=1,0,1)</f>
        <v>1</v>
      </c>
      <c r="D6" s="124">
        <f>IF(SUM($C$7:C7)&gt;=1,0,1)</f>
        <v>1</v>
      </c>
      <c r="E6" s="124">
        <f>IF(SUM($C$7:D7)&gt;=1,0,1)</f>
        <v>1</v>
      </c>
      <c r="F6" s="124">
        <f>IF(SUM($C$7:E7)&gt;=1,0,1)</f>
        <v>1</v>
      </c>
      <c r="G6" s="124">
        <f>IF(SUM($C$7:F7)&gt;=1,0,1)</f>
        <v>1</v>
      </c>
      <c r="H6" s="124">
        <f>IF(SUM($C$7:G7)&gt;=1,0,1)</f>
        <v>1</v>
      </c>
      <c r="I6" s="124">
        <f>IF(SUM($C$7:H7)&gt;=1,0,1)</f>
        <v>1</v>
      </c>
      <c r="J6" s="124">
        <f>IF(SUM($C$7:I7)&gt;=1,0,1)</f>
        <v>1</v>
      </c>
      <c r="K6" s="124">
        <f>IF(SUM($C$7:J7)&gt;=1,0,1)</f>
        <v>1</v>
      </c>
      <c r="L6" s="124">
        <f>IF(SUM($C$7:K7)&gt;=1,0,1)</f>
        <v>1</v>
      </c>
      <c r="M6" s="124">
        <f>IF(SUM($C$7:L7)&gt;=1,0,1)</f>
        <v>1</v>
      </c>
      <c r="N6" s="124">
        <f>IF(SUM($C$7:M7)&gt;=1,0,1)</f>
        <v>1</v>
      </c>
      <c r="O6" s="124">
        <f>IF(SUM($C$7:N7)&gt;=1,0,1)</f>
        <v>1</v>
      </c>
      <c r="P6" s="124">
        <f>IF(SUM($C$7:O7)&gt;=1,0,1)</f>
        <v>1</v>
      </c>
      <c r="Q6" s="124">
        <f>IF(SUM($C$7:P7)&gt;=1,0,1)</f>
        <v>1</v>
      </c>
      <c r="R6" s="124">
        <f>IF(SUM($C$7:Q7)&gt;=1,0,1)</f>
        <v>1</v>
      </c>
      <c r="S6" s="124">
        <f>IF(SUM($C$7:R7)&gt;=1,0,1)</f>
        <v>1</v>
      </c>
      <c r="T6" s="124">
        <f>IF(SUM($C$7:S7)&gt;=1,0,1)</f>
        <v>1</v>
      </c>
      <c r="U6" s="124">
        <f>IF(SUM($C$7:T7)&gt;=1,0,1)</f>
        <v>1</v>
      </c>
      <c r="V6" s="124">
        <f>IF(SUM($C$7:U7)&gt;=1,0,1)</f>
        <v>1</v>
      </c>
      <c r="W6" s="124">
        <f>IF(SUM($C$7:V7)&gt;=1,0,1)</f>
        <v>1</v>
      </c>
      <c r="X6" s="124">
        <f>IF(SUM($C$7:W7)&gt;=1,0,1)</f>
        <v>1</v>
      </c>
      <c r="Y6" s="124">
        <f>IF(SUM($C$7:X7)&gt;=1,0,1)</f>
        <v>1</v>
      </c>
      <c r="Z6" s="124">
        <f>IF(SUM($C$7:Y7)&gt;=1,0,1)</f>
        <v>1</v>
      </c>
      <c r="AA6" s="124">
        <f>IF(SUM($C$7:Z7)&gt;=1,0,1)</f>
        <v>0</v>
      </c>
      <c r="AB6" s="124">
        <f>IF(SUM($C$7:AA7)&gt;=1,0,1)</f>
        <v>0</v>
      </c>
      <c r="AC6" s="124">
        <f>IF(SUM($C$7:AB7)&gt;=1,0,1)</f>
        <v>0</v>
      </c>
      <c r="AD6" s="124">
        <f>IF(SUM($C$7:AC7)&gt;=1,0,1)</f>
        <v>0</v>
      </c>
      <c r="AE6" s="124">
        <f>IF(SUM($C$7:AD7)&gt;=1,0,1)</f>
        <v>0</v>
      </c>
      <c r="AF6" s="124">
        <f>IF(SUM($C$7:AE7)&gt;=1,0,1)</f>
        <v>0</v>
      </c>
      <c r="AG6" s="124">
        <f>IF(SUM($C$7:AF7)&gt;=1,0,1)</f>
        <v>0</v>
      </c>
      <c r="AH6" s="124">
        <f>IF(SUM($C$7:AG7)&gt;=1,0,1)</f>
        <v>0</v>
      </c>
      <c r="AI6" s="124">
        <f>IF(SUM($C$7:AH7)&gt;=1,0,1)</f>
        <v>0</v>
      </c>
      <c r="AJ6" s="124">
        <f>IF(SUM($C$7:AI7)&gt;=1,0,1)</f>
        <v>0</v>
      </c>
      <c r="AK6" s="124">
        <f>IF(SUM($C$7:AJ7)&gt;=1,0,1)</f>
        <v>0</v>
      </c>
      <c r="AL6" s="124">
        <f>IF(SUM($C$7:AK7)&gt;=1,0,1)</f>
        <v>0</v>
      </c>
      <c r="AM6" s="124">
        <f>IF(SUM($C$7:AL7)&gt;=1,0,1)</f>
        <v>0</v>
      </c>
      <c r="AN6" s="124">
        <f>IF(SUM($C$7:AM7)&gt;=1,0,1)</f>
        <v>0</v>
      </c>
      <c r="AO6" s="124">
        <f>IF(SUM($C$7:AN7)&gt;=1,0,1)</f>
        <v>0</v>
      </c>
      <c r="AP6" s="124">
        <f>IF(SUM($C$7:AO7)&gt;=1,0,1)</f>
        <v>0</v>
      </c>
      <c r="AQ6" s="124">
        <f>IF(SUM($C$7:AP7)&gt;=1,0,1)</f>
        <v>0</v>
      </c>
      <c r="AR6" s="124">
        <f>IF(SUM($C$7:AQ7)&gt;=1,0,1)</f>
        <v>0</v>
      </c>
      <c r="AS6" s="124">
        <f>IF(SUM($C$7:AR7)&gt;=1,0,1)</f>
        <v>0</v>
      </c>
      <c r="AT6" s="124">
        <f>IF(SUM($C$7:AS7)&gt;=1,0,1)</f>
        <v>0</v>
      </c>
      <c r="AU6" s="124">
        <f>IF(SUM($C$7:AT7)&gt;=1,0,1)</f>
        <v>0</v>
      </c>
      <c r="AV6" s="124">
        <f>IF(SUM($C$7:AU7)&gt;=1,0,1)</f>
        <v>0</v>
      </c>
      <c r="AW6" s="124">
        <f>IF(SUM($C$7:AV7)&gt;=1,0,1)</f>
        <v>0</v>
      </c>
      <c r="AX6" s="124">
        <f>IF(SUM($C$7:AW7)&gt;=1,0,1)</f>
        <v>0</v>
      </c>
      <c r="AY6" s="124">
        <f>IF(SUM($C$7:AX7)&gt;=1,0,1)</f>
        <v>0</v>
      </c>
      <c r="AZ6" s="124">
        <f>IF(SUM($C$7:AY7)&gt;=1,0,1)</f>
        <v>0</v>
      </c>
      <c r="BA6" s="124">
        <f>IF(SUM($C$7:AZ7)&gt;=1,0,1)</f>
        <v>0</v>
      </c>
      <c r="BB6" s="124">
        <f>IF(SUM($C$7:BA7)&gt;=1,0,1)</f>
        <v>0</v>
      </c>
      <c r="BC6" s="124">
        <f>IF(SUM($C$7:BB7)&gt;=1,0,1)</f>
        <v>0</v>
      </c>
      <c r="BD6" s="124">
        <f>IF(SUM($C$7:BC7)&gt;=1,0,1)</f>
        <v>0</v>
      </c>
      <c r="BE6" s="124">
        <f>IF(SUM($C$7:BD7)&gt;=1,0,1)</f>
        <v>0</v>
      </c>
      <c r="BF6" s="124">
        <f>IF(SUM($C$7:BE7)&gt;=1,0,1)</f>
        <v>0</v>
      </c>
      <c r="BG6" s="124">
        <f>IF(SUM($C$7:BF7)&gt;=1,0,1)</f>
        <v>0</v>
      </c>
      <c r="BH6" s="124">
        <f>IF(SUM($C$7:BG7)&gt;=1,0,1)</f>
        <v>0</v>
      </c>
      <c r="BI6" s="124">
        <f>IF(SUM($C$7:BH7)&gt;=1,0,1)</f>
        <v>0</v>
      </c>
      <c r="BJ6" s="124">
        <f>IF(SUM($C$7:BI7)&gt;=1,0,1)</f>
        <v>0</v>
      </c>
      <c r="BK6" s="124">
        <f>IF(SUM($C$7:BJ7)&gt;=1,0,1)</f>
        <v>0</v>
      </c>
      <c r="BL6" s="124">
        <f>IF(SUM($C$7:BK7)&gt;=1,0,1)</f>
        <v>0</v>
      </c>
      <c r="BM6" s="124">
        <f>IF(SUM($C$7:BL7)&gt;=1,0,1)</f>
        <v>0</v>
      </c>
      <c r="BN6" s="124">
        <f>IF(SUM($C$7:BM7)&gt;=1,0,1)</f>
        <v>0</v>
      </c>
      <c r="BO6" s="124">
        <f>IF(SUM($C$7:BN7)&gt;=1,0,1)</f>
        <v>0</v>
      </c>
      <c r="BP6" s="124">
        <f>IF(SUM($C$7:BO7)&gt;=1,0,1)</f>
        <v>0</v>
      </c>
      <c r="BQ6" s="124">
        <f>IF(SUM($C$7:BP7)&gt;=1,0,1)</f>
        <v>0</v>
      </c>
      <c r="BR6" s="124">
        <f>IF(SUM($C$7:BQ7)&gt;=1,0,1)</f>
        <v>0</v>
      </c>
      <c r="BS6" s="124">
        <f>IF(SUM($C$7:BR7)&gt;=1,0,1)</f>
        <v>0</v>
      </c>
      <c r="BT6" s="124">
        <f>IF(SUM($C$7:BS7)&gt;=1,0,1)</f>
        <v>0</v>
      </c>
      <c r="BU6" s="124">
        <f>IF(SUM($C$7:BT7)&gt;=1,0,1)</f>
        <v>0</v>
      </c>
      <c r="BV6" s="124">
        <f>IF(SUM($C$7:BU7)&gt;=1,0,1)</f>
        <v>0</v>
      </c>
      <c r="BW6" s="124">
        <f>IF(SUM($C$7:BV7)&gt;=1,0,1)</f>
        <v>0</v>
      </c>
      <c r="BX6" s="124">
        <f>IF(SUM($C$7:BW7)&gt;=1,0,1)</f>
        <v>0</v>
      </c>
      <c r="BY6" s="124">
        <f>IF(SUM($C$7:BX7)&gt;=1,0,1)</f>
        <v>0</v>
      </c>
      <c r="BZ6" s="124">
        <f>IF(SUM($C$7:BY7)&gt;=1,0,1)</f>
        <v>0</v>
      </c>
      <c r="CA6" s="124">
        <f>IF(SUM($C$7:BZ7)&gt;=1,0,1)</f>
        <v>0</v>
      </c>
      <c r="CB6" s="124">
        <f>IF(SUM($C$7:CA7)&gt;=1,0,1)</f>
        <v>0</v>
      </c>
      <c r="CC6" s="124">
        <f>IF(SUM($C$7:CB7)&gt;=1,0,1)</f>
        <v>0</v>
      </c>
      <c r="CD6" s="124">
        <f>IF(SUM($C$7:CC7)&gt;=1,0,1)</f>
        <v>0</v>
      </c>
      <c r="CE6" s="124">
        <f>IF(SUM($C$7:CD7)&gt;=1,0,1)</f>
        <v>0</v>
      </c>
      <c r="CF6" s="124">
        <f>IF(SUM($C$7:CE7)&gt;=1,0,1)</f>
        <v>0</v>
      </c>
      <c r="CG6" s="124">
        <f>IF(SUM($C$7:CF7)&gt;=1,0,1)</f>
        <v>0</v>
      </c>
      <c r="CH6" s="124">
        <f>IF(SUM($C$7:CG7)&gt;=1,0,1)</f>
        <v>0</v>
      </c>
      <c r="CI6" s="124">
        <f>IF(SUM($C$7:CH7)&gt;=1,0,1)</f>
        <v>0</v>
      </c>
      <c r="CJ6" s="124">
        <f>IF(SUM($C$7:CI7)&gt;=1,0,1)</f>
        <v>0</v>
      </c>
      <c r="CK6" s="124">
        <f>IF(SUM($C$7:CJ7)&gt;=1,0,1)</f>
        <v>0</v>
      </c>
      <c r="CL6" s="124">
        <f>IF(SUM($C$7:CK7)&gt;=1,0,1)</f>
        <v>0</v>
      </c>
      <c r="CM6" s="124">
        <f>IF(SUM($C$7:CL7)&gt;=1,0,1)</f>
        <v>0</v>
      </c>
      <c r="CN6" s="124">
        <f>IF(SUM($C$7:CM7)&gt;=1,0,1)</f>
        <v>0</v>
      </c>
      <c r="CO6" s="124">
        <f>IF(SUM($C$7:CN7)&gt;=1,0,1)</f>
        <v>0</v>
      </c>
      <c r="CP6" s="124">
        <f>IF(SUM($C$7:CO7)&gt;=1,0,1)</f>
        <v>0</v>
      </c>
      <c r="CQ6" s="124">
        <f>IF(SUM($C$7:CP7)&gt;=1,0,1)</f>
        <v>0</v>
      </c>
      <c r="CR6" s="124">
        <f>IF(SUM($C$7:CQ7)&gt;=1,0,1)</f>
        <v>0</v>
      </c>
      <c r="CS6" s="124">
        <f>IF(SUM($C$7:CR7)&gt;=1,0,1)</f>
        <v>0</v>
      </c>
      <c r="CT6" s="124">
        <f>IF(SUM($C$7:CS7)&gt;=1,0,1)</f>
        <v>0</v>
      </c>
      <c r="CU6" s="124">
        <f>IF(SUM($C$7:CT7)&gt;=1,0,1)</f>
        <v>0</v>
      </c>
      <c r="CV6" s="124">
        <f>IF(SUM($C$7:CU7)&gt;=1,0,1)</f>
        <v>0</v>
      </c>
      <c r="CW6" s="124">
        <f>IF(SUM($C$7:CV7)&gt;=1,0,1)</f>
        <v>0</v>
      </c>
      <c r="CX6" s="124">
        <f>IF(SUM($C$7:CW7)&gt;=1,0,1)</f>
        <v>0</v>
      </c>
      <c r="CY6" s="124">
        <f>IF(SUM($C$7:CX7)&gt;=1,0,1)</f>
        <v>0</v>
      </c>
      <c r="CZ6" s="124">
        <f>IF(SUM($C$7:CY7)&gt;=1,0,1)</f>
        <v>0</v>
      </c>
      <c r="DA6" s="124">
        <f>IF(SUM($C$7:CZ7)&gt;=1,0,1)</f>
        <v>0</v>
      </c>
      <c r="DB6" s="124">
        <f>IF(SUM($C$7:DA7)&gt;=1,0,1)</f>
        <v>0</v>
      </c>
      <c r="DC6" s="124">
        <f>IF(SUM($C$7:DB7)&gt;=1,0,1)</f>
        <v>0</v>
      </c>
      <c r="DD6" s="124">
        <f>IF(SUM($C$7:DC7)&gt;=1,0,1)</f>
        <v>0</v>
      </c>
      <c r="DE6" s="124">
        <f>IF(SUM($C$7:DD7)&gt;=1,0,1)</f>
        <v>0</v>
      </c>
      <c r="DF6" s="124">
        <f>IF(SUM($C$7:DE7)&gt;=1,0,1)</f>
        <v>0</v>
      </c>
      <c r="DG6" s="124">
        <f>IF(SUM($C$7:DF7)&gt;=1,0,1)</f>
        <v>0</v>
      </c>
      <c r="DH6" s="124">
        <f>IF(SUM($C$7:DG7)&gt;=1,0,1)</f>
        <v>0</v>
      </c>
      <c r="DI6" s="124">
        <f>IF(SUM($C$7:DH7)&gt;=1,0,1)</f>
        <v>0</v>
      </c>
      <c r="DJ6" s="124">
        <f>IF(SUM($C$7:DI7)&gt;=1,0,1)</f>
        <v>0</v>
      </c>
      <c r="DK6" s="124">
        <f>IF(SUM($C$7:DJ7)&gt;=1,0,1)</f>
        <v>0</v>
      </c>
      <c r="DL6" s="124">
        <f>IF(SUM($C$7:DK7)&gt;=1,0,1)</f>
        <v>0</v>
      </c>
      <c r="DM6" s="124">
        <f>IF(SUM($C$7:DL7)&gt;=1,0,1)</f>
        <v>0</v>
      </c>
      <c r="DN6" s="124">
        <f>IF(SUM($C$7:DM7)&gt;=1,0,1)</f>
        <v>0</v>
      </c>
      <c r="DO6" s="124">
        <f>IF(SUM($C$7:DN7)&gt;=1,0,1)</f>
        <v>0</v>
      </c>
      <c r="DP6" s="124">
        <f>IF(SUM($C$7:DO7)&gt;=1,0,1)</f>
        <v>0</v>
      </c>
      <c r="DQ6" s="124">
        <f>IF(SUM($C$7:DP7)&gt;=1,0,1)</f>
        <v>0</v>
      </c>
      <c r="DR6" s="124">
        <f>IF(SUM($C$7:DQ7)&gt;=1,0,1)</f>
        <v>0</v>
      </c>
      <c r="DS6" s="124">
        <f>IF(SUM($C$7:DR7)&gt;=1,0,1)</f>
        <v>0</v>
      </c>
      <c r="DT6" s="124">
        <f>IF(SUM($C$7:DS7)&gt;=1,0,1)</f>
        <v>0</v>
      </c>
      <c r="DU6" s="124">
        <f>IF(SUM($C$7:DT7)&gt;=1,0,1)</f>
        <v>0</v>
      </c>
      <c r="DV6" s="124">
        <f>IF(SUM($C$7:DU7)&gt;=1,0,1)</f>
        <v>0</v>
      </c>
      <c r="DW6" s="124">
        <f>IF(SUM($C$7:DV7)&gt;=1,0,1)</f>
        <v>0</v>
      </c>
      <c r="DX6" s="124">
        <f>IF(SUM($C$7:DW7)&gt;=1,0,1)</f>
        <v>0</v>
      </c>
      <c r="DY6" s="124">
        <f>IF(SUM($C$7:DX7)&gt;=1,0,1)</f>
        <v>0</v>
      </c>
      <c r="DZ6" s="124">
        <f>IF(SUM($C$7:DY7)&gt;=1,0,1)</f>
        <v>0</v>
      </c>
      <c r="EA6" s="124">
        <f>IF(SUM($C$7:DZ7)&gt;=1,0,1)</f>
        <v>0</v>
      </c>
      <c r="EB6" s="124">
        <f>IF(SUM($C$7:EA7)&gt;=1,0,1)</f>
        <v>0</v>
      </c>
      <c r="EC6" s="124">
        <f>IF(SUM($C$7:EB7)&gt;=1,0,1)</f>
        <v>0</v>
      </c>
      <c r="ED6" s="124">
        <f>IF(SUM($C$7:EC7)&gt;=1,0,1)</f>
        <v>0</v>
      </c>
      <c r="EE6" s="124">
        <f>IF(SUM($C$7:ED7)&gt;=1,0,1)</f>
        <v>0</v>
      </c>
      <c r="EF6" s="124">
        <f>IF(SUM($C$7:EE7)&gt;=1,0,1)</f>
        <v>0</v>
      </c>
      <c r="EG6" s="124">
        <f>IF(SUM($C$7:EF7)&gt;=1,0,1)</f>
        <v>0</v>
      </c>
      <c r="EH6" s="124">
        <f>IF(SUM($C$7:EG7)&gt;=1,0,1)</f>
        <v>0</v>
      </c>
      <c r="EI6" s="124">
        <f>IF(SUM($C$7:EH7)&gt;=1,0,1)</f>
        <v>0</v>
      </c>
      <c r="EJ6" s="124">
        <f>IF(SUM($C$7:EI7)&gt;=1,0,1)</f>
        <v>0</v>
      </c>
      <c r="EK6" s="124">
        <f>IF(SUM($C$7:EJ7)&gt;=1,0,1)</f>
        <v>0</v>
      </c>
      <c r="EL6" s="124">
        <f>IF(SUM($C$7:EK7)&gt;=1,0,1)</f>
        <v>0</v>
      </c>
      <c r="EM6" s="124">
        <f>IF(SUM($C$7:EL7)&gt;=1,0,1)</f>
        <v>0</v>
      </c>
      <c r="EN6" s="124">
        <f>IF(SUM($C$7:EM7)&gt;=1,0,1)</f>
        <v>0</v>
      </c>
      <c r="EO6" s="124">
        <f>IF(SUM($C$7:EN7)&gt;=1,0,1)</f>
        <v>0</v>
      </c>
      <c r="EP6" s="124">
        <f>IF(SUM($C$7:EO7)&gt;=1,0,1)</f>
        <v>0</v>
      </c>
      <c r="EQ6" s="124">
        <f>IF(SUM($C$7:EP7)&gt;=1,0,1)</f>
        <v>0</v>
      </c>
      <c r="ER6" s="124">
        <f>IF(SUM($C$7:EQ7)&gt;=1,0,1)</f>
        <v>0</v>
      </c>
      <c r="ES6" s="124">
        <f>IF(SUM($C$7:ER7)&gt;=1,0,1)</f>
        <v>0</v>
      </c>
      <c r="ET6" s="124">
        <f>IF(SUM($C$7:ES7)&gt;=1,0,1)</f>
        <v>0</v>
      </c>
      <c r="EU6" s="124">
        <f>IF(SUM($C$7:ET7)&gt;=1,0,1)</f>
        <v>0</v>
      </c>
      <c r="EV6" s="124">
        <f>IF(SUM($C$7:EU7)&gt;=1,0,1)</f>
        <v>0</v>
      </c>
      <c r="EW6" s="124">
        <f>IF(SUM($C$7:EV7)&gt;=1,0,1)</f>
        <v>0</v>
      </c>
      <c r="EX6" s="124">
        <f>IF(SUM($C$7:EW7)&gt;=1,0,1)</f>
        <v>0</v>
      </c>
      <c r="EY6" s="124">
        <f>IF(SUM($C$7:EX7)&gt;=1,0,1)</f>
        <v>0</v>
      </c>
      <c r="EZ6" s="124">
        <f>IF(SUM($C$7:EY7)&gt;=1,0,1)</f>
        <v>0</v>
      </c>
      <c r="FA6" s="124">
        <f>IF(SUM($C$7:EZ7)&gt;=1,0,1)</f>
        <v>0</v>
      </c>
      <c r="FB6" s="124">
        <f>IF(SUM($C$7:FA7)&gt;=1,0,1)</f>
        <v>0</v>
      </c>
      <c r="FC6" s="124">
        <f>IF(SUM($C$7:FB7)&gt;=1,0,1)</f>
        <v>0</v>
      </c>
      <c r="FD6" s="124">
        <f>IF(SUM($C$7:FC7)&gt;=1,0,1)</f>
        <v>0</v>
      </c>
      <c r="FE6" s="124">
        <f>IF(SUM($C$7:FD7)&gt;=1,0,1)</f>
        <v>0</v>
      </c>
      <c r="FF6" s="124">
        <f>IF(SUM($C$7:FE7)&gt;=1,0,1)</f>
        <v>0</v>
      </c>
      <c r="FG6" s="124">
        <f>IF(SUM($C$7:FF7)&gt;=1,0,1)</f>
        <v>0</v>
      </c>
      <c r="FH6" s="124">
        <f>IF(SUM($C$7:FG7)&gt;=1,0,1)</f>
        <v>0</v>
      </c>
      <c r="FI6" s="124">
        <f>IF(SUM($C$7:FH7)&gt;=1,0,1)</f>
        <v>0</v>
      </c>
      <c r="FJ6" s="124">
        <f>IF(SUM($C$7:FI7)&gt;=1,0,1)</f>
        <v>0</v>
      </c>
      <c r="FK6" s="124">
        <f>IF(SUM($C$7:FJ7)&gt;=1,0,1)</f>
        <v>0</v>
      </c>
      <c r="FL6" s="124">
        <f>IF(SUM($C$7:FK7)&gt;=1,0,1)</f>
        <v>0</v>
      </c>
      <c r="FM6" s="124">
        <f>IF(SUM($C$7:FL7)&gt;=1,0,1)</f>
        <v>0</v>
      </c>
      <c r="FN6" s="124">
        <f>IF(SUM($C$7:FM7)&gt;=1,0,1)</f>
        <v>0</v>
      </c>
      <c r="FO6" s="124">
        <f>IF(SUM($C$7:FN7)&gt;=1,0,1)</f>
        <v>0</v>
      </c>
      <c r="FP6" s="124">
        <f>IF(SUM($C$7:FO7)&gt;=1,0,1)</f>
        <v>0</v>
      </c>
      <c r="FQ6" s="124">
        <f>IF(SUM($C$7:FP7)&gt;=1,0,1)</f>
        <v>0</v>
      </c>
      <c r="FR6" s="124">
        <f>IF(SUM($C$7:FQ7)&gt;=1,0,1)</f>
        <v>0</v>
      </c>
      <c r="FS6" s="124">
        <f>IF(SUM($C$7:FR7)&gt;=1,0,1)</f>
        <v>0</v>
      </c>
      <c r="FT6" s="124">
        <f>IF(SUM($C$7:FS7)&gt;=1,0,1)</f>
        <v>0</v>
      </c>
      <c r="FU6" s="124">
        <f>IF(SUM($C$7:FT7)&gt;=1,0,1)</f>
        <v>0</v>
      </c>
      <c r="FV6" s="124">
        <f>IF(SUM($C$7:FU7)&gt;=1,0,1)</f>
        <v>0</v>
      </c>
      <c r="FW6" s="124">
        <f>IF(SUM($C$7:FV7)&gt;=1,0,1)</f>
        <v>0</v>
      </c>
      <c r="FX6" s="124">
        <f>IF(SUM($C$7:FW7)&gt;=1,0,1)</f>
        <v>0</v>
      </c>
      <c r="FY6" s="124">
        <f>IF(SUM($C$7:FX7)&gt;=1,0,1)</f>
        <v>0</v>
      </c>
      <c r="FZ6" s="124">
        <f>IF(SUM($C$7:FY7)&gt;=1,0,1)</f>
        <v>0</v>
      </c>
      <c r="GA6" s="124">
        <f>IF(SUM($C$7:FZ7)&gt;=1,0,1)</f>
        <v>0</v>
      </c>
      <c r="GB6" s="124">
        <f>IF(SUM($C$7:GA7)&gt;=1,0,1)</f>
        <v>0</v>
      </c>
      <c r="GC6" s="124">
        <f>IF(SUM($C$7:GB7)&gt;=1,0,1)</f>
        <v>0</v>
      </c>
      <c r="GD6" s="124">
        <f>IF(SUM($C$7:GC7)&gt;=1,0,1)</f>
        <v>0</v>
      </c>
      <c r="GE6" s="124">
        <f>IF(SUM($C$7:GD7)&gt;=1,0,1)</f>
        <v>0</v>
      </c>
      <c r="GF6" s="124">
        <f>IF(SUM($C$7:GE7)&gt;=1,0,1)</f>
        <v>0</v>
      </c>
      <c r="GG6" s="124">
        <f>IF(SUM($C$7:GF7)&gt;=1,0,1)</f>
        <v>0</v>
      </c>
      <c r="GH6" s="124">
        <f>IF(SUM($C$7:GG7)&gt;=1,0,1)</f>
        <v>0</v>
      </c>
      <c r="GI6" s="124">
        <f>IF(SUM($C$7:GH7)&gt;=1,0,1)</f>
        <v>0</v>
      </c>
      <c r="GJ6" s="124">
        <f>IF(SUM($C$7:GI7)&gt;=1,0,1)</f>
        <v>0</v>
      </c>
      <c r="GK6" s="124">
        <f>IF(SUM($C$7:GJ7)&gt;=1,0,1)</f>
        <v>0</v>
      </c>
      <c r="GL6" s="124">
        <f>IF(SUM($C$7:GK7)&gt;=1,0,1)</f>
        <v>0</v>
      </c>
      <c r="GM6" s="124">
        <f>IF(SUM($C$7:GL7)&gt;=1,0,1)</f>
        <v>0</v>
      </c>
      <c r="GN6" s="124">
        <f>IF(SUM($C$7:GM7)&gt;=1,0,1)</f>
        <v>0</v>
      </c>
      <c r="GO6" s="124">
        <f>IF(SUM($C$7:GN7)&gt;=1,0,1)</f>
        <v>0</v>
      </c>
      <c r="GP6" s="124">
        <f>IF(SUM($C$7:GO7)&gt;=1,0,1)</f>
        <v>0</v>
      </c>
      <c r="GQ6" s="124">
        <f>IF(SUM($C$7:GP7)&gt;=1,0,1)</f>
        <v>0</v>
      </c>
      <c r="GR6" s="124">
        <f>IF(SUM($C$7:GQ7)&gt;=1,0,1)</f>
        <v>0</v>
      </c>
      <c r="GS6" s="124">
        <f>IF(SUM($C$7:GR7)&gt;=1,0,1)</f>
        <v>0</v>
      </c>
      <c r="GT6" s="124">
        <f>IF(SUM($C$7:GS7)&gt;=1,0,1)</f>
        <v>0</v>
      </c>
      <c r="GU6" s="124">
        <f>IF(SUM($C$7:GT7)&gt;=1,0,1)</f>
        <v>0</v>
      </c>
      <c r="GV6" s="124">
        <f>IF(SUM($C$7:GU7)&gt;=1,0,1)</f>
        <v>0</v>
      </c>
      <c r="GW6" s="124">
        <f>IF(SUM($C$7:GV7)&gt;=1,0,1)</f>
        <v>0</v>
      </c>
      <c r="GX6" s="124">
        <f>IF(SUM($C$7:GW7)&gt;=1,0,1)</f>
        <v>0</v>
      </c>
      <c r="GY6" s="124">
        <f>IF(SUM($C$7:GX7)&gt;=1,0,1)</f>
        <v>0</v>
      </c>
      <c r="GZ6" s="124">
        <f>IF(SUM($C$7:GY7)&gt;=1,0,1)</f>
        <v>0</v>
      </c>
      <c r="HA6" s="124">
        <f>IF(SUM($C$7:GZ7)&gt;=1,0,1)</f>
        <v>0</v>
      </c>
      <c r="HB6" s="124">
        <f>IF(SUM($C$7:HA7)&gt;=1,0,1)</f>
        <v>0</v>
      </c>
      <c r="HC6" s="124">
        <f>IF(SUM($C$7:HB7)&gt;=1,0,1)</f>
        <v>0</v>
      </c>
      <c r="HD6" s="124">
        <f>IF(SUM($C$7:HC7)&gt;=1,0,1)</f>
        <v>0</v>
      </c>
      <c r="HE6" s="124">
        <f>IF(SUM($C$7:HD7)&gt;=1,0,1)</f>
        <v>0</v>
      </c>
      <c r="HF6" s="124">
        <f>IF(SUM($C$7:HE7)&gt;=1,0,1)</f>
        <v>0</v>
      </c>
      <c r="HG6" s="124">
        <f>IF(SUM($C$7:HF7)&gt;=1,0,1)</f>
        <v>0</v>
      </c>
      <c r="HH6" s="124">
        <f>IF(SUM($C$7:HG7)&gt;=1,0,1)</f>
        <v>0</v>
      </c>
      <c r="HI6" s="124">
        <f>IF(SUM($C$7:HH7)&gt;=1,0,1)</f>
        <v>0</v>
      </c>
      <c r="HJ6" s="124">
        <f>IF(SUM($C$7:HI7)&gt;=1,0,1)</f>
        <v>0</v>
      </c>
      <c r="HK6" s="124">
        <f>IF(SUM($C$7:HJ7)&gt;=1,0,1)</f>
        <v>0</v>
      </c>
      <c r="HL6" s="124">
        <f>IF(SUM($C$7:HK7)&gt;=1,0,1)</f>
        <v>0</v>
      </c>
      <c r="HM6" s="124">
        <f>IF(SUM($C$7:HL7)&gt;=1,0,1)</f>
        <v>0</v>
      </c>
      <c r="HN6" s="124">
        <f>IF(SUM($C$7:HM7)&gt;=1,0,1)</f>
        <v>0</v>
      </c>
      <c r="HO6" s="124">
        <f>IF(SUM($C$7:HN7)&gt;=1,0,1)</f>
        <v>0</v>
      </c>
      <c r="HP6" s="124">
        <f>IF(SUM($C$7:HO7)&gt;=1,0,1)</f>
        <v>0</v>
      </c>
      <c r="HQ6" s="124">
        <f>IF(SUM($C$7:HP7)&gt;=1,0,1)</f>
        <v>0</v>
      </c>
      <c r="HR6" s="124">
        <f>IF(SUM($C$7:HQ7)&gt;=1,0,1)</f>
        <v>0</v>
      </c>
      <c r="HS6" s="124">
        <f>IF(SUM($C$7:HR7)&gt;=1,0,1)</f>
        <v>0</v>
      </c>
      <c r="HT6" s="124">
        <f>IF(SUM($C$7:HS7)&gt;=1,0,1)</f>
        <v>0</v>
      </c>
      <c r="HU6" s="124">
        <f>IF(SUM($C$7:HT7)&gt;=1,0,1)</f>
        <v>0</v>
      </c>
      <c r="HV6" s="124">
        <f>IF(SUM($C$7:HU7)&gt;=1,0,1)</f>
        <v>0</v>
      </c>
      <c r="HW6" s="124">
        <f>IF(SUM($C$7:HV7)&gt;=1,0,1)</f>
        <v>0</v>
      </c>
      <c r="HX6" s="124">
        <f>IF(SUM($C$7:HW7)&gt;=1,0,1)</f>
        <v>0</v>
      </c>
      <c r="HY6" s="124">
        <f>IF(SUM($C$7:HX7)&gt;=1,0,1)</f>
        <v>0</v>
      </c>
      <c r="HZ6" s="124">
        <f>IF(SUM($C$7:HY7)&gt;=1,0,1)</f>
        <v>0</v>
      </c>
      <c r="IA6" s="124">
        <f>IF(SUM($C$7:HZ7)&gt;=1,0,1)</f>
        <v>0</v>
      </c>
      <c r="IB6" s="124">
        <f>IF(SUM($C$7:IA7)&gt;=1,0,1)</f>
        <v>0</v>
      </c>
      <c r="IC6" s="124">
        <f>IF(SUM($C$7:IB7)&gt;=1,0,1)</f>
        <v>0</v>
      </c>
      <c r="ID6" s="124">
        <f>IF(SUM($C$7:IC7)&gt;=1,0,1)</f>
        <v>0</v>
      </c>
      <c r="IE6" s="124">
        <f>IF(SUM($C$7:ID7)&gt;=1,0,1)</f>
        <v>0</v>
      </c>
      <c r="IF6" s="124">
        <f>IF(SUM($C$7:IE7)&gt;=1,0,1)</f>
        <v>0</v>
      </c>
      <c r="IG6" s="124">
        <f>IF(SUM($C$7:IF7)&gt;=1,0,1)</f>
        <v>0</v>
      </c>
      <c r="IH6" s="124">
        <f>IF(SUM($C$7:IG7)&gt;=1,0,1)</f>
        <v>0</v>
      </c>
      <c r="II6" s="125">
        <f>SUM(C6:IH6)</f>
        <v>24</v>
      </c>
    </row>
    <row r="7" spans="1:243" x14ac:dyDescent="0.45">
      <c r="A7" s="67" t="s">
        <v>372</v>
      </c>
      <c r="B7" s="24">
        <f>'WH Schedule'!AB21+'Other Schedule'!K11</f>
        <v>904076973.71975005</v>
      </c>
      <c r="C7" s="48">
        <v>0.25</v>
      </c>
      <c r="D7" s="48">
        <v>0</v>
      </c>
      <c r="E7" s="48">
        <v>0</v>
      </c>
      <c r="F7" s="48">
        <v>0</v>
      </c>
      <c r="G7" s="48">
        <v>0</v>
      </c>
      <c r="H7" s="48">
        <v>0</v>
      </c>
      <c r="I7" s="48">
        <v>0.1</v>
      </c>
      <c r="J7" s="48">
        <v>0.05</v>
      </c>
      <c r="K7" s="48">
        <v>0</v>
      </c>
      <c r="L7" s="48">
        <v>0.05</v>
      </c>
      <c r="M7" s="48">
        <v>0</v>
      </c>
      <c r="N7" s="48">
        <v>0.05</v>
      </c>
      <c r="O7" s="48">
        <v>0.25</v>
      </c>
      <c r="P7" s="48">
        <v>0</v>
      </c>
      <c r="Q7" s="48">
        <v>0</v>
      </c>
      <c r="R7" s="48">
        <v>0</v>
      </c>
      <c r="S7" s="48">
        <v>0</v>
      </c>
      <c r="T7" s="48">
        <v>0</v>
      </c>
      <c r="U7" s="48">
        <v>0.1</v>
      </c>
      <c r="V7" s="48">
        <v>0</v>
      </c>
      <c r="W7" s="48">
        <v>0.05</v>
      </c>
      <c r="X7" s="48">
        <v>0.05</v>
      </c>
      <c r="Y7" s="48">
        <v>0</v>
      </c>
      <c r="Z7" s="48">
        <v>0.05</v>
      </c>
      <c r="AA7" s="48">
        <v>0</v>
      </c>
      <c r="AB7" s="48">
        <v>0</v>
      </c>
      <c r="AC7" s="48">
        <v>0</v>
      </c>
      <c r="AD7" s="48">
        <v>0</v>
      </c>
      <c r="AE7" s="48">
        <v>0</v>
      </c>
      <c r="AF7" s="48">
        <v>0</v>
      </c>
      <c r="AG7" s="48">
        <v>0</v>
      </c>
      <c r="AH7" s="48">
        <v>0</v>
      </c>
      <c r="AI7" s="48">
        <v>0</v>
      </c>
      <c r="AJ7" s="48">
        <v>0</v>
      </c>
      <c r="AK7" s="48">
        <v>0</v>
      </c>
      <c r="AL7" s="48">
        <v>0</v>
      </c>
      <c r="AM7" s="48">
        <v>0</v>
      </c>
      <c r="AN7" s="48">
        <v>0</v>
      </c>
      <c r="AO7" s="48">
        <v>0</v>
      </c>
      <c r="AP7" s="48">
        <v>0</v>
      </c>
      <c r="AQ7" s="48">
        <v>0</v>
      </c>
      <c r="AR7" s="48">
        <v>0</v>
      </c>
      <c r="AS7" s="48">
        <v>0</v>
      </c>
      <c r="AT7" s="48">
        <v>0</v>
      </c>
      <c r="AU7" s="48">
        <v>0</v>
      </c>
      <c r="AV7" s="48">
        <v>0</v>
      </c>
      <c r="AW7" s="48">
        <v>0</v>
      </c>
      <c r="AX7" s="48">
        <v>0</v>
      </c>
      <c r="AY7" s="48">
        <v>0</v>
      </c>
      <c r="AZ7" s="48">
        <v>0</v>
      </c>
      <c r="BA7" s="48">
        <v>0</v>
      </c>
      <c r="BB7" s="48">
        <v>0</v>
      </c>
      <c r="BC7" s="48">
        <v>0</v>
      </c>
      <c r="BD7" s="48">
        <v>0</v>
      </c>
      <c r="BE7" s="48">
        <v>0</v>
      </c>
      <c r="BF7" s="48">
        <v>0</v>
      </c>
      <c r="BG7" s="48">
        <v>0</v>
      </c>
      <c r="BH7" s="48">
        <v>0</v>
      </c>
      <c r="BI7" s="48">
        <v>0</v>
      </c>
      <c r="BJ7" s="48">
        <v>0</v>
      </c>
      <c r="BK7" s="48">
        <v>0</v>
      </c>
      <c r="BL7" s="48">
        <v>0</v>
      </c>
      <c r="BM7" s="48">
        <v>0</v>
      </c>
      <c r="BN7" s="48">
        <v>0</v>
      </c>
      <c r="BO7" s="48">
        <v>0</v>
      </c>
      <c r="BP7" s="48">
        <v>0</v>
      </c>
      <c r="BQ7" s="48">
        <v>0</v>
      </c>
      <c r="BR7" s="48">
        <v>0</v>
      </c>
      <c r="BS7" s="48">
        <v>0</v>
      </c>
      <c r="BT7" s="48">
        <v>0</v>
      </c>
      <c r="BU7" s="48">
        <v>0</v>
      </c>
      <c r="BV7" s="48">
        <v>0</v>
      </c>
      <c r="BW7" s="48">
        <v>0</v>
      </c>
      <c r="BX7" s="48">
        <v>0</v>
      </c>
      <c r="BY7" s="48">
        <v>0</v>
      </c>
      <c r="BZ7" s="48">
        <v>0</v>
      </c>
      <c r="CA7" s="48">
        <v>0</v>
      </c>
      <c r="CB7" s="48">
        <v>0</v>
      </c>
      <c r="CC7" s="48">
        <v>0</v>
      </c>
      <c r="CD7" s="48">
        <v>0</v>
      </c>
      <c r="CE7" s="48">
        <v>0</v>
      </c>
      <c r="CF7" s="48">
        <v>0</v>
      </c>
      <c r="CG7" s="48">
        <v>0</v>
      </c>
      <c r="CH7" s="48">
        <v>0</v>
      </c>
      <c r="CI7" s="48">
        <v>0</v>
      </c>
      <c r="CJ7" s="48">
        <v>0</v>
      </c>
      <c r="CK7" s="48">
        <v>0</v>
      </c>
      <c r="CL7" s="48">
        <v>0</v>
      </c>
      <c r="CM7" s="48">
        <v>0</v>
      </c>
      <c r="CN7" s="48">
        <v>0</v>
      </c>
      <c r="CO7" s="48">
        <v>0</v>
      </c>
      <c r="CP7" s="48">
        <v>0</v>
      </c>
      <c r="CQ7" s="48">
        <v>0</v>
      </c>
      <c r="CR7" s="48">
        <v>0</v>
      </c>
      <c r="CS7" s="48">
        <v>0</v>
      </c>
      <c r="CT7" s="48">
        <v>0</v>
      </c>
      <c r="CU7" s="48">
        <v>0</v>
      </c>
      <c r="CV7" s="48">
        <v>0</v>
      </c>
      <c r="CW7" s="48">
        <v>0</v>
      </c>
      <c r="CX7" s="48">
        <v>0</v>
      </c>
      <c r="CY7" s="48">
        <v>0</v>
      </c>
      <c r="CZ7" s="48">
        <v>0</v>
      </c>
      <c r="DA7" s="48">
        <v>0</v>
      </c>
      <c r="DB7" s="48">
        <v>0</v>
      </c>
      <c r="DC7" s="48">
        <v>0</v>
      </c>
      <c r="DD7" s="48">
        <v>0</v>
      </c>
      <c r="DE7" s="48">
        <v>0</v>
      </c>
      <c r="DF7" s="48">
        <v>0</v>
      </c>
      <c r="DG7" s="48">
        <v>0</v>
      </c>
      <c r="DH7" s="48">
        <v>0</v>
      </c>
      <c r="DI7" s="48">
        <v>0</v>
      </c>
      <c r="DJ7" s="48">
        <v>0</v>
      </c>
      <c r="DK7" s="48">
        <v>0</v>
      </c>
      <c r="DL7" s="48">
        <v>0</v>
      </c>
      <c r="DM7" s="48">
        <v>0</v>
      </c>
      <c r="DN7" s="48">
        <v>0</v>
      </c>
      <c r="DO7" s="48">
        <v>0</v>
      </c>
      <c r="DP7" s="48">
        <v>0</v>
      </c>
      <c r="DQ7" s="48">
        <v>0</v>
      </c>
      <c r="DR7" s="48">
        <v>0</v>
      </c>
      <c r="DS7" s="48">
        <v>0</v>
      </c>
      <c r="DT7" s="48">
        <v>0</v>
      </c>
      <c r="DU7" s="48">
        <v>0</v>
      </c>
      <c r="DV7" s="48">
        <v>0</v>
      </c>
      <c r="DW7" s="48">
        <v>0</v>
      </c>
      <c r="DX7" s="48">
        <v>0</v>
      </c>
      <c r="DY7" s="48">
        <v>0</v>
      </c>
      <c r="DZ7" s="48">
        <v>0</v>
      </c>
      <c r="EA7" s="48">
        <v>0</v>
      </c>
      <c r="EB7" s="48">
        <v>0</v>
      </c>
      <c r="EC7" s="48">
        <v>0</v>
      </c>
      <c r="ED7" s="48">
        <v>0</v>
      </c>
      <c r="EE7" s="48">
        <v>0</v>
      </c>
      <c r="EF7" s="48">
        <v>0</v>
      </c>
      <c r="EG7" s="48">
        <v>0</v>
      </c>
      <c r="EH7" s="48">
        <v>0</v>
      </c>
      <c r="EI7" s="48">
        <v>0</v>
      </c>
      <c r="EJ7" s="48">
        <v>0</v>
      </c>
      <c r="EK7" s="48">
        <v>0</v>
      </c>
      <c r="EL7" s="48">
        <v>0</v>
      </c>
      <c r="EM7" s="48">
        <v>0</v>
      </c>
      <c r="EN7" s="48">
        <v>0</v>
      </c>
      <c r="EO7" s="48">
        <v>0</v>
      </c>
      <c r="EP7" s="48">
        <v>0</v>
      </c>
      <c r="EQ7" s="48">
        <v>0</v>
      </c>
      <c r="ER7" s="48">
        <v>0</v>
      </c>
      <c r="ES7" s="48">
        <v>0</v>
      </c>
      <c r="ET7" s="48">
        <v>0</v>
      </c>
      <c r="EU7" s="48">
        <v>0</v>
      </c>
      <c r="EV7" s="48">
        <v>0</v>
      </c>
      <c r="EW7" s="48">
        <v>0</v>
      </c>
      <c r="EX7" s="48">
        <v>0</v>
      </c>
      <c r="EY7" s="48">
        <v>0</v>
      </c>
      <c r="EZ7" s="48">
        <v>0</v>
      </c>
      <c r="FA7" s="48">
        <v>0</v>
      </c>
      <c r="FB7" s="48">
        <v>0</v>
      </c>
      <c r="FC7" s="48">
        <v>0</v>
      </c>
      <c r="FD7" s="48">
        <v>0</v>
      </c>
      <c r="FE7" s="48">
        <v>0</v>
      </c>
      <c r="FF7" s="48">
        <v>0</v>
      </c>
      <c r="FG7" s="48">
        <v>0</v>
      </c>
      <c r="FH7" s="48">
        <v>0</v>
      </c>
      <c r="FI7" s="48">
        <v>0</v>
      </c>
      <c r="FJ7" s="48">
        <v>0</v>
      </c>
      <c r="FK7" s="48">
        <v>0</v>
      </c>
      <c r="FL7" s="48">
        <v>0</v>
      </c>
      <c r="FM7" s="48">
        <v>0</v>
      </c>
      <c r="FN7" s="48">
        <v>0</v>
      </c>
      <c r="FO7" s="48">
        <v>0</v>
      </c>
      <c r="FP7" s="48">
        <v>0</v>
      </c>
      <c r="FQ7" s="48">
        <v>0</v>
      </c>
      <c r="FR7" s="48">
        <v>0</v>
      </c>
      <c r="FS7" s="48">
        <v>0</v>
      </c>
      <c r="FT7" s="48">
        <v>0</v>
      </c>
      <c r="FU7" s="48">
        <v>0</v>
      </c>
      <c r="FV7" s="48">
        <v>0</v>
      </c>
      <c r="FW7" s="48">
        <v>0</v>
      </c>
      <c r="FX7" s="48">
        <v>0</v>
      </c>
      <c r="FY7" s="48">
        <v>0</v>
      </c>
      <c r="FZ7" s="48">
        <v>0</v>
      </c>
      <c r="GA7" s="48">
        <v>0</v>
      </c>
      <c r="GB7" s="48">
        <v>0</v>
      </c>
      <c r="GC7" s="48">
        <v>0</v>
      </c>
      <c r="GD7" s="48">
        <v>0</v>
      </c>
      <c r="GE7" s="48">
        <v>0</v>
      </c>
      <c r="GF7" s="48">
        <v>0</v>
      </c>
      <c r="GG7" s="48">
        <v>0</v>
      </c>
      <c r="GH7" s="48">
        <v>0</v>
      </c>
      <c r="GI7" s="48">
        <v>0</v>
      </c>
      <c r="GJ7" s="48">
        <v>0</v>
      </c>
      <c r="GK7" s="48">
        <v>0</v>
      </c>
      <c r="GL7" s="48">
        <v>0</v>
      </c>
      <c r="GM7" s="48">
        <v>0</v>
      </c>
      <c r="GN7" s="48">
        <v>0</v>
      </c>
      <c r="GO7" s="48">
        <v>0</v>
      </c>
      <c r="GP7" s="48">
        <v>0</v>
      </c>
      <c r="GQ7" s="48">
        <v>0</v>
      </c>
      <c r="GR7" s="48">
        <v>0</v>
      </c>
      <c r="GS7" s="48">
        <v>0</v>
      </c>
      <c r="GT7" s="48">
        <v>0</v>
      </c>
      <c r="GU7" s="48">
        <v>0</v>
      </c>
      <c r="GV7" s="48">
        <v>0</v>
      </c>
      <c r="GW7" s="48">
        <v>0</v>
      </c>
      <c r="GX7" s="48">
        <v>0</v>
      </c>
      <c r="GY7" s="48">
        <v>0</v>
      </c>
      <c r="GZ7" s="48">
        <v>0</v>
      </c>
      <c r="HA7" s="48">
        <v>0</v>
      </c>
      <c r="HB7" s="48">
        <v>0</v>
      </c>
      <c r="HC7" s="48">
        <v>0</v>
      </c>
      <c r="HD7" s="48">
        <v>0</v>
      </c>
      <c r="HE7" s="48">
        <v>0</v>
      </c>
      <c r="HF7" s="48">
        <v>0</v>
      </c>
      <c r="HG7" s="48">
        <v>0</v>
      </c>
      <c r="HH7" s="48">
        <v>0</v>
      </c>
      <c r="HI7" s="48">
        <v>0</v>
      </c>
      <c r="HJ7" s="48">
        <v>0</v>
      </c>
      <c r="HK7" s="48">
        <v>0</v>
      </c>
      <c r="HL7" s="48">
        <v>0</v>
      </c>
      <c r="HM7" s="48">
        <v>0</v>
      </c>
      <c r="HN7" s="48">
        <v>0</v>
      </c>
      <c r="HO7" s="48">
        <v>0</v>
      </c>
      <c r="HP7" s="48">
        <v>0</v>
      </c>
      <c r="HQ7" s="48">
        <v>0</v>
      </c>
      <c r="HR7" s="48">
        <v>0</v>
      </c>
      <c r="HS7" s="48">
        <v>0</v>
      </c>
      <c r="HT7" s="48">
        <v>0</v>
      </c>
      <c r="HU7" s="48">
        <v>0</v>
      </c>
      <c r="HV7" s="48">
        <v>0</v>
      </c>
      <c r="HW7" s="48">
        <v>0</v>
      </c>
      <c r="HX7" s="48">
        <v>0</v>
      </c>
      <c r="HY7" s="48">
        <v>0</v>
      </c>
      <c r="HZ7" s="48">
        <v>0</v>
      </c>
      <c r="IA7" s="48">
        <v>0</v>
      </c>
      <c r="IB7" s="48">
        <v>0</v>
      </c>
      <c r="IC7" s="48">
        <v>0</v>
      </c>
      <c r="ID7" s="48">
        <v>0</v>
      </c>
      <c r="IE7" s="48">
        <v>0</v>
      </c>
      <c r="IF7" s="48">
        <v>0</v>
      </c>
      <c r="IG7" s="48">
        <v>0</v>
      </c>
      <c r="IH7" s="48">
        <v>0</v>
      </c>
      <c r="II7" s="2">
        <f>SUM(C7:IH7)</f>
        <v>1</v>
      </c>
    </row>
    <row r="8" spans="1:243" x14ac:dyDescent="0.45">
      <c r="A8" s="67" t="s">
        <v>437</v>
      </c>
      <c r="B8" s="24">
        <f>SUM(C8:IH8)</f>
        <v>904076973.71974993</v>
      </c>
      <c r="C8" s="24">
        <f t="shared" ref="C8:BN8" si="0">C7*$B$7</f>
        <v>226019243.42993751</v>
      </c>
      <c r="D8" s="24">
        <f t="shared" si="0"/>
        <v>0</v>
      </c>
      <c r="E8" s="24">
        <f t="shared" si="0"/>
        <v>0</v>
      </c>
      <c r="F8" s="24">
        <f t="shared" si="0"/>
        <v>0</v>
      </c>
      <c r="G8" s="24">
        <f t="shared" si="0"/>
        <v>0</v>
      </c>
      <c r="H8" s="24">
        <f t="shared" si="0"/>
        <v>0</v>
      </c>
      <c r="I8" s="24">
        <f t="shared" si="0"/>
        <v>90407697.371975005</v>
      </c>
      <c r="J8" s="24">
        <f t="shared" si="0"/>
        <v>45203848.685987502</v>
      </c>
      <c r="K8" s="24">
        <f t="shared" si="0"/>
        <v>0</v>
      </c>
      <c r="L8" s="24">
        <f t="shared" si="0"/>
        <v>45203848.685987502</v>
      </c>
      <c r="M8" s="24">
        <f t="shared" si="0"/>
        <v>0</v>
      </c>
      <c r="N8" s="24">
        <f t="shared" si="0"/>
        <v>45203848.685987502</v>
      </c>
      <c r="O8" s="24">
        <f t="shared" si="0"/>
        <v>226019243.42993751</v>
      </c>
      <c r="P8" s="24">
        <f t="shared" si="0"/>
        <v>0</v>
      </c>
      <c r="Q8" s="24">
        <f t="shared" si="0"/>
        <v>0</v>
      </c>
      <c r="R8" s="24">
        <f t="shared" si="0"/>
        <v>0</v>
      </c>
      <c r="S8" s="24">
        <f t="shared" si="0"/>
        <v>0</v>
      </c>
      <c r="T8" s="24">
        <f t="shared" si="0"/>
        <v>0</v>
      </c>
      <c r="U8" s="24">
        <f t="shared" si="0"/>
        <v>90407697.371975005</v>
      </c>
      <c r="V8" s="24">
        <f t="shared" si="0"/>
        <v>0</v>
      </c>
      <c r="W8" s="24">
        <f t="shared" si="0"/>
        <v>45203848.685987502</v>
      </c>
      <c r="X8" s="24">
        <f t="shared" si="0"/>
        <v>45203848.685987502</v>
      </c>
      <c r="Y8" s="24">
        <f t="shared" si="0"/>
        <v>0</v>
      </c>
      <c r="Z8" s="24">
        <f t="shared" si="0"/>
        <v>45203848.685987502</v>
      </c>
      <c r="AA8" s="24">
        <f t="shared" si="0"/>
        <v>0</v>
      </c>
      <c r="AB8" s="24">
        <f t="shared" si="0"/>
        <v>0</v>
      </c>
      <c r="AC8" s="24">
        <f t="shared" si="0"/>
        <v>0</v>
      </c>
      <c r="AD8" s="24">
        <f t="shared" si="0"/>
        <v>0</v>
      </c>
      <c r="AE8" s="24">
        <f t="shared" si="0"/>
        <v>0</v>
      </c>
      <c r="AF8" s="24">
        <f t="shared" si="0"/>
        <v>0</v>
      </c>
      <c r="AG8" s="24">
        <f t="shared" si="0"/>
        <v>0</v>
      </c>
      <c r="AH8" s="24">
        <f t="shared" si="0"/>
        <v>0</v>
      </c>
      <c r="AI8" s="24">
        <f t="shared" si="0"/>
        <v>0</v>
      </c>
      <c r="AJ8" s="24">
        <f t="shared" si="0"/>
        <v>0</v>
      </c>
      <c r="AK8" s="24">
        <f t="shared" si="0"/>
        <v>0</v>
      </c>
      <c r="AL8" s="24">
        <f t="shared" si="0"/>
        <v>0</v>
      </c>
      <c r="AM8" s="24">
        <f t="shared" si="0"/>
        <v>0</v>
      </c>
      <c r="AN8" s="24">
        <f t="shared" si="0"/>
        <v>0</v>
      </c>
      <c r="AO8" s="24">
        <f t="shared" si="0"/>
        <v>0</v>
      </c>
      <c r="AP8" s="24">
        <f t="shared" si="0"/>
        <v>0</v>
      </c>
      <c r="AQ8" s="24">
        <f t="shared" si="0"/>
        <v>0</v>
      </c>
      <c r="AR8" s="24">
        <f t="shared" si="0"/>
        <v>0</v>
      </c>
      <c r="AS8" s="24">
        <f t="shared" si="0"/>
        <v>0</v>
      </c>
      <c r="AT8" s="24">
        <f t="shared" si="0"/>
        <v>0</v>
      </c>
      <c r="AU8" s="24">
        <f t="shared" si="0"/>
        <v>0</v>
      </c>
      <c r="AV8" s="24">
        <f t="shared" si="0"/>
        <v>0</v>
      </c>
      <c r="AW8" s="24">
        <f t="shared" si="0"/>
        <v>0</v>
      </c>
      <c r="AX8" s="24">
        <f t="shared" si="0"/>
        <v>0</v>
      </c>
      <c r="AY8" s="24">
        <f t="shared" si="0"/>
        <v>0</v>
      </c>
      <c r="AZ8" s="24">
        <f t="shared" si="0"/>
        <v>0</v>
      </c>
      <c r="BA8" s="24">
        <f t="shared" si="0"/>
        <v>0</v>
      </c>
      <c r="BB8" s="24">
        <f t="shared" si="0"/>
        <v>0</v>
      </c>
      <c r="BC8" s="24">
        <f t="shared" si="0"/>
        <v>0</v>
      </c>
      <c r="BD8" s="24">
        <f t="shared" si="0"/>
        <v>0</v>
      </c>
      <c r="BE8" s="24">
        <f t="shared" si="0"/>
        <v>0</v>
      </c>
      <c r="BF8" s="24">
        <f t="shared" si="0"/>
        <v>0</v>
      </c>
      <c r="BG8" s="24">
        <f t="shared" si="0"/>
        <v>0</v>
      </c>
      <c r="BH8" s="24">
        <f t="shared" si="0"/>
        <v>0</v>
      </c>
      <c r="BI8" s="24">
        <f t="shared" si="0"/>
        <v>0</v>
      </c>
      <c r="BJ8" s="24">
        <f t="shared" si="0"/>
        <v>0</v>
      </c>
      <c r="BK8" s="24">
        <f t="shared" si="0"/>
        <v>0</v>
      </c>
      <c r="BL8" s="24">
        <f t="shared" si="0"/>
        <v>0</v>
      </c>
      <c r="BM8" s="24">
        <f t="shared" si="0"/>
        <v>0</v>
      </c>
      <c r="BN8" s="24">
        <f t="shared" si="0"/>
        <v>0</v>
      </c>
      <c r="BO8" s="24">
        <f t="shared" ref="BO8:DZ8" si="1">BO7*$B$7</f>
        <v>0</v>
      </c>
      <c r="BP8" s="24">
        <f t="shared" si="1"/>
        <v>0</v>
      </c>
      <c r="BQ8" s="24">
        <f t="shared" si="1"/>
        <v>0</v>
      </c>
      <c r="BR8" s="24">
        <f t="shared" si="1"/>
        <v>0</v>
      </c>
      <c r="BS8" s="24">
        <f t="shared" si="1"/>
        <v>0</v>
      </c>
      <c r="BT8" s="24">
        <f t="shared" si="1"/>
        <v>0</v>
      </c>
      <c r="BU8" s="24">
        <f t="shared" si="1"/>
        <v>0</v>
      </c>
      <c r="BV8" s="24">
        <f t="shared" si="1"/>
        <v>0</v>
      </c>
      <c r="BW8" s="24">
        <f t="shared" si="1"/>
        <v>0</v>
      </c>
      <c r="BX8" s="24">
        <f t="shared" si="1"/>
        <v>0</v>
      </c>
      <c r="BY8" s="24">
        <f t="shared" si="1"/>
        <v>0</v>
      </c>
      <c r="BZ8" s="24">
        <f t="shared" si="1"/>
        <v>0</v>
      </c>
      <c r="CA8" s="24">
        <f t="shared" si="1"/>
        <v>0</v>
      </c>
      <c r="CB8" s="24">
        <f t="shared" si="1"/>
        <v>0</v>
      </c>
      <c r="CC8" s="24">
        <f t="shared" si="1"/>
        <v>0</v>
      </c>
      <c r="CD8" s="24">
        <f t="shared" si="1"/>
        <v>0</v>
      </c>
      <c r="CE8" s="24">
        <f t="shared" si="1"/>
        <v>0</v>
      </c>
      <c r="CF8" s="24">
        <f t="shared" si="1"/>
        <v>0</v>
      </c>
      <c r="CG8" s="24">
        <f t="shared" si="1"/>
        <v>0</v>
      </c>
      <c r="CH8" s="24">
        <f t="shared" si="1"/>
        <v>0</v>
      </c>
      <c r="CI8" s="24">
        <f t="shared" si="1"/>
        <v>0</v>
      </c>
      <c r="CJ8" s="24">
        <f t="shared" si="1"/>
        <v>0</v>
      </c>
      <c r="CK8" s="24">
        <f t="shared" si="1"/>
        <v>0</v>
      </c>
      <c r="CL8" s="24">
        <f t="shared" si="1"/>
        <v>0</v>
      </c>
      <c r="CM8" s="24">
        <f t="shared" si="1"/>
        <v>0</v>
      </c>
      <c r="CN8" s="24">
        <f t="shared" si="1"/>
        <v>0</v>
      </c>
      <c r="CO8" s="24">
        <f t="shared" si="1"/>
        <v>0</v>
      </c>
      <c r="CP8" s="24">
        <f t="shared" si="1"/>
        <v>0</v>
      </c>
      <c r="CQ8" s="24">
        <f t="shared" si="1"/>
        <v>0</v>
      </c>
      <c r="CR8" s="24">
        <f t="shared" si="1"/>
        <v>0</v>
      </c>
      <c r="CS8" s="24">
        <f t="shared" si="1"/>
        <v>0</v>
      </c>
      <c r="CT8" s="24">
        <f t="shared" si="1"/>
        <v>0</v>
      </c>
      <c r="CU8" s="24">
        <f t="shared" si="1"/>
        <v>0</v>
      </c>
      <c r="CV8" s="24">
        <f t="shared" si="1"/>
        <v>0</v>
      </c>
      <c r="CW8" s="24">
        <f t="shared" si="1"/>
        <v>0</v>
      </c>
      <c r="CX8" s="24">
        <f t="shared" si="1"/>
        <v>0</v>
      </c>
      <c r="CY8" s="24">
        <f t="shared" si="1"/>
        <v>0</v>
      </c>
      <c r="CZ8" s="24">
        <f t="shared" si="1"/>
        <v>0</v>
      </c>
      <c r="DA8" s="24">
        <f t="shared" si="1"/>
        <v>0</v>
      </c>
      <c r="DB8" s="24">
        <f t="shared" si="1"/>
        <v>0</v>
      </c>
      <c r="DC8" s="24">
        <f t="shared" si="1"/>
        <v>0</v>
      </c>
      <c r="DD8" s="24">
        <f t="shared" si="1"/>
        <v>0</v>
      </c>
      <c r="DE8" s="24">
        <f t="shared" si="1"/>
        <v>0</v>
      </c>
      <c r="DF8" s="24">
        <f t="shared" si="1"/>
        <v>0</v>
      </c>
      <c r="DG8" s="24">
        <f t="shared" si="1"/>
        <v>0</v>
      </c>
      <c r="DH8" s="24">
        <f t="shared" si="1"/>
        <v>0</v>
      </c>
      <c r="DI8" s="24">
        <f t="shared" si="1"/>
        <v>0</v>
      </c>
      <c r="DJ8" s="24">
        <f t="shared" si="1"/>
        <v>0</v>
      </c>
      <c r="DK8" s="24">
        <f t="shared" si="1"/>
        <v>0</v>
      </c>
      <c r="DL8" s="24">
        <f t="shared" si="1"/>
        <v>0</v>
      </c>
      <c r="DM8" s="24">
        <f t="shared" si="1"/>
        <v>0</v>
      </c>
      <c r="DN8" s="24">
        <f t="shared" si="1"/>
        <v>0</v>
      </c>
      <c r="DO8" s="24">
        <f t="shared" si="1"/>
        <v>0</v>
      </c>
      <c r="DP8" s="24">
        <f t="shared" si="1"/>
        <v>0</v>
      </c>
      <c r="DQ8" s="24">
        <f t="shared" si="1"/>
        <v>0</v>
      </c>
      <c r="DR8" s="24">
        <f t="shared" si="1"/>
        <v>0</v>
      </c>
      <c r="DS8" s="24">
        <f t="shared" si="1"/>
        <v>0</v>
      </c>
      <c r="DT8" s="24">
        <f t="shared" si="1"/>
        <v>0</v>
      </c>
      <c r="DU8" s="24">
        <f t="shared" si="1"/>
        <v>0</v>
      </c>
      <c r="DV8" s="24">
        <f t="shared" si="1"/>
        <v>0</v>
      </c>
      <c r="DW8" s="24">
        <f t="shared" si="1"/>
        <v>0</v>
      </c>
      <c r="DX8" s="24">
        <f t="shared" si="1"/>
        <v>0</v>
      </c>
      <c r="DY8" s="24">
        <f t="shared" si="1"/>
        <v>0</v>
      </c>
      <c r="DZ8" s="24">
        <f t="shared" si="1"/>
        <v>0</v>
      </c>
      <c r="EA8" s="24">
        <f t="shared" ref="EA8:GL8" si="2">EA7*$B$7</f>
        <v>0</v>
      </c>
      <c r="EB8" s="24">
        <f t="shared" si="2"/>
        <v>0</v>
      </c>
      <c r="EC8" s="24">
        <f t="shared" si="2"/>
        <v>0</v>
      </c>
      <c r="ED8" s="24">
        <f t="shared" si="2"/>
        <v>0</v>
      </c>
      <c r="EE8" s="24">
        <f t="shared" si="2"/>
        <v>0</v>
      </c>
      <c r="EF8" s="24">
        <f t="shared" si="2"/>
        <v>0</v>
      </c>
      <c r="EG8" s="24">
        <f t="shared" si="2"/>
        <v>0</v>
      </c>
      <c r="EH8" s="24">
        <f t="shared" si="2"/>
        <v>0</v>
      </c>
      <c r="EI8" s="24">
        <f t="shared" si="2"/>
        <v>0</v>
      </c>
      <c r="EJ8" s="24">
        <f t="shared" si="2"/>
        <v>0</v>
      </c>
      <c r="EK8" s="24">
        <f t="shared" si="2"/>
        <v>0</v>
      </c>
      <c r="EL8" s="24">
        <f t="shared" si="2"/>
        <v>0</v>
      </c>
      <c r="EM8" s="24">
        <f t="shared" si="2"/>
        <v>0</v>
      </c>
      <c r="EN8" s="24">
        <f t="shared" si="2"/>
        <v>0</v>
      </c>
      <c r="EO8" s="24">
        <f t="shared" si="2"/>
        <v>0</v>
      </c>
      <c r="EP8" s="24">
        <f t="shared" si="2"/>
        <v>0</v>
      </c>
      <c r="EQ8" s="24">
        <f t="shared" si="2"/>
        <v>0</v>
      </c>
      <c r="ER8" s="24">
        <f t="shared" si="2"/>
        <v>0</v>
      </c>
      <c r="ES8" s="24">
        <f t="shared" si="2"/>
        <v>0</v>
      </c>
      <c r="ET8" s="24">
        <f t="shared" si="2"/>
        <v>0</v>
      </c>
      <c r="EU8" s="24">
        <f t="shared" si="2"/>
        <v>0</v>
      </c>
      <c r="EV8" s="24">
        <f t="shared" si="2"/>
        <v>0</v>
      </c>
      <c r="EW8" s="24">
        <f t="shared" si="2"/>
        <v>0</v>
      </c>
      <c r="EX8" s="24">
        <f t="shared" si="2"/>
        <v>0</v>
      </c>
      <c r="EY8" s="24">
        <f t="shared" si="2"/>
        <v>0</v>
      </c>
      <c r="EZ8" s="24">
        <f t="shared" si="2"/>
        <v>0</v>
      </c>
      <c r="FA8" s="24">
        <f t="shared" si="2"/>
        <v>0</v>
      </c>
      <c r="FB8" s="24">
        <f t="shared" si="2"/>
        <v>0</v>
      </c>
      <c r="FC8" s="24">
        <f t="shared" si="2"/>
        <v>0</v>
      </c>
      <c r="FD8" s="24">
        <f t="shared" si="2"/>
        <v>0</v>
      </c>
      <c r="FE8" s="24">
        <f t="shared" si="2"/>
        <v>0</v>
      </c>
      <c r="FF8" s="24">
        <f t="shared" si="2"/>
        <v>0</v>
      </c>
      <c r="FG8" s="24">
        <f t="shared" si="2"/>
        <v>0</v>
      </c>
      <c r="FH8" s="24">
        <f t="shared" si="2"/>
        <v>0</v>
      </c>
      <c r="FI8" s="24">
        <f t="shared" si="2"/>
        <v>0</v>
      </c>
      <c r="FJ8" s="24">
        <f t="shared" si="2"/>
        <v>0</v>
      </c>
      <c r="FK8" s="24">
        <f t="shared" si="2"/>
        <v>0</v>
      </c>
      <c r="FL8" s="24">
        <f t="shared" si="2"/>
        <v>0</v>
      </c>
      <c r="FM8" s="24">
        <f t="shared" si="2"/>
        <v>0</v>
      </c>
      <c r="FN8" s="24">
        <f t="shared" si="2"/>
        <v>0</v>
      </c>
      <c r="FO8" s="24">
        <f t="shared" si="2"/>
        <v>0</v>
      </c>
      <c r="FP8" s="24">
        <f t="shared" si="2"/>
        <v>0</v>
      </c>
      <c r="FQ8" s="24">
        <f t="shared" si="2"/>
        <v>0</v>
      </c>
      <c r="FR8" s="24">
        <f t="shared" si="2"/>
        <v>0</v>
      </c>
      <c r="FS8" s="24">
        <f t="shared" si="2"/>
        <v>0</v>
      </c>
      <c r="FT8" s="24">
        <f t="shared" si="2"/>
        <v>0</v>
      </c>
      <c r="FU8" s="24">
        <f t="shared" si="2"/>
        <v>0</v>
      </c>
      <c r="FV8" s="24">
        <f t="shared" si="2"/>
        <v>0</v>
      </c>
      <c r="FW8" s="24">
        <f t="shared" si="2"/>
        <v>0</v>
      </c>
      <c r="FX8" s="24">
        <f t="shared" si="2"/>
        <v>0</v>
      </c>
      <c r="FY8" s="24">
        <f t="shared" si="2"/>
        <v>0</v>
      </c>
      <c r="FZ8" s="24">
        <f t="shared" si="2"/>
        <v>0</v>
      </c>
      <c r="GA8" s="24">
        <f t="shared" si="2"/>
        <v>0</v>
      </c>
      <c r="GB8" s="24">
        <f t="shared" si="2"/>
        <v>0</v>
      </c>
      <c r="GC8" s="24">
        <f t="shared" si="2"/>
        <v>0</v>
      </c>
      <c r="GD8" s="24">
        <f t="shared" si="2"/>
        <v>0</v>
      </c>
      <c r="GE8" s="24">
        <f t="shared" si="2"/>
        <v>0</v>
      </c>
      <c r="GF8" s="24">
        <f t="shared" si="2"/>
        <v>0</v>
      </c>
      <c r="GG8" s="24">
        <f t="shared" si="2"/>
        <v>0</v>
      </c>
      <c r="GH8" s="24">
        <f t="shared" si="2"/>
        <v>0</v>
      </c>
      <c r="GI8" s="24">
        <f t="shared" si="2"/>
        <v>0</v>
      </c>
      <c r="GJ8" s="24">
        <f t="shared" si="2"/>
        <v>0</v>
      </c>
      <c r="GK8" s="24">
        <f t="shared" si="2"/>
        <v>0</v>
      </c>
      <c r="GL8" s="24">
        <f t="shared" si="2"/>
        <v>0</v>
      </c>
      <c r="GM8" s="24">
        <f t="shared" ref="GM8:IH8" si="3">GM7*$B$7</f>
        <v>0</v>
      </c>
      <c r="GN8" s="24">
        <f t="shared" si="3"/>
        <v>0</v>
      </c>
      <c r="GO8" s="24">
        <f t="shared" si="3"/>
        <v>0</v>
      </c>
      <c r="GP8" s="24">
        <f t="shared" si="3"/>
        <v>0</v>
      </c>
      <c r="GQ8" s="24">
        <f t="shared" si="3"/>
        <v>0</v>
      </c>
      <c r="GR8" s="24">
        <f t="shared" si="3"/>
        <v>0</v>
      </c>
      <c r="GS8" s="24">
        <f t="shared" si="3"/>
        <v>0</v>
      </c>
      <c r="GT8" s="24">
        <f t="shared" si="3"/>
        <v>0</v>
      </c>
      <c r="GU8" s="24">
        <f t="shared" si="3"/>
        <v>0</v>
      </c>
      <c r="GV8" s="24">
        <f t="shared" si="3"/>
        <v>0</v>
      </c>
      <c r="GW8" s="24">
        <f t="shared" si="3"/>
        <v>0</v>
      </c>
      <c r="GX8" s="24">
        <f t="shared" si="3"/>
        <v>0</v>
      </c>
      <c r="GY8" s="24">
        <f t="shared" si="3"/>
        <v>0</v>
      </c>
      <c r="GZ8" s="24">
        <f t="shared" si="3"/>
        <v>0</v>
      </c>
      <c r="HA8" s="24">
        <f t="shared" si="3"/>
        <v>0</v>
      </c>
      <c r="HB8" s="24">
        <f t="shared" si="3"/>
        <v>0</v>
      </c>
      <c r="HC8" s="24">
        <f t="shared" si="3"/>
        <v>0</v>
      </c>
      <c r="HD8" s="24">
        <f t="shared" si="3"/>
        <v>0</v>
      </c>
      <c r="HE8" s="24">
        <f t="shared" si="3"/>
        <v>0</v>
      </c>
      <c r="HF8" s="24">
        <f t="shared" si="3"/>
        <v>0</v>
      </c>
      <c r="HG8" s="24">
        <f t="shared" si="3"/>
        <v>0</v>
      </c>
      <c r="HH8" s="24">
        <f t="shared" si="3"/>
        <v>0</v>
      </c>
      <c r="HI8" s="24">
        <f t="shared" si="3"/>
        <v>0</v>
      </c>
      <c r="HJ8" s="24">
        <f t="shared" si="3"/>
        <v>0</v>
      </c>
      <c r="HK8" s="24">
        <f t="shared" si="3"/>
        <v>0</v>
      </c>
      <c r="HL8" s="24">
        <f t="shared" si="3"/>
        <v>0</v>
      </c>
      <c r="HM8" s="24">
        <f t="shared" si="3"/>
        <v>0</v>
      </c>
      <c r="HN8" s="24">
        <f t="shared" si="3"/>
        <v>0</v>
      </c>
      <c r="HO8" s="24">
        <f t="shared" si="3"/>
        <v>0</v>
      </c>
      <c r="HP8" s="24">
        <f t="shared" si="3"/>
        <v>0</v>
      </c>
      <c r="HQ8" s="24">
        <f t="shared" si="3"/>
        <v>0</v>
      </c>
      <c r="HR8" s="24">
        <f t="shared" si="3"/>
        <v>0</v>
      </c>
      <c r="HS8" s="24">
        <f t="shared" si="3"/>
        <v>0</v>
      </c>
      <c r="HT8" s="24">
        <f t="shared" si="3"/>
        <v>0</v>
      </c>
      <c r="HU8" s="24">
        <f t="shared" si="3"/>
        <v>0</v>
      </c>
      <c r="HV8" s="24">
        <f t="shared" si="3"/>
        <v>0</v>
      </c>
      <c r="HW8" s="24">
        <f t="shared" si="3"/>
        <v>0</v>
      </c>
      <c r="HX8" s="24">
        <f t="shared" si="3"/>
        <v>0</v>
      </c>
      <c r="HY8" s="24">
        <f t="shared" si="3"/>
        <v>0</v>
      </c>
      <c r="HZ8" s="24">
        <f t="shared" si="3"/>
        <v>0</v>
      </c>
      <c r="IA8" s="24">
        <f t="shared" si="3"/>
        <v>0</v>
      </c>
      <c r="IB8" s="24">
        <f t="shared" si="3"/>
        <v>0</v>
      </c>
      <c r="IC8" s="24">
        <f t="shared" si="3"/>
        <v>0</v>
      </c>
      <c r="ID8" s="24">
        <f t="shared" si="3"/>
        <v>0</v>
      </c>
      <c r="IE8" s="24">
        <f t="shared" si="3"/>
        <v>0</v>
      </c>
      <c r="IF8" s="24">
        <f t="shared" si="3"/>
        <v>0</v>
      </c>
      <c r="IG8" s="24">
        <f t="shared" si="3"/>
        <v>0</v>
      </c>
      <c r="IH8" s="24">
        <f t="shared" si="3"/>
        <v>0</v>
      </c>
      <c r="II8" s="2"/>
    </row>
    <row r="9" spans="1:243" x14ac:dyDescent="0.45">
      <c r="A9" s="104" t="s">
        <v>364</v>
      </c>
      <c r="B9" s="128">
        <f>INT('Cooling Requirements'!E7)</f>
        <v>71569760</v>
      </c>
      <c r="C9" s="18">
        <v>0</v>
      </c>
      <c r="D9" s="18">
        <v>0</v>
      </c>
      <c r="E9" s="18">
        <v>0</v>
      </c>
      <c r="F9" s="18">
        <v>0</v>
      </c>
      <c r="G9" s="18">
        <v>0</v>
      </c>
      <c r="H9" s="18">
        <v>0</v>
      </c>
      <c r="I9" s="18">
        <v>0</v>
      </c>
      <c r="J9" s="18">
        <v>0</v>
      </c>
      <c r="K9" s="18">
        <v>0</v>
      </c>
      <c r="L9" s="18">
        <v>0</v>
      </c>
      <c r="M9" s="18">
        <v>0</v>
      </c>
      <c r="N9" s="18">
        <v>0</v>
      </c>
      <c r="O9" s="18">
        <v>0</v>
      </c>
      <c r="P9" s="18">
        <v>0</v>
      </c>
      <c r="Q9" s="18">
        <v>0</v>
      </c>
      <c r="R9" s="18">
        <v>0</v>
      </c>
      <c r="S9" s="18">
        <v>0</v>
      </c>
      <c r="T9" s="18">
        <v>0</v>
      </c>
      <c r="U9" s="18">
        <v>0</v>
      </c>
      <c r="V9" s="18">
        <v>0</v>
      </c>
      <c r="W9" s="18">
        <v>0</v>
      </c>
      <c r="X9" s="18">
        <v>0</v>
      </c>
      <c r="Y9" s="18">
        <v>0</v>
      </c>
      <c r="Z9" s="18">
        <v>0</v>
      </c>
      <c r="AA9" s="18">
        <v>0</v>
      </c>
      <c r="AB9" s="18">
        <v>0</v>
      </c>
      <c r="AC9" s="18">
        <v>0</v>
      </c>
      <c r="AD9" s="18">
        <v>0</v>
      </c>
      <c r="AE9" s="18">
        <v>0</v>
      </c>
      <c r="AF9" s="18">
        <v>0</v>
      </c>
      <c r="AG9" s="18">
        <v>0</v>
      </c>
      <c r="AH9" s="18">
        <v>0</v>
      </c>
      <c r="AI9" s="18">
        <v>0</v>
      </c>
      <c r="AJ9" s="18">
        <v>0</v>
      </c>
      <c r="AK9" s="18">
        <v>0</v>
      </c>
      <c r="AL9" s="18">
        <v>0</v>
      </c>
      <c r="AM9" s="18">
        <v>0</v>
      </c>
      <c r="AN9" s="18">
        <v>0</v>
      </c>
      <c r="AO9" s="18">
        <v>0</v>
      </c>
      <c r="AP9" s="18">
        <v>0</v>
      </c>
      <c r="AQ9" s="18">
        <v>0</v>
      </c>
      <c r="AR9" s="18">
        <v>0</v>
      </c>
      <c r="AS9" s="18">
        <v>0</v>
      </c>
      <c r="AT9" s="18">
        <v>0</v>
      </c>
      <c r="AU9" s="18">
        <v>0</v>
      </c>
      <c r="AV9" s="18">
        <v>0</v>
      </c>
      <c r="AW9" s="18">
        <v>0</v>
      </c>
      <c r="AX9" s="18">
        <v>0</v>
      </c>
      <c r="AY9" s="18">
        <v>0</v>
      </c>
      <c r="AZ9" s="18">
        <v>0</v>
      </c>
      <c r="BA9" s="18">
        <v>0</v>
      </c>
      <c r="BB9" s="18">
        <v>0</v>
      </c>
      <c r="BC9" s="18">
        <v>0</v>
      </c>
      <c r="BD9" s="18">
        <v>0</v>
      </c>
      <c r="BE9" s="18">
        <v>0</v>
      </c>
      <c r="BF9" s="18">
        <v>0</v>
      </c>
      <c r="BG9" s="18">
        <v>0</v>
      </c>
      <c r="BH9" s="18">
        <v>0</v>
      </c>
      <c r="BI9" s="18">
        <v>0</v>
      </c>
      <c r="BJ9" s="18">
        <v>0</v>
      </c>
      <c r="BK9" s="18">
        <v>0</v>
      </c>
      <c r="BL9" s="18">
        <v>0</v>
      </c>
      <c r="BM9" s="18">
        <v>0</v>
      </c>
      <c r="BN9" s="18">
        <v>0</v>
      </c>
      <c r="BO9" s="18">
        <v>0</v>
      </c>
      <c r="BP9" s="18">
        <v>0</v>
      </c>
      <c r="BQ9" s="18">
        <v>0</v>
      </c>
      <c r="BR9" s="18">
        <v>0</v>
      </c>
      <c r="BS9" s="18">
        <v>0</v>
      </c>
      <c r="BT9" s="18">
        <v>0</v>
      </c>
      <c r="BU9" s="18">
        <v>0</v>
      </c>
      <c r="BV9" s="18">
        <v>0</v>
      </c>
      <c r="BW9" s="18">
        <v>0</v>
      </c>
      <c r="BX9" s="18">
        <v>0</v>
      </c>
      <c r="BY9" s="18">
        <v>0</v>
      </c>
      <c r="BZ9" s="18">
        <v>0</v>
      </c>
      <c r="CA9" s="18">
        <v>0</v>
      </c>
      <c r="CB9" s="18">
        <v>0</v>
      </c>
      <c r="CC9" s="18">
        <v>0</v>
      </c>
      <c r="CD9" s="18">
        <v>0</v>
      </c>
      <c r="CE9" s="18">
        <v>0</v>
      </c>
      <c r="CF9" s="18">
        <v>0</v>
      </c>
      <c r="CG9" s="18">
        <v>0</v>
      </c>
      <c r="CH9" s="18">
        <v>0</v>
      </c>
      <c r="CI9" s="18">
        <v>0</v>
      </c>
      <c r="CJ9" s="18">
        <v>0</v>
      </c>
      <c r="CK9" s="18">
        <v>0</v>
      </c>
      <c r="CL9" s="18">
        <v>0</v>
      </c>
      <c r="CM9" s="18">
        <v>0</v>
      </c>
      <c r="CN9" s="18">
        <v>0</v>
      </c>
      <c r="CO9" s="18">
        <v>0</v>
      </c>
      <c r="CP9" s="18">
        <v>0</v>
      </c>
      <c r="CQ9" s="18">
        <v>0</v>
      </c>
      <c r="CR9" s="18">
        <v>0</v>
      </c>
      <c r="CS9" s="18">
        <v>0</v>
      </c>
      <c r="CT9" s="18">
        <v>0</v>
      </c>
      <c r="CU9" s="18">
        <v>0</v>
      </c>
      <c r="CV9" s="18">
        <v>0</v>
      </c>
      <c r="CW9" s="18">
        <v>0</v>
      </c>
      <c r="CX9" s="18">
        <v>0</v>
      </c>
      <c r="CY9" s="18">
        <v>0</v>
      </c>
      <c r="CZ9" s="18">
        <v>0</v>
      </c>
      <c r="DA9" s="18">
        <v>0</v>
      </c>
      <c r="DB9" s="18">
        <v>0</v>
      </c>
      <c r="DC9" s="18">
        <v>0</v>
      </c>
      <c r="DD9" s="18">
        <v>0</v>
      </c>
      <c r="DE9" s="18">
        <v>0</v>
      </c>
      <c r="DF9" s="18">
        <v>0</v>
      </c>
      <c r="DG9" s="18">
        <v>0</v>
      </c>
      <c r="DH9" s="18">
        <v>0</v>
      </c>
      <c r="DI9" s="18">
        <v>0</v>
      </c>
      <c r="DJ9" s="18">
        <v>0</v>
      </c>
      <c r="DK9" s="18">
        <v>0</v>
      </c>
      <c r="DL9" s="18">
        <v>0</v>
      </c>
      <c r="DM9" s="18">
        <v>0</v>
      </c>
      <c r="DN9" s="18">
        <v>0</v>
      </c>
      <c r="DO9" s="18">
        <v>0</v>
      </c>
      <c r="DP9" s="18">
        <v>0</v>
      </c>
      <c r="DQ9" s="18">
        <v>0</v>
      </c>
      <c r="DR9" s="18">
        <v>0</v>
      </c>
      <c r="DS9" s="18">
        <v>5000000</v>
      </c>
      <c r="DT9" s="18">
        <v>0</v>
      </c>
      <c r="DU9" s="18">
        <v>0</v>
      </c>
      <c r="DV9" s="18">
        <v>5000000</v>
      </c>
      <c r="DW9" s="18">
        <v>0</v>
      </c>
      <c r="DX9" s="18">
        <v>0</v>
      </c>
      <c r="DY9" s="18">
        <v>5000000</v>
      </c>
      <c r="DZ9" s="18">
        <v>0</v>
      </c>
      <c r="EA9" s="18">
        <v>0</v>
      </c>
      <c r="EB9" s="18">
        <v>0</v>
      </c>
      <c r="EC9" s="18">
        <v>0</v>
      </c>
      <c r="ED9" s="18">
        <v>0</v>
      </c>
      <c r="EE9" s="18">
        <v>0</v>
      </c>
      <c r="EF9" s="18">
        <v>0</v>
      </c>
      <c r="EG9" s="18">
        <v>0</v>
      </c>
      <c r="EH9" s="18">
        <v>0</v>
      </c>
      <c r="EI9" s="18">
        <v>0</v>
      </c>
      <c r="EJ9" s="18">
        <v>0</v>
      </c>
      <c r="EK9" s="18">
        <v>5000000</v>
      </c>
      <c r="EL9" s="18">
        <v>0</v>
      </c>
      <c r="EM9" s="18">
        <v>0</v>
      </c>
      <c r="EN9" s="18">
        <v>0</v>
      </c>
      <c r="EO9" s="18">
        <v>0</v>
      </c>
      <c r="EP9" s="18">
        <v>10000000</v>
      </c>
      <c r="EQ9" s="18">
        <v>0</v>
      </c>
      <c r="ER9" s="18">
        <v>0</v>
      </c>
      <c r="ES9" s="18">
        <v>0</v>
      </c>
      <c r="ET9" s="18">
        <v>0</v>
      </c>
      <c r="EU9" s="18">
        <v>0</v>
      </c>
      <c r="EV9" s="18">
        <v>0</v>
      </c>
      <c r="EW9" s="18">
        <v>0</v>
      </c>
      <c r="EX9" s="18">
        <v>0</v>
      </c>
      <c r="EY9" s="18">
        <v>0</v>
      </c>
      <c r="EZ9" s="18">
        <v>5000000</v>
      </c>
      <c r="FA9" s="18">
        <v>0</v>
      </c>
      <c r="FB9" s="18">
        <v>0</v>
      </c>
      <c r="FC9" s="18">
        <v>0</v>
      </c>
      <c r="FD9" s="18">
        <v>0</v>
      </c>
      <c r="FE9" s="18">
        <v>0</v>
      </c>
      <c r="FF9" s="18">
        <v>0</v>
      </c>
      <c r="FG9" s="18">
        <v>0</v>
      </c>
      <c r="FH9" s="18">
        <v>10000000</v>
      </c>
      <c r="FI9" s="18">
        <v>0</v>
      </c>
      <c r="FJ9" s="18">
        <v>0</v>
      </c>
      <c r="FK9" s="18">
        <v>0</v>
      </c>
      <c r="FL9" s="18">
        <v>0</v>
      </c>
      <c r="FM9" s="18">
        <v>0</v>
      </c>
      <c r="FN9" s="18">
        <v>0</v>
      </c>
      <c r="FO9" s="18">
        <v>0</v>
      </c>
      <c r="FP9" s="18">
        <v>0</v>
      </c>
      <c r="FQ9" s="18">
        <v>0</v>
      </c>
      <c r="FR9" s="18">
        <v>0</v>
      </c>
      <c r="FS9" s="18">
        <v>0</v>
      </c>
      <c r="FT9" s="18">
        <v>0</v>
      </c>
      <c r="FU9" s="18">
        <v>0</v>
      </c>
      <c r="FV9" s="18">
        <v>0</v>
      </c>
      <c r="FW9" s="18">
        <v>0</v>
      </c>
      <c r="FX9" s="18">
        <v>0</v>
      </c>
      <c r="FY9" s="18">
        <v>0</v>
      </c>
      <c r="FZ9" s="18">
        <v>0</v>
      </c>
      <c r="GA9" s="18">
        <v>0</v>
      </c>
      <c r="GB9" s="18">
        <v>0</v>
      </c>
      <c r="GC9" s="18">
        <v>0</v>
      </c>
      <c r="GD9" s="18">
        <v>5000000</v>
      </c>
      <c r="GE9" s="18">
        <v>0</v>
      </c>
      <c r="GF9" s="18">
        <v>0</v>
      </c>
      <c r="GG9" s="18">
        <f>B9-SUM(C9:GF9)</f>
        <v>21569760</v>
      </c>
      <c r="GH9" s="18">
        <v>0</v>
      </c>
      <c r="GI9" s="18">
        <v>0</v>
      </c>
      <c r="GJ9" s="18">
        <v>0</v>
      </c>
      <c r="GK9" s="18">
        <v>0</v>
      </c>
      <c r="GL9" s="18">
        <v>0</v>
      </c>
      <c r="GM9" s="18">
        <v>0</v>
      </c>
      <c r="GN9" s="18">
        <v>0</v>
      </c>
      <c r="GO9" s="18">
        <v>0</v>
      </c>
      <c r="GP9" s="18">
        <v>0</v>
      </c>
      <c r="GQ9" s="18">
        <v>0</v>
      </c>
      <c r="GR9" s="18">
        <v>0</v>
      </c>
      <c r="GS9" s="18">
        <v>0</v>
      </c>
      <c r="GT9" s="18">
        <v>0</v>
      </c>
      <c r="GU9" s="18">
        <v>0</v>
      </c>
      <c r="GV9" s="18">
        <v>0</v>
      </c>
      <c r="GW9" s="18">
        <v>0</v>
      </c>
      <c r="GX9" s="18">
        <v>0</v>
      </c>
      <c r="GY9" s="18">
        <v>0</v>
      </c>
      <c r="GZ9" s="18">
        <v>0</v>
      </c>
      <c r="HA9" s="18">
        <v>0</v>
      </c>
      <c r="HB9" s="18">
        <v>0</v>
      </c>
      <c r="HC9" s="18">
        <v>0</v>
      </c>
      <c r="HD9" s="18">
        <v>0</v>
      </c>
      <c r="HE9" s="18">
        <v>0</v>
      </c>
      <c r="HF9" s="18">
        <v>0</v>
      </c>
      <c r="HG9" s="18">
        <v>0</v>
      </c>
      <c r="HH9" s="18">
        <v>0</v>
      </c>
      <c r="HI9" s="18">
        <v>0</v>
      </c>
      <c r="HJ9" s="18">
        <v>0</v>
      </c>
      <c r="HK9" s="18">
        <v>0</v>
      </c>
      <c r="HL9" s="18">
        <v>0</v>
      </c>
      <c r="HM9" s="18">
        <v>0</v>
      </c>
      <c r="HN9" s="18">
        <v>0</v>
      </c>
      <c r="HO9" s="18">
        <v>0</v>
      </c>
      <c r="HP9" s="18">
        <v>0</v>
      </c>
      <c r="HQ9" s="18">
        <v>0</v>
      </c>
      <c r="HR9" s="18">
        <v>0</v>
      </c>
      <c r="HS9" s="18">
        <v>0</v>
      </c>
      <c r="HT9" s="18">
        <v>0</v>
      </c>
      <c r="HU9" s="18">
        <v>0</v>
      </c>
      <c r="HV9" s="18">
        <v>0</v>
      </c>
      <c r="HW9" s="18">
        <v>0</v>
      </c>
      <c r="HX9" s="18">
        <v>0</v>
      </c>
      <c r="HY9" s="18">
        <v>0</v>
      </c>
      <c r="HZ9" s="18">
        <v>0</v>
      </c>
      <c r="IA9" s="18">
        <v>0</v>
      </c>
      <c r="IB9" s="18">
        <v>0</v>
      </c>
      <c r="IC9" s="18">
        <v>0</v>
      </c>
      <c r="ID9" s="18">
        <v>0</v>
      </c>
      <c r="IE9" s="18">
        <v>0</v>
      </c>
      <c r="IF9" s="18">
        <v>0</v>
      </c>
      <c r="IG9" s="18">
        <v>0</v>
      </c>
      <c r="IH9" s="18">
        <v>0</v>
      </c>
      <c r="II9" s="1">
        <f>SUM(C9:IH9)</f>
        <v>71569760</v>
      </c>
    </row>
    <row r="10" spans="1:243" x14ac:dyDescent="0.45">
      <c r="A10" s="67" t="s">
        <v>365</v>
      </c>
      <c r="B10" s="113">
        <v>10000000</v>
      </c>
      <c r="C10" s="18">
        <v>0</v>
      </c>
      <c r="D10" s="18">
        <v>0</v>
      </c>
      <c r="E10" s="18">
        <v>0</v>
      </c>
      <c r="F10" s="18">
        <v>0</v>
      </c>
      <c r="G10" s="18">
        <v>0</v>
      </c>
      <c r="H10" s="18">
        <v>0</v>
      </c>
      <c r="I10" s="18">
        <v>0</v>
      </c>
      <c r="J10" s="18">
        <v>0</v>
      </c>
      <c r="K10" s="18">
        <v>0</v>
      </c>
      <c r="L10" s="18">
        <v>0</v>
      </c>
      <c r="M10" s="18">
        <v>0</v>
      </c>
      <c r="N10" s="18">
        <v>0</v>
      </c>
      <c r="O10" s="18">
        <v>0</v>
      </c>
      <c r="P10" s="18">
        <v>0</v>
      </c>
      <c r="Q10" s="18">
        <v>0</v>
      </c>
      <c r="R10" s="18">
        <v>0</v>
      </c>
      <c r="S10" s="18">
        <v>0</v>
      </c>
      <c r="T10" s="18">
        <v>0</v>
      </c>
      <c r="U10" s="18">
        <v>0</v>
      </c>
      <c r="V10" s="18">
        <v>0</v>
      </c>
      <c r="W10" s="18">
        <v>0</v>
      </c>
      <c r="X10" s="18">
        <v>0</v>
      </c>
      <c r="Y10" s="18">
        <v>0</v>
      </c>
      <c r="Z10" s="18">
        <v>0</v>
      </c>
      <c r="AA10" s="18">
        <v>0</v>
      </c>
      <c r="AB10" s="18">
        <v>0</v>
      </c>
      <c r="AC10" s="18">
        <v>0</v>
      </c>
      <c r="AD10" s="18">
        <v>0</v>
      </c>
      <c r="AE10" s="18">
        <v>0</v>
      </c>
      <c r="AF10" s="18">
        <v>0</v>
      </c>
      <c r="AG10" s="18">
        <v>0</v>
      </c>
      <c r="AH10" s="18">
        <v>0</v>
      </c>
      <c r="AI10" s="18">
        <v>0</v>
      </c>
      <c r="AJ10" s="18">
        <v>0</v>
      </c>
      <c r="AK10" s="18">
        <v>0</v>
      </c>
      <c r="AL10" s="18">
        <v>0</v>
      </c>
      <c r="AM10" s="18">
        <v>0</v>
      </c>
      <c r="AN10" s="18">
        <v>0</v>
      </c>
      <c r="AO10" s="18">
        <v>0</v>
      </c>
      <c r="AP10" s="18">
        <v>0</v>
      </c>
      <c r="AQ10" s="18">
        <v>0</v>
      </c>
      <c r="AR10" s="18">
        <v>0</v>
      </c>
      <c r="AS10" s="18">
        <v>0</v>
      </c>
      <c r="AT10" s="18">
        <v>0</v>
      </c>
      <c r="AU10" s="18">
        <v>0</v>
      </c>
      <c r="AV10" s="18">
        <v>0</v>
      </c>
      <c r="AW10" s="18">
        <v>0</v>
      </c>
      <c r="AX10" s="18">
        <v>0</v>
      </c>
      <c r="AY10" s="18">
        <v>0</v>
      </c>
      <c r="AZ10" s="18">
        <v>0</v>
      </c>
      <c r="BA10" s="18">
        <v>0</v>
      </c>
      <c r="BB10" s="18">
        <v>0</v>
      </c>
      <c r="BC10" s="18">
        <v>0</v>
      </c>
      <c r="BD10" s="18">
        <v>0</v>
      </c>
      <c r="BE10" s="18">
        <v>0</v>
      </c>
      <c r="BF10" s="18">
        <v>0</v>
      </c>
      <c r="BG10" s="18">
        <v>0</v>
      </c>
      <c r="BH10" s="18">
        <v>0</v>
      </c>
      <c r="BI10" s="18">
        <v>0</v>
      </c>
      <c r="BJ10" s="18">
        <v>0</v>
      </c>
      <c r="BK10" s="18">
        <v>5000000</v>
      </c>
      <c r="BL10" s="18">
        <v>0</v>
      </c>
      <c r="BM10" s="18">
        <v>0</v>
      </c>
      <c r="BN10" s="18">
        <v>3000000</v>
      </c>
      <c r="BO10" s="18">
        <v>0</v>
      </c>
      <c r="BP10" s="18">
        <v>0</v>
      </c>
      <c r="BQ10" s="18">
        <v>2000000</v>
      </c>
      <c r="BR10" s="18">
        <v>0</v>
      </c>
      <c r="BS10" s="18">
        <v>0</v>
      </c>
      <c r="BT10" s="18">
        <v>0</v>
      </c>
      <c r="BU10" s="18">
        <v>0</v>
      </c>
      <c r="BV10" s="18">
        <v>0</v>
      </c>
      <c r="BW10" s="18">
        <v>0</v>
      </c>
      <c r="BX10" s="18">
        <v>0</v>
      </c>
      <c r="BY10" s="18">
        <v>0</v>
      </c>
      <c r="BZ10" s="18">
        <v>0</v>
      </c>
      <c r="CA10" s="18">
        <v>0</v>
      </c>
      <c r="CB10" s="18">
        <v>0</v>
      </c>
      <c r="CC10" s="18">
        <v>0</v>
      </c>
      <c r="CD10" s="18">
        <v>0</v>
      </c>
      <c r="CE10" s="18">
        <v>0</v>
      </c>
      <c r="CF10" s="18">
        <v>0</v>
      </c>
      <c r="CG10" s="18">
        <v>0</v>
      </c>
      <c r="CH10" s="18">
        <v>0</v>
      </c>
      <c r="CI10" s="18">
        <v>0</v>
      </c>
      <c r="CJ10" s="18">
        <v>0</v>
      </c>
      <c r="CK10" s="18">
        <v>0</v>
      </c>
      <c r="CL10" s="18">
        <v>0</v>
      </c>
      <c r="CM10" s="18">
        <v>0</v>
      </c>
      <c r="CN10" s="18">
        <v>0</v>
      </c>
      <c r="CO10" s="18">
        <v>0</v>
      </c>
      <c r="CP10" s="18">
        <v>0</v>
      </c>
      <c r="CQ10" s="18">
        <v>0</v>
      </c>
      <c r="CR10" s="18">
        <v>0</v>
      </c>
      <c r="CS10" s="18">
        <v>0</v>
      </c>
      <c r="CT10" s="18">
        <v>0</v>
      </c>
      <c r="CU10" s="18">
        <v>0</v>
      </c>
      <c r="CV10" s="18">
        <v>0</v>
      </c>
      <c r="CW10" s="18">
        <v>0</v>
      </c>
      <c r="CX10" s="18">
        <v>0</v>
      </c>
      <c r="CY10" s="18">
        <v>0</v>
      </c>
      <c r="CZ10" s="18">
        <v>0</v>
      </c>
      <c r="DA10" s="18">
        <v>0</v>
      </c>
      <c r="DB10" s="18">
        <v>0</v>
      </c>
      <c r="DC10" s="18">
        <v>0</v>
      </c>
      <c r="DD10" s="18">
        <v>0</v>
      </c>
      <c r="DE10" s="18">
        <v>0</v>
      </c>
      <c r="DF10" s="18">
        <v>0</v>
      </c>
      <c r="DG10" s="18">
        <v>0</v>
      </c>
      <c r="DH10" s="18">
        <v>0</v>
      </c>
      <c r="DI10" s="18">
        <v>0</v>
      </c>
      <c r="DJ10" s="18">
        <v>0</v>
      </c>
      <c r="DK10" s="18">
        <v>0</v>
      </c>
      <c r="DL10" s="18">
        <v>0</v>
      </c>
      <c r="DM10" s="18">
        <v>0</v>
      </c>
      <c r="DN10" s="18">
        <v>0</v>
      </c>
      <c r="DO10" s="18">
        <v>0</v>
      </c>
      <c r="DP10" s="18">
        <v>0</v>
      </c>
      <c r="DQ10" s="18">
        <v>0</v>
      </c>
      <c r="DR10" s="18">
        <v>0</v>
      </c>
      <c r="DS10" s="18">
        <v>5000000</v>
      </c>
      <c r="DT10" s="18">
        <v>0</v>
      </c>
      <c r="DU10" s="18">
        <v>0</v>
      </c>
      <c r="DV10" s="18">
        <v>3000000</v>
      </c>
      <c r="DW10" s="18">
        <v>0</v>
      </c>
      <c r="DX10" s="18">
        <v>0</v>
      </c>
      <c r="DY10" s="18">
        <v>2000000</v>
      </c>
      <c r="DZ10" s="18">
        <v>0</v>
      </c>
      <c r="EA10" s="18">
        <v>0</v>
      </c>
      <c r="EB10" s="18">
        <v>0</v>
      </c>
      <c r="EC10" s="18">
        <v>0</v>
      </c>
      <c r="ED10" s="18">
        <v>0</v>
      </c>
      <c r="EE10" s="18">
        <v>0</v>
      </c>
      <c r="EF10" s="18">
        <v>0</v>
      </c>
      <c r="EG10" s="18">
        <v>0</v>
      </c>
      <c r="EH10" s="18">
        <v>0</v>
      </c>
      <c r="EI10" s="18">
        <v>0</v>
      </c>
      <c r="EJ10" s="18">
        <v>0</v>
      </c>
      <c r="EK10" s="18">
        <v>0</v>
      </c>
      <c r="EL10" s="18">
        <v>0</v>
      </c>
      <c r="EM10" s="18">
        <v>0</v>
      </c>
      <c r="EN10" s="18">
        <v>0</v>
      </c>
      <c r="EO10" s="18">
        <v>0</v>
      </c>
      <c r="EP10" s="18">
        <v>0</v>
      </c>
      <c r="EQ10" s="18">
        <v>0</v>
      </c>
      <c r="ER10" s="18">
        <v>0</v>
      </c>
      <c r="ES10" s="18">
        <v>0</v>
      </c>
      <c r="ET10" s="18">
        <v>0</v>
      </c>
      <c r="EU10" s="18">
        <v>0</v>
      </c>
      <c r="EV10" s="18">
        <v>0</v>
      </c>
      <c r="EW10" s="18">
        <v>0</v>
      </c>
      <c r="EX10" s="18">
        <v>0</v>
      </c>
      <c r="EY10" s="18">
        <v>0</v>
      </c>
      <c r="EZ10" s="18">
        <v>0</v>
      </c>
      <c r="FA10" s="18">
        <v>0</v>
      </c>
      <c r="FB10" s="18">
        <v>0</v>
      </c>
      <c r="FC10" s="18">
        <v>0</v>
      </c>
      <c r="FD10" s="18">
        <v>0</v>
      </c>
      <c r="FE10" s="18">
        <v>0</v>
      </c>
      <c r="FF10" s="18">
        <v>0</v>
      </c>
      <c r="FG10" s="18">
        <v>0</v>
      </c>
      <c r="FH10" s="18">
        <v>0</v>
      </c>
      <c r="FI10" s="18">
        <v>0</v>
      </c>
      <c r="FJ10" s="18">
        <v>0</v>
      </c>
      <c r="FK10" s="18">
        <v>0</v>
      </c>
      <c r="FL10" s="18">
        <v>0</v>
      </c>
      <c r="FM10" s="18">
        <v>0</v>
      </c>
      <c r="FN10" s="18">
        <v>0</v>
      </c>
      <c r="FO10" s="18">
        <v>0</v>
      </c>
      <c r="FP10" s="18">
        <v>0</v>
      </c>
      <c r="FQ10" s="18">
        <v>0</v>
      </c>
      <c r="FR10" s="18">
        <v>0</v>
      </c>
      <c r="FS10" s="18">
        <v>0</v>
      </c>
      <c r="FT10" s="18">
        <v>0</v>
      </c>
      <c r="FU10" s="18">
        <v>0</v>
      </c>
      <c r="FV10" s="18">
        <v>0</v>
      </c>
      <c r="FW10" s="18">
        <v>0</v>
      </c>
      <c r="FX10" s="18">
        <v>0</v>
      </c>
      <c r="FY10" s="18">
        <v>0</v>
      </c>
      <c r="FZ10" s="18">
        <v>0</v>
      </c>
      <c r="GA10" s="18">
        <v>5000000</v>
      </c>
      <c r="GB10" s="18">
        <v>0</v>
      </c>
      <c r="GC10" s="18">
        <v>0</v>
      </c>
      <c r="GD10" s="18">
        <v>3000000</v>
      </c>
      <c r="GE10" s="18">
        <v>0</v>
      </c>
      <c r="GF10" s="18">
        <v>0</v>
      </c>
      <c r="GG10" s="18">
        <v>2000000</v>
      </c>
      <c r="GH10" s="18">
        <v>0</v>
      </c>
      <c r="GI10" s="18">
        <v>0</v>
      </c>
      <c r="GJ10" s="18">
        <v>0</v>
      </c>
      <c r="GK10" s="18">
        <v>0</v>
      </c>
      <c r="GL10" s="18">
        <v>0</v>
      </c>
      <c r="GM10" s="18">
        <v>0</v>
      </c>
      <c r="GN10" s="18">
        <v>0</v>
      </c>
      <c r="GO10" s="18">
        <v>0</v>
      </c>
      <c r="GP10" s="18">
        <v>0</v>
      </c>
      <c r="GQ10" s="18">
        <v>0</v>
      </c>
      <c r="GR10" s="18">
        <v>0</v>
      </c>
      <c r="GS10" s="18">
        <v>0</v>
      </c>
      <c r="GT10" s="18">
        <v>0</v>
      </c>
      <c r="GU10" s="18">
        <v>0</v>
      </c>
      <c r="GV10" s="18">
        <v>0</v>
      </c>
      <c r="GW10" s="18">
        <v>0</v>
      </c>
      <c r="GX10" s="18">
        <v>0</v>
      </c>
      <c r="GY10" s="18">
        <v>0</v>
      </c>
      <c r="GZ10" s="18">
        <v>0</v>
      </c>
      <c r="HA10" s="18">
        <v>0</v>
      </c>
      <c r="HB10" s="18">
        <v>0</v>
      </c>
      <c r="HC10" s="18">
        <v>0</v>
      </c>
      <c r="HD10" s="18">
        <v>0</v>
      </c>
      <c r="HE10" s="18">
        <v>0</v>
      </c>
      <c r="HF10" s="18">
        <v>0</v>
      </c>
      <c r="HG10" s="18">
        <v>0</v>
      </c>
      <c r="HH10" s="18">
        <v>0</v>
      </c>
      <c r="HI10" s="18">
        <v>0</v>
      </c>
      <c r="HJ10" s="18">
        <v>0</v>
      </c>
      <c r="HK10" s="18">
        <v>0</v>
      </c>
      <c r="HL10" s="18">
        <v>0</v>
      </c>
      <c r="HM10" s="18">
        <v>0</v>
      </c>
      <c r="HN10" s="18">
        <v>0</v>
      </c>
      <c r="HO10" s="18">
        <v>0</v>
      </c>
      <c r="HP10" s="18">
        <v>0</v>
      </c>
      <c r="HQ10" s="18">
        <v>0</v>
      </c>
      <c r="HR10" s="18">
        <v>0</v>
      </c>
      <c r="HS10" s="18">
        <v>0</v>
      </c>
      <c r="HT10" s="18">
        <v>0</v>
      </c>
      <c r="HU10" s="18">
        <v>0</v>
      </c>
      <c r="HV10" s="18">
        <v>0</v>
      </c>
      <c r="HW10" s="18">
        <v>0</v>
      </c>
      <c r="HX10" s="18">
        <v>0</v>
      </c>
      <c r="HY10" s="18">
        <v>0</v>
      </c>
      <c r="HZ10" s="18">
        <v>0</v>
      </c>
      <c r="IA10" s="18">
        <v>0</v>
      </c>
      <c r="IB10" s="18">
        <v>0</v>
      </c>
      <c r="IC10" s="18">
        <v>0</v>
      </c>
      <c r="ID10" s="18">
        <v>0</v>
      </c>
      <c r="IE10" s="18">
        <v>0</v>
      </c>
      <c r="IF10" s="18">
        <v>0</v>
      </c>
      <c r="IG10" s="18">
        <v>0</v>
      </c>
      <c r="IH10" s="18">
        <v>0</v>
      </c>
      <c r="II10" s="1">
        <f t="shared" ref="II10:II12" si="4">SUM(C10:IH10)</f>
        <v>30000000</v>
      </c>
    </row>
    <row r="11" spans="1:243" x14ac:dyDescent="0.45">
      <c r="A11" s="104" t="s">
        <v>366</v>
      </c>
      <c r="B11" s="113">
        <v>10000000</v>
      </c>
      <c r="C11" s="18">
        <v>0</v>
      </c>
      <c r="D11" s="18">
        <v>0</v>
      </c>
      <c r="E11" s="18">
        <v>0</v>
      </c>
      <c r="F11" s="18">
        <v>0</v>
      </c>
      <c r="G11" s="18">
        <v>0</v>
      </c>
      <c r="H11" s="18">
        <v>0</v>
      </c>
      <c r="I11" s="18">
        <v>0</v>
      </c>
      <c r="J11" s="18">
        <v>0</v>
      </c>
      <c r="K11" s="18">
        <v>0</v>
      </c>
      <c r="L11" s="18">
        <v>0</v>
      </c>
      <c r="M11" s="18">
        <v>0</v>
      </c>
      <c r="N11" s="18">
        <v>0</v>
      </c>
      <c r="O11" s="18">
        <v>0</v>
      </c>
      <c r="P11" s="18">
        <v>0</v>
      </c>
      <c r="Q11" s="18">
        <v>0</v>
      </c>
      <c r="R11" s="18">
        <v>0</v>
      </c>
      <c r="S11" s="18">
        <v>0</v>
      </c>
      <c r="T11" s="18">
        <v>0</v>
      </c>
      <c r="U11" s="18">
        <v>0</v>
      </c>
      <c r="V11" s="18">
        <v>0</v>
      </c>
      <c r="W11" s="18">
        <v>0</v>
      </c>
      <c r="X11" s="18">
        <v>0</v>
      </c>
      <c r="Y11" s="18">
        <v>0</v>
      </c>
      <c r="Z11" s="18">
        <v>0</v>
      </c>
      <c r="AA11" s="18">
        <v>0</v>
      </c>
      <c r="AB11" s="18">
        <v>0</v>
      </c>
      <c r="AC11" s="18">
        <v>0</v>
      </c>
      <c r="AD11" s="18">
        <v>0</v>
      </c>
      <c r="AE11" s="18">
        <v>0</v>
      </c>
      <c r="AF11" s="18">
        <v>0</v>
      </c>
      <c r="AG11" s="18">
        <v>0</v>
      </c>
      <c r="AH11" s="18">
        <v>0</v>
      </c>
      <c r="AI11" s="18">
        <v>0</v>
      </c>
      <c r="AJ11" s="18">
        <v>0</v>
      </c>
      <c r="AK11" s="18">
        <v>0</v>
      </c>
      <c r="AL11" s="18">
        <v>0</v>
      </c>
      <c r="AM11" s="18">
        <v>0</v>
      </c>
      <c r="AN11" s="18">
        <v>0</v>
      </c>
      <c r="AO11" s="18">
        <v>0</v>
      </c>
      <c r="AP11" s="18">
        <v>0</v>
      </c>
      <c r="AQ11" s="18">
        <v>0</v>
      </c>
      <c r="AR11" s="18">
        <v>0</v>
      </c>
      <c r="AS11" s="18">
        <v>0</v>
      </c>
      <c r="AT11" s="18">
        <v>0</v>
      </c>
      <c r="AU11" s="18">
        <v>0</v>
      </c>
      <c r="AV11" s="18">
        <v>0</v>
      </c>
      <c r="AW11" s="18">
        <v>0</v>
      </c>
      <c r="AX11" s="18">
        <v>0</v>
      </c>
      <c r="AY11" s="18">
        <v>0</v>
      </c>
      <c r="AZ11" s="18">
        <v>0</v>
      </c>
      <c r="BA11" s="18">
        <v>0</v>
      </c>
      <c r="BB11" s="18">
        <v>0</v>
      </c>
      <c r="BC11" s="18">
        <v>0</v>
      </c>
      <c r="BD11" s="18">
        <v>0</v>
      </c>
      <c r="BE11" s="18">
        <v>0</v>
      </c>
      <c r="BF11" s="18">
        <v>0</v>
      </c>
      <c r="BG11" s="18">
        <v>0</v>
      </c>
      <c r="BH11" s="18">
        <v>0</v>
      </c>
      <c r="BI11" s="18">
        <v>0</v>
      </c>
      <c r="BJ11" s="18">
        <v>0</v>
      </c>
      <c r="BK11" s="18">
        <v>5000000</v>
      </c>
      <c r="BL11" s="18">
        <v>0</v>
      </c>
      <c r="BM11" s="18">
        <v>0</v>
      </c>
      <c r="BN11" s="18">
        <v>3000000</v>
      </c>
      <c r="BO11" s="18">
        <v>0</v>
      </c>
      <c r="BP11" s="18">
        <v>0</v>
      </c>
      <c r="BQ11" s="18">
        <v>2000000</v>
      </c>
      <c r="BR11" s="18">
        <v>0</v>
      </c>
      <c r="BS11" s="18">
        <v>0</v>
      </c>
      <c r="BT11" s="18">
        <v>0</v>
      </c>
      <c r="BU11" s="18">
        <v>0</v>
      </c>
      <c r="BV11" s="18">
        <v>0</v>
      </c>
      <c r="BW11" s="18">
        <v>0</v>
      </c>
      <c r="BX11" s="18">
        <v>0</v>
      </c>
      <c r="BY11" s="18">
        <v>0</v>
      </c>
      <c r="BZ11" s="18">
        <v>0</v>
      </c>
      <c r="CA11" s="18">
        <v>0</v>
      </c>
      <c r="CB11" s="18">
        <v>0</v>
      </c>
      <c r="CC11" s="18">
        <v>0</v>
      </c>
      <c r="CD11" s="18">
        <v>0</v>
      </c>
      <c r="CE11" s="18">
        <v>0</v>
      </c>
      <c r="CF11" s="18">
        <v>0</v>
      </c>
      <c r="CG11" s="18">
        <v>0</v>
      </c>
      <c r="CH11" s="18">
        <v>0</v>
      </c>
      <c r="CI11" s="18">
        <v>0</v>
      </c>
      <c r="CJ11" s="18">
        <v>0</v>
      </c>
      <c r="CK11" s="18">
        <v>0</v>
      </c>
      <c r="CL11" s="18">
        <v>0</v>
      </c>
      <c r="CM11" s="18">
        <v>0</v>
      </c>
      <c r="CN11" s="18">
        <v>0</v>
      </c>
      <c r="CO11" s="18">
        <v>0</v>
      </c>
      <c r="CP11" s="18">
        <v>0</v>
      </c>
      <c r="CQ11" s="18">
        <v>0</v>
      </c>
      <c r="CR11" s="18">
        <v>0</v>
      </c>
      <c r="CS11" s="18">
        <v>0</v>
      </c>
      <c r="CT11" s="18">
        <v>0</v>
      </c>
      <c r="CU11" s="18">
        <v>0</v>
      </c>
      <c r="CV11" s="18">
        <v>0</v>
      </c>
      <c r="CW11" s="18">
        <v>0</v>
      </c>
      <c r="CX11" s="18">
        <v>0</v>
      </c>
      <c r="CY11" s="18">
        <v>0</v>
      </c>
      <c r="CZ11" s="18">
        <v>0</v>
      </c>
      <c r="DA11" s="18">
        <v>0</v>
      </c>
      <c r="DB11" s="18">
        <v>0</v>
      </c>
      <c r="DC11" s="18">
        <v>0</v>
      </c>
      <c r="DD11" s="18">
        <v>0</v>
      </c>
      <c r="DE11" s="18">
        <v>0</v>
      </c>
      <c r="DF11" s="18">
        <v>0</v>
      </c>
      <c r="DG11" s="18">
        <v>0</v>
      </c>
      <c r="DH11" s="18">
        <v>0</v>
      </c>
      <c r="DI11" s="18">
        <v>0</v>
      </c>
      <c r="DJ11" s="18">
        <v>0</v>
      </c>
      <c r="DK11" s="18">
        <v>0</v>
      </c>
      <c r="DL11" s="18">
        <v>0</v>
      </c>
      <c r="DM11" s="18">
        <v>0</v>
      </c>
      <c r="DN11" s="18">
        <v>0</v>
      </c>
      <c r="DO11" s="18">
        <v>0</v>
      </c>
      <c r="DP11" s="18">
        <v>0</v>
      </c>
      <c r="DQ11" s="18">
        <v>0</v>
      </c>
      <c r="DR11" s="18">
        <v>0</v>
      </c>
      <c r="DS11" s="18">
        <v>5000000</v>
      </c>
      <c r="DT11" s="18">
        <v>0</v>
      </c>
      <c r="DU11" s="18">
        <v>0</v>
      </c>
      <c r="DV11" s="18">
        <v>3000000</v>
      </c>
      <c r="DW11" s="18">
        <v>0</v>
      </c>
      <c r="DX11" s="18">
        <v>0</v>
      </c>
      <c r="DY11" s="18">
        <v>2000000</v>
      </c>
      <c r="DZ11" s="18">
        <v>0</v>
      </c>
      <c r="EA11" s="18">
        <v>0</v>
      </c>
      <c r="EB11" s="18">
        <v>0</v>
      </c>
      <c r="EC11" s="18">
        <v>0</v>
      </c>
      <c r="ED11" s="18">
        <v>0</v>
      </c>
      <c r="EE11" s="18">
        <v>0</v>
      </c>
      <c r="EF11" s="18">
        <v>0</v>
      </c>
      <c r="EG11" s="18">
        <v>0</v>
      </c>
      <c r="EH11" s="18">
        <v>0</v>
      </c>
      <c r="EI11" s="18">
        <v>0</v>
      </c>
      <c r="EJ11" s="18">
        <v>0</v>
      </c>
      <c r="EK11" s="18">
        <v>0</v>
      </c>
      <c r="EL11" s="18">
        <v>0</v>
      </c>
      <c r="EM11" s="18">
        <v>0</v>
      </c>
      <c r="EN11" s="18">
        <v>0</v>
      </c>
      <c r="EO11" s="18">
        <v>0</v>
      </c>
      <c r="EP11" s="18">
        <v>0</v>
      </c>
      <c r="EQ11" s="18">
        <v>0</v>
      </c>
      <c r="ER11" s="18">
        <v>0</v>
      </c>
      <c r="ES11" s="18">
        <v>0</v>
      </c>
      <c r="ET11" s="18">
        <v>0</v>
      </c>
      <c r="EU11" s="18">
        <v>0</v>
      </c>
      <c r="EV11" s="18">
        <v>0</v>
      </c>
      <c r="EW11" s="18">
        <v>0</v>
      </c>
      <c r="EX11" s="18">
        <v>0</v>
      </c>
      <c r="EY11" s="18">
        <v>0</v>
      </c>
      <c r="EZ11" s="18">
        <v>0</v>
      </c>
      <c r="FA11" s="18">
        <v>0</v>
      </c>
      <c r="FB11" s="18">
        <v>0</v>
      </c>
      <c r="FC11" s="18">
        <v>0</v>
      </c>
      <c r="FD11" s="18">
        <v>0</v>
      </c>
      <c r="FE11" s="18">
        <v>0</v>
      </c>
      <c r="FF11" s="18">
        <v>0</v>
      </c>
      <c r="FG11" s="18">
        <v>0</v>
      </c>
      <c r="FH11" s="18">
        <v>0</v>
      </c>
      <c r="FI11" s="18">
        <v>0</v>
      </c>
      <c r="FJ11" s="18">
        <v>0</v>
      </c>
      <c r="FK11" s="18">
        <v>0</v>
      </c>
      <c r="FL11" s="18">
        <v>0</v>
      </c>
      <c r="FM11" s="18">
        <v>0</v>
      </c>
      <c r="FN11" s="18">
        <v>0</v>
      </c>
      <c r="FO11" s="18">
        <v>0</v>
      </c>
      <c r="FP11" s="18">
        <v>0</v>
      </c>
      <c r="FQ11" s="18">
        <v>0</v>
      </c>
      <c r="FR11" s="18">
        <v>0</v>
      </c>
      <c r="FS11" s="18">
        <v>0</v>
      </c>
      <c r="FT11" s="18">
        <v>0</v>
      </c>
      <c r="FU11" s="18">
        <v>0</v>
      </c>
      <c r="FV11" s="18">
        <v>0</v>
      </c>
      <c r="FW11" s="18">
        <v>0</v>
      </c>
      <c r="FX11" s="18">
        <v>0</v>
      </c>
      <c r="FY11" s="18">
        <v>0</v>
      </c>
      <c r="FZ11" s="18">
        <v>0</v>
      </c>
      <c r="GA11" s="18">
        <v>5000000</v>
      </c>
      <c r="GB11" s="18">
        <v>0</v>
      </c>
      <c r="GC11" s="18">
        <v>0</v>
      </c>
      <c r="GD11" s="18">
        <v>3000000</v>
      </c>
      <c r="GE11" s="18">
        <v>0</v>
      </c>
      <c r="GF11" s="18">
        <v>0</v>
      </c>
      <c r="GG11" s="18">
        <v>2000000</v>
      </c>
      <c r="GH11" s="18">
        <v>0</v>
      </c>
      <c r="GI11" s="18">
        <v>0</v>
      </c>
      <c r="GJ11" s="18">
        <v>0</v>
      </c>
      <c r="GK11" s="18">
        <v>0</v>
      </c>
      <c r="GL11" s="18">
        <v>0</v>
      </c>
      <c r="GM11" s="18">
        <v>0</v>
      </c>
      <c r="GN11" s="18">
        <v>0</v>
      </c>
      <c r="GO11" s="18">
        <v>0</v>
      </c>
      <c r="GP11" s="18">
        <v>0</v>
      </c>
      <c r="GQ11" s="18">
        <v>0</v>
      </c>
      <c r="GR11" s="18">
        <v>0</v>
      </c>
      <c r="GS11" s="18">
        <v>0</v>
      </c>
      <c r="GT11" s="18">
        <v>0</v>
      </c>
      <c r="GU11" s="18">
        <v>0</v>
      </c>
      <c r="GV11" s="18">
        <v>0</v>
      </c>
      <c r="GW11" s="18">
        <v>0</v>
      </c>
      <c r="GX11" s="18">
        <v>0</v>
      </c>
      <c r="GY11" s="18">
        <v>0</v>
      </c>
      <c r="GZ11" s="18">
        <v>0</v>
      </c>
      <c r="HA11" s="18">
        <v>0</v>
      </c>
      <c r="HB11" s="18">
        <v>0</v>
      </c>
      <c r="HC11" s="18">
        <v>0</v>
      </c>
      <c r="HD11" s="18">
        <v>0</v>
      </c>
      <c r="HE11" s="18">
        <v>0</v>
      </c>
      <c r="HF11" s="18">
        <v>0</v>
      </c>
      <c r="HG11" s="18">
        <v>0</v>
      </c>
      <c r="HH11" s="18">
        <v>0</v>
      </c>
      <c r="HI11" s="18">
        <v>0</v>
      </c>
      <c r="HJ11" s="18">
        <v>0</v>
      </c>
      <c r="HK11" s="18">
        <v>0</v>
      </c>
      <c r="HL11" s="18">
        <v>0</v>
      </c>
      <c r="HM11" s="18">
        <v>0</v>
      </c>
      <c r="HN11" s="18">
        <v>0</v>
      </c>
      <c r="HO11" s="18">
        <v>0</v>
      </c>
      <c r="HP11" s="18">
        <v>0</v>
      </c>
      <c r="HQ11" s="18">
        <v>0</v>
      </c>
      <c r="HR11" s="18">
        <v>0</v>
      </c>
      <c r="HS11" s="18">
        <v>0</v>
      </c>
      <c r="HT11" s="18">
        <v>0</v>
      </c>
      <c r="HU11" s="18">
        <v>0</v>
      </c>
      <c r="HV11" s="18">
        <v>0</v>
      </c>
      <c r="HW11" s="18">
        <v>0</v>
      </c>
      <c r="HX11" s="18">
        <v>0</v>
      </c>
      <c r="HY11" s="18">
        <v>0</v>
      </c>
      <c r="HZ11" s="18">
        <v>0</v>
      </c>
      <c r="IA11" s="18">
        <v>0</v>
      </c>
      <c r="IB11" s="18">
        <v>0</v>
      </c>
      <c r="IC11" s="18">
        <v>0</v>
      </c>
      <c r="ID11" s="18">
        <v>0</v>
      </c>
      <c r="IE11" s="18">
        <v>0</v>
      </c>
      <c r="IF11" s="18">
        <v>0</v>
      </c>
      <c r="IG11" s="18">
        <v>0</v>
      </c>
      <c r="IH11" s="18">
        <v>0</v>
      </c>
      <c r="II11" s="1">
        <f t="shared" si="4"/>
        <v>30000000</v>
      </c>
    </row>
    <row r="12" spans="1:243" x14ac:dyDescent="0.45">
      <c r="A12" s="67" t="s">
        <v>362</v>
      </c>
      <c r="B12" s="113">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c r="AE12" s="18">
        <v>0</v>
      </c>
      <c r="AF12" s="18">
        <v>0</v>
      </c>
      <c r="AG12" s="18">
        <v>0</v>
      </c>
      <c r="AH12" s="18">
        <v>0</v>
      </c>
      <c r="AI12" s="18">
        <v>0</v>
      </c>
      <c r="AJ12" s="18">
        <v>0</v>
      </c>
      <c r="AK12" s="18">
        <v>0</v>
      </c>
      <c r="AL12" s="18">
        <v>0</v>
      </c>
      <c r="AM12" s="18">
        <v>0</v>
      </c>
      <c r="AN12" s="18">
        <v>0</v>
      </c>
      <c r="AO12" s="18">
        <v>0</v>
      </c>
      <c r="AP12" s="18">
        <v>0</v>
      </c>
      <c r="AQ12" s="18">
        <v>0</v>
      </c>
      <c r="AR12" s="18">
        <v>0</v>
      </c>
      <c r="AS12" s="18">
        <v>0</v>
      </c>
      <c r="AT12" s="18">
        <v>0</v>
      </c>
      <c r="AU12" s="18">
        <v>0</v>
      </c>
      <c r="AV12" s="18">
        <v>0</v>
      </c>
      <c r="AW12" s="18">
        <v>0</v>
      </c>
      <c r="AX12" s="18">
        <v>0</v>
      </c>
      <c r="AY12" s="18">
        <v>0</v>
      </c>
      <c r="AZ12" s="18">
        <v>0</v>
      </c>
      <c r="BA12" s="18">
        <v>0</v>
      </c>
      <c r="BB12" s="18">
        <v>0</v>
      </c>
      <c r="BC12" s="18">
        <v>0</v>
      </c>
      <c r="BD12" s="18">
        <v>0</v>
      </c>
      <c r="BE12" s="18">
        <v>0</v>
      </c>
      <c r="BF12" s="18">
        <v>0</v>
      </c>
      <c r="BG12" s="18">
        <v>0</v>
      </c>
      <c r="BH12" s="18">
        <v>0</v>
      </c>
      <c r="BI12" s="18">
        <v>0</v>
      </c>
      <c r="BJ12" s="18">
        <v>0</v>
      </c>
      <c r="BK12" s="18">
        <v>0</v>
      </c>
      <c r="BL12" s="18">
        <v>0</v>
      </c>
      <c r="BM12" s="18">
        <v>0</v>
      </c>
      <c r="BN12" s="18">
        <v>0</v>
      </c>
      <c r="BO12" s="18">
        <v>0</v>
      </c>
      <c r="BP12" s="18">
        <v>0</v>
      </c>
      <c r="BQ12" s="18">
        <v>0</v>
      </c>
      <c r="BR12" s="18">
        <v>0</v>
      </c>
      <c r="BS12" s="18">
        <v>0</v>
      </c>
      <c r="BT12" s="18">
        <v>0</v>
      </c>
      <c r="BU12" s="18">
        <v>0</v>
      </c>
      <c r="BV12" s="18">
        <v>0</v>
      </c>
      <c r="BW12" s="18">
        <v>0</v>
      </c>
      <c r="BX12" s="18">
        <v>0</v>
      </c>
      <c r="BY12" s="18">
        <v>0</v>
      </c>
      <c r="BZ12" s="18">
        <v>0</v>
      </c>
      <c r="CA12" s="18">
        <v>0</v>
      </c>
      <c r="CB12" s="18">
        <v>0</v>
      </c>
      <c r="CC12" s="18">
        <v>0</v>
      </c>
      <c r="CD12" s="18">
        <v>0</v>
      </c>
      <c r="CE12" s="18">
        <v>0</v>
      </c>
      <c r="CF12" s="18">
        <v>0</v>
      </c>
      <c r="CG12" s="18">
        <v>0</v>
      </c>
      <c r="CH12" s="18">
        <v>0</v>
      </c>
      <c r="CI12" s="18">
        <v>0</v>
      </c>
      <c r="CJ12" s="18">
        <v>0</v>
      </c>
      <c r="CK12" s="18">
        <v>0</v>
      </c>
      <c r="CL12" s="18">
        <v>0</v>
      </c>
      <c r="CM12" s="18">
        <v>0</v>
      </c>
      <c r="CN12" s="18">
        <v>0</v>
      </c>
      <c r="CO12" s="18">
        <v>0</v>
      </c>
      <c r="CP12" s="18">
        <v>0</v>
      </c>
      <c r="CQ12" s="18">
        <v>0</v>
      </c>
      <c r="CR12" s="18">
        <v>0</v>
      </c>
      <c r="CS12" s="18">
        <v>0</v>
      </c>
      <c r="CT12" s="18">
        <v>0</v>
      </c>
      <c r="CU12" s="18">
        <v>0</v>
      </c>
      <c r="CV12" s="18">
        <v>0</v>
      </c>
      <c r="CW12" s="18">
        <v>0</v>
      </c>
      <c r="CX12" s="18">
        <v>0</v>
      </c>
      <c r="CY12" s="18">
        <v>0</v>
      </c>
      <c r="CZ12" s="18">
        <v>0</v>
      </c>
      <c r="DA12" s="18">
        <v>0</v>
      </c>
      <c r="DB12" s="18">
        <v>0</v>
      </c>
      <c r="DC12" s="18">
        <v>0</v>
      </c>
      <c r="DD12" s="18">
        <v>0</v>
      </c>
      <c r="DE12" s="18">
        <v>0</v>
      </c>
      <c r="DF12" s="18">
        <v>0</v>
      </c>
      <c r="DG12" s="18">
        <v>0</v>
      </c>
      <c r="DH12" s="18">
        <v>0</v>
      </c>
      <c r="DI12" s="18">
        <v>0</v>
      </c>
      <c r="DJ12" s="18">
        <v>0</v>
      </c>
      <c r="DK12" s="18">
        <v>0</v>
      </c>
      <c r="DL12" s="18">
        <v>0</v>
      </c>
      <c r="DM12" s="18">
        <v>0</v>
      </c>
      <c r="DN12" s="18">
        <v>0</v>
      </c>
      <c r="DO12" s="18">
        <v>0</v>
      </c>
      <c r="DP12" s="18">
        <v>0</v>
      </c>
      <c r="DQ12" s="18">
        <v>0</v>
      </c>
      <c r="DR12" s="18">
        <v>0</v>
      </c>
      <c r="DS12" s="18">
        <v>0</v>
      </c>
      <c r="DT12" s="18">
        <v>0</v>
      </c>
      <c r="DU12" s="18">
        <v>0</v>
      </c>
      <c r="DV12" s="18">
        <v>0</v>
      </c>
      <c r="DW12" s="18">
        <v>0</v>
      </c>
      <c r="DX12" s="18">
        <v>0</v>
      </c>
      <c r="DY12" s="18">
        <v>0</v>
      </c>
      <c r="DZ12" s="18">
        <v>0</v>
      </c>
      <c r="EA12" s="18">
        <v>0</v>
      </c>
      <c r="EB12" s="18">
        <v>0</v>
      </c>
      <c r="EC12" s="18">
        <v>0</v>
      </c>
      <c r="ED12" s="18">
        <v>0</v>
      </c>
      <c r="EE12" s="18">
        <v>0</v>
      </c>
      <c r="EF12" s="18">
        <v>0</v>
      </c>
      <c r="EG12" s="18">
        <v>0</v>
      </c>
      <c r="EH12" s="18">
        <v>0</v>
      </c>
      <c r="EI12" s="18">
        <v>0</v>
      </c>
      <c r="EJ12" s="18">
        <v>0</v>
      </c>
      <c r="EK12" s="18">
        <v>0</v>
      </c>
      <c r="EL12" s="18">
        <v>0</v>
      </c>
      <c r="EM12" s="18">
        <v>0</v>
      </c>
      <c r="EN12" s="18">
        <v>0</v>
      </c>
      <c r="EO12" s="18">
        <v>0</v>
      </c>
      <c r="EP12" s="18">
        <v>0</v>
      </c>
      <c r="EQ12" s="18">
        <v>0</v>
      </c>
      <c r="ER12" s="18">
        <v>0</v>
      </c>
      <c r="ES12" s="18">
        <v>0</v>
      </c>
      <c r="ET12" s="18">
        <v>0</v>
      </c>
      <c r="EU12" s="18">
        <v>0</v>
      </c>
      <c r="EV12" s="18">
        <v>0</v>
      </c>
      <c r="EW12" s="18">
        <v>0</v>
      </c>
      <c r="EX12" s="18">
        <v>0</v>
      </c>
      <c r="EY12" s="18">
        <v>0</v>
      </c>
      <c r="EZ12" s="18">
        <v>0</v>
      </c>
      <c r="FA12" s="18">
        <v>0</v>
      </c>
      <c r="FB12" s="18">
        <v>0</v>
      </c>
      <c r="FC12" s="18">
        <v>0</v>
      </c>
      <c r="FD12" s="18">
        <v>0</v>
      </c>
      <c r="FE12" s="18">
        <v>0</v>
      </c>
      <c r="FF12" s="18">
        <v>0</v>
      </c>
      <c r="FG12" s="18">
        <v>0</v>
      </c>
      <c r="FH12" s="18">
        <v>0</v>
      </c>
      <c r="FI12" s="18">
        <v>0</v>
      </c>
      <c r="FJ12" s="18">
        <v>0</v>
      </c>
      <c r="FK12" s="18">
        <v>0</v>
      </c>
      <c r="FL12" s="18">
        <v>0</v>
      </c>
      <c r="FM12" s="18">
        <v>0</v>
      </c>
      <c r="FN12" s="18">
        <v>0</v>
      </c>
      <c r="FO12" s="18">
        <v>0</v>
      </c>
      <c r="FP12" s="18">
        <v>0</v>
      </c>
      <c r="FQ12" s="18">
        <v>0</v>
      </c>
      <c r="FR12" s="18">
        <v>0</v>
      </c>
      <c r="FS12" s="18">
        <v>0</v>
      </c>
      <c r="FT12" s="18">
        <v>0</v>
      </c>
      <c r="FU12" s="18">
        <v>0</v>
      </c>
      <c r="FV12" s="18">
        <v>0</v>
      </c>
      <c r="FW12" s="18">
        <v>0</v>
      </c>
      <c r="FX12" s="18">
        <v>0</v>
      </c>
      <c r="FY12" s="18">
        <v>0</v>
      </c>
      <c r="FZ12" s="18">
        <v>0</v>
      </c>
      <c r="GA12" s="18">
        <v>0</v>
      </c>
      <c r="GB12" s="18">
        <v>0</v>
      </c>
      <c r="GC12" s="18">
        <v>0</v>
      </c>
      <c r="GD12" s="18">
        <v>0</v>
      </c>
      <c r="GE12" s="18">
        <v>0</v>
      </c>
      <c r="GF12" s="18">
        <v>0</v>
      </c>
      <c r="GG12" s="18">
        <v>0</v>
      </c>
      <c r="GH12" s="18">
        <v>0</v>
      </c>
      <c r="GI12" s="18">
        <v>0</v>
      </c>
      <c r="GJ12" s="18">
        <v>0</v>
      </c>
      <c r="GK12" s="18">
        <v>0</v>
      </c>
      <c r="GL12" s="18">
        <v>0</v>
      </c>
      <c r="GM12" s="18">
        <v>0</v>
      </c>
      <c r="GN12" s="18">
        <v>0</v>
      </c>
      <c r="GO12" s="18">
        <v>0</v>
      </c>
      <c r="GP12" s="18">
        <v>0</v>
      </c>
      <c r="GQ12" s="18">
        <v>0</v>
      </c>
      <c r="GR12" s="18">
        <v>0</v>
      </c>
      <c r="GS12" s="18">
        <v>0</v>
      </c>
      <c r="GT12" s="18">
        <v>0</v>
      </c>
      <c r="GU12" s="18">
        <v>0</v>
      </c>
      <c r="GV12" s="18">
        <v>0</v>
      </c>
      <c r="GW12" s="18">
        <v>0</v>
      </c>
      <c r="GX12" s="18">
        <v>0</v>
      </c>
      <c r="GY12" s="18">
        <v>0</v>
      </c>
      <c r="GZ12" s="18">
        <v>0</v>
      </c>
      <c r="HA12" s="18">
        <v>0</v>
      </c>
      <c r="HB12" s="18">
        <v>0</v>
      </c>
      <c r="HC12" s="18">
        <v>0</v>
      </c>
      <c r="HD12" s="18">
        <v>0</v>
      </c>
      <c r="HE12" s="18">
        <v>0</v>
      </c>
      <c r="HF12" s="18">
        <v>0</v>
      </c>
      <c r="HG12" s="18">
        <v>0</v>
      </c>
      <c r="HH12" s="18">
        <v>0</v>
      </c>
      <c r="HI12" s="18">
        <v>0</v>
      </c>
      <c r="HJ12" s="18">
        <v>0</v>
      </c>
      <c r="HK12" s="18">
        <v>0</v>
      </c>
      <c r="HL12" s="18">
        <v>0</v>
      </c>
      <c r="HM12" s="18">
        <v>0</v>
      </c>
      <c r="HN12" s="18">
        <v>0</v>
      </c>
      <c r="HO12" s="18">
        <v>0</v>
      </c>
      <c r="HP12" s="18">
        <v>0</v>
      </c>
      <c r="HQ12" s="18">
        <v>0</v>
      </c>
      <c r="HR12" s="18">
        <v>0</v>
      </c>
      <c r="HS12" s="18">
        <v>0</v>
      </c>
      <c r="HT12" s="18">
        <v>0</v>
      </c>
      <c r="HU12" s="18">
        <v>0</v>
      </c>
      <c r="HV12" s="18">
        <v>0</v>
      </c>
      <c r="HW12" s="18">
        <v>0</v>
      </c>
      <c r="HX12" s="18">
        <v>0</v>
      </c>
      <c r="HY12" s="18">
        <v>0</v>
      </c>
      <c r="HZ12" s="18">
        <v>0</v>
      </c>
      <c r="IA12" s="18">
        <v>0</v>
      </c>
      <c r="IB12" s="18">
        <v>0</v>
      </c>
      <c r="IC12" s="18">
        <v>0</v>
      </c>
      <c r="ID12" s="18">
        <v>0</v>
      </c>
      <c r="IE12" s="18">
        <v>0</v>
      </c>
      <c r="IF12" s="18">
        <v>0</v>
      </c>
      <c r="IG12" s="18">
        <v>0</v>
      </c>
      <c r="IH12" s="18">
        <v>0</v>
      </c>
      <c r="II12" s="1">
        <f t="shared" si="4"/>
        <v>0</v>
      </c>
    </row>
    <row r="13" spans="1:243" x14ac:dyDescent="0.45">
      <c r="A13" s="67" t="s">
        <v>379</v>
      </c>
      <c r="B13" s="112"/>
      <c r="C13" s="72">
        <f t="shared" ref="C13:BN13" si="5">SUM(C7:C12)</f>
        <v>226019243.67993751</v>
      </c>
      <c r="D13" s="72">
        <f t="shared" si="5"/>
        <v>0</v>
      </c>
      <c r="E13" s="72">
        <f t="shared" si="5"/>
        <v>0</v>
      </c>
      <c r="F13" s="72">
        <f t="shared" si="5"/>
        <v>0</v>
      </c>
      <c r="G13" s="72">
        <f t="shared" si="5"/>
        <v>0</v>
      </c>
      <c r="H13" s="72">
        <f t="shared" si="5"/>
        <v>0</v>
      </c>
      <c r="I13" s="72">
        <f t="shared" si="5"/>
        <v>90407697.471974999</v>
      </c>
      <c r="J13" s="72">
        <f t="shared" si="5"/>
        <v>45203848.735987499</v>
      </c>
      <c r="K13" s="72">
        <f t="shared" si="5"/>
        <v>0</v>
      </c>
      <c r="L13" s="72">
        <f t="shared" si="5"/>
        <v>45203848.735987499</v>
      </c>
      <c r="M13" s="72">
        <f t="shared" si="5"/>
        <v>0</v>
      </c>
      <c r="N13" s="72">
        <f t="shared" si="5"/>
        <v>45203848.735987499</v>
      </c>
      <c r="O13" s="72">
        <f t="shared" si="5"/>
        <v>226019243.67993751</v>
      </c>
      <c r="P13" s="72">
        <f t="shared" si="5"/>
        <v>0</v>
      </c>
      <c r="Q13" s="72">
        <f t="shared" si="5"/>
        <v>0</v>
      </c>
      <c r="R13" s="72">
        <f t="shared" si="5"/>
        <v>0</v>
      </c>
      <c r="S13" s="72">
        <f t="shared" si="5"/>
        <v>0</v>
      </c>
      <c r="T13" s="72">
        <f t="shared" si="5"/>
        <v>0</v>
      </c>
      <c r="U13" s="72">
        <f t="shared" si="5"/>
        <v>90407697.471974999</v>
      </c>
      <c r="V13" s="72">
        <f t="shared" si="5"/>
        <v>0</v>
      </c>
      <c r="W13" s="72">
        <f t="shared" si="5"/>
        <v>45203848.735987499</v>
      </c>
      <c r="X13" s="72">
        <f t="shared" si="5"/>
        <v>45203848.735987499</v>
      </c>
      <c r="Y13" s="72">
        <f t="shared" si="5"/>
        <v>0</v>
      </c>
      <c r="Z13" s="72">
        <f t="shared" si="5"/>
        <v>45203848.735987499</v>
      </c>
      <c r="AA13" s="72">
        <f t="shared" si="5"/>
        <v>0</v>
      </c>
      <c r="AB13" s="72">
        <f t="shared" si="5"/>
        <v>0</v>
      </c>
      <c r="AC13" s="72">
        <f t="shared" si="5"/>
        <v>0</v>
      </c>
      <c r="AD13" s="72">
        <f t="shared" si="5"/>
        <v>0</v>
      </c>
      <c r="AE13" s="72">
        <f t="shared" si="5"/>
        <v>0</v>
      </c>
      <c r="AF13" s="72">
        <f t="shared" si="5"/>
        <v>0</v>
      </c>
      <c r="AG13" s="72">
        <f t="shared" si="5"/>
        <v>0</v>
      </c>
      <c r="AH13" s="72">
        <f t="shared" si="5"/>
        <v>0</v>
      </c>
      <c r="AI13" s="72">
        <f t="shared" si="5"/>
        <v>0</v>
      </c>
      <c r="AJ13" s="72">
        <f t="shared" si="5"/>
        <v>0</v>
      </c>
      <c r="AK13" s="72">
        <f t="shared" si="5"/>
        <v>0</v>
      </c>
      <c r="AL13" s="72">
        <f t="shared" si="5"/>
        <v>0</v>
      </c>
      <c r="AM13" s="72">
        <f t="shared" si="5"/>
        <v>0</v>
      </c>
      <c r="AN13" s="72">
        <f t="shared" si="5"/>
        <v>0</v>
      </c>
      <c r="AO13" s="72">
        <f t="shared" si="5"/>
        <v>0</v>
      </c>
      <c r="AP13" s="72">
        <f t="shared" si="5"/>
        <v>0</v>
      </c>
      <c r="AQ13" s="72">
        <f t="shared" si="5"/>
        <v>0</v>
      </c>
      <c r="AR13" s="72">
        <f t="shared" si="5"/>
        <v>0</v>
      </c>
      <c r="AS13" s="72">
        <f t="shared" si="5"/>
        <v>0</v>
      </c>
      <c r="AT13" s="72">
        <f t="shared" si="5"/>
        <v>0</v>
      </c>
      <c r="AU13" s="72">
        <f t="shared" si="5"/>
        <v>0</v>
      </c>
      <c r="AV13" s="72">
        <f t="shared" si="5"/>
        <v>0</v>
      </c>
      <c r="AW13" s="72">
        <f t="shared" si="5"/>
        <v>0</v>
      </c>
      <c r="AX13" s="72">
        <f t="shared" si="5"/>
        <v>0</v>
      </c>
      <c r="AY13" s="72">
        <f t="shared" si="5"/>
        <v>0</v>
      </c>
      <c r="AZ13" s="72">
        <f t="shared" si="5"/>
        <v>0</v>
      </c>
      <c r="BA13" s="72">
        <f t="shared" si="5"/>
        <v>0</v>
      </c>
      <c r="BB13" s="72">
        <f t="shared" si="5"/>
        <v>0</v>
      </c>
      <c r="BC13" s="72">
        <f t="shared" si="5"/>
        <v>0</v>
      </c>
      <c r="BD13" s="72">
        <f t="shared" si="5"/>
        <v>0</v>
      </c>
      <c r="BE13" s="72">
        <f t="shared" si="5"/>
        <v>0</v>
      </c>
      <c r="BF13" s="72">
        <f t="shared" si="5"/>
        <v>0</v>
      </c>
      <c r="BG13" s="72">
        <f t="shared" si="5"/>
        <v>0</v>
      </c>
      <c r="BH13" s="72">
        <f t="shared" si="5"/>
        <v>0</v>
      </c>
      <c r="BI13" s="72">
        <f t="shared" si="5"/>
        <v>0</v>
      </c>
      <c r="BJ13" s="72">
        <f t="shared" si="5"/>
        <v>0</v>
      </c>
      <c r="BK13" s="72">
        <f t="shared" si="5"/>
        <v>10000000</v>
      </c>
      <c r="BL13" s="72">
        <f t="shared" si="5"/>
        <v>0</v>
      </c>
      <c r="BM13" s="72">
        <f t="shared" si="5"/>
        <v>0</v>
      </c>
      <c r="BN13" s="72">
        <f t="shared" si="5"/>
        <v>6000000</v>
      </c>
      <c r="BO13" s="72">
        <f t="shared" ref="BO13:DZ13" si="6">SUM(BO7:BO12)</f>
        <v>0</v>
      </c>
      <c r="BP13" s="72">
        <f t="shared" si="6"/>
        <v>0</v>
      </c>
      <c r="BQ13" s="72">
        <f t="shared" si="6"/>
        <v>4000000</v>
      </c>
      <c r="BR13" s="72">
        <f t="shared" si="6"/>
        <v>0</v>
      </c>
      <c r="BS13" s="72">
        <f t="shared" si="6"/>
        <v>0</v>
      </c>
      <c r="BT13" s="72">
        <f t="shared" si="6"/>
        <v>0</v>
      </c>
      <c r="BU13" s="72">
        <f t="shared" si="6"/>
        <v>0</v>
      </c>
      <c r="BV13" s="72">
        <f t="shared" si="6"/>
        <v>0</v>
      </c>
      <c r="BW13" s="72">
        <f t="shared" si="6"/>
        <v>0</v>
      </c>
      <c r="BX13" s="72">
        <f t="shared" si="6"/>
        <v>0</v>
      </c>
      <c r="BY13" s="72">
        <f t="shared" si="6"/>
        <v>0</v>
      </c>
      <c r="BZ13" s="72">
        <f t="shared" si="6"/>
        <v>0</v>
      </c>
      <c r="CA13" s="72">
        <f t="shared" si="6"/>
        <v>0</v>
      </c>
      <c r="CB13" s="72">
        <f t="shared" si="6"/>
        <v>0</v>
      </c>
      <c r="CC13" s="72">
        <f t="shared" si="6"/>
        <v>0</v>
      </c>
      <c r="CD13" s="72">
        <f t="shared" si="6"/>
        <v>0</v>
      </c>
      <c r="CE13" s="72">
        <f t="shared" si="6"/>
        <v>0</v>
      </c>
      <c r="CF13" s="72">
        <f t="shared" si="6"/>
        <v>0</v>
      </c>
      <c r="CG13" s="72">
        <f t="shared" si="6"/>
        <v>0</v>
      </c>
      <c r="CH13" s="72">
        <f t="shared" si="6"/>
        <v>0</v>
      </c>
      <c r="CI13" s="72">
        <f t="shared" si="6"/>
        <v>0</v>
      </c>
      <c r="CJ13" s="72">
        <f t="shared" si="6"/>
        <v>0</v>
      </c>
      <c r="CK13" s="72">
        <f t="shared" si="6"/>
        <v>0</v>
      </c>
      <c r="CL13" s="72">
        <f t="shared" si="6"/>
        <v>0</v>
      </c>
      <c r="CM13" s="72">
        <f t="shared" si="6"/>
        <v>0</v>
      </c>
      <c r="CN13" s="72">
        <f t="shared" si="6"/>
        <v>0</v>
      </c>
      <c r="CO13" s="72">
        <f t="shared" si="6"/>
        <v>0</v>
      </c>
      <c r="CP13" s="72">
        <f t="shared" si="6"/>
        <v>0</v>
      </c>
      <c r="CQ13" s="72">
        <f t="shared" si="6"/>
        <v>0</v>
      </c>
      <c r="CR13" s="72">
        <f t="shared" si="6"/>
        <v>0</v>
      </c>
      <c r="CS13" s="72">
        <f t="shared" si="6"/>
        <v>0</v>
      </c>
      <c r="CT13" s="72">
        <f t="shared" si="6"/>
        <v>0</v>
      </c>
      <c r="CU13" s="72">
        <f t="shared" si="6"/>
        <v>0</v>
      </c>
      <c r="CV13" s="72">
        <f t="shared" si="6"/>
        <v>0</v>
      </c>
      <c r="CW13" s="72">
        <f t="shared" si="6"/>
        <v>0</v>
      </c>
      <c r="CX13" s="72">
        <f t="shared" si="6"/>
        <v>0</v>
      </c>
      <c r="CY13" s="72">
        <f t="shared" si="6"/>
        <v>0</v>
      </c>
      <c r="CZ13" s="72">
        <f t="shared" si="6"/>
        <v>0</v>
      </c>
      <c r="DA13" s="72">
        <f t="shared" si="6"/>
        <v>0</v>
      </c>
      <c r="DB13" s="72">
        <f t="shared" si="6"/>
        <v>0</v>
      </c>
      <c r="DC13" s="72">
        <f t="shared" si="6"/>
        <v>0</v>
      </c>
      <c r="DD13" s="72">
        <f t="shared" si="6"/>
        <v>0</v>
      </c>
      <c r="DE13" s="72">
        <f t="shared" si="6"/>
        <v>0</v>
      </c>
      <c r="DF13" s="72">
        <f t="shared" si="6"/>
        <v>0</v>
      </c>
      <c r="DG13" s="72">
        <f t="shared" si="6"/>
        <v>0</v>
      </c>
      <c r="DH13" s="72">
        <f t="shared" si="6"/>
        <v>0</v>
      </c>
      <c r="DI13" s="72">
        <f t="shared" si="6"/>
        <v>0</v>
      </c>
      <c r="DJ13" s="72">
        <f t="shared" si="6"/>
        <v>0</v>
      </c>
      <c r="DK13" s="72">
        <f t="shared" si="6"/>
        <v>0</v>
      </c>
      <c r="DL13" s="72">
        <f t="shared" si="6"/>
        <v>0</v>
      </c>
      <c r="DM13" s="72">
        <f t="shared" si="6"/>
        <v>0</v>
      </c>
      <c r="DN13" s="72">
        <f t="shared" si="6"/>
        <v>0</v>
      </c>
      <c r="DO13" s="72">
        <f t="shared" si="6"/>
        <v>0</v>
      </c>
      <c r="DP13" s="72">
        <f t="shared" si="6"/>
        <v>0</v>
      </c>
      <c r="DQ13" s="72">
        <f t="shared" si="6"/>
        <v>0</v>
      </c>
      <c r="DR13" s="72">
        <f t="shared" si="6"/>
        <v>0</v>
      </c>
      <c r="DS13" s="72">
        <f t="shared" si="6"/>
        <v>15000000</v>
      </c>
      <c r="DT13" s="72">
        <f t="shared" si="6"/>
        <v>0</v>
      </c>
      <c r="DU13" s="72">
        <f t="shared" si="6"/>
        <v>0</v>
      </c>
      <c r="DV13" s="72">
        <f t="shared" si="6"/>
        <v>11000000</v>
      </c>
      <c r="DW13" s="72">
        <f t="shared" si="6"/>
        <v>0</v>
      </c>
      <c r="DX13" s="72">
        <f t="shared" si="6"/>
        <v>0</v>
      </c>
      <c r="DY13" s="72">
        <f t="shared" si="6"/>
        <v>9000000</v>
      </c>
      <c r="DZ13" s="72">
        <f t="shared" si="6"/>
        <v>0</v>
      </c>
      <c r="EA13" s="72">
        <f t="shared" ref="EA13:GL13" si="7">SUM(EA7:EA12)</f>
        <v>0</v>
      </c>
      <c r="EB13" s="72">
        <f t="shared" si="7"/>
        <v>0</v>
      </c>
      <c r="EC13" s="72">
        <f t="shared" si="7"/>
        <v>0</v>
      </c>
      <c r="ED13" s="72">
        <f t="shared" si="7"/>
        <v>0</v>
      </c>
      <c r="EE13" s="72">
        <f t="shared" si="7"/>
        <v>0</v>
      </c>
      <c r="EF13" s="72">
        <f t="shared" si="7"/>
        <v>0</v>
      </c>
      <c r="EG13" s="72">
        <f t="shared" si="7"/>
        <v>0</v>
      </c>
      <c r="EH13" s="72">
        <f t="shared" si="7"/>
        <v>0</v>
      </c>
      <c r="EI13" s="72">
        <f t="shared" si="7"/>
        <v>0</v>
      </c>
      <c r="EJ13" s="72">
        <f t="shared" si="7"/>
        <v>0</v>
      </c>
      <c r="EK13" s="72">
        <f t="shared" si="7"/>
        <v>5000000</v>
      </c>
      <c r="EL13" s="72">
        <f t="shared" si="7"/>
        <v>0</v>
      </c>
      <c r="EM13" s="72">
        <f t="shared" si="7"/>
        <v>0</v>
      </c>
      <c r="EN13" s="72">
        <f t="shared" si="7"/>
        <v>0</v>
      </c>
      <c r="EO13" s="72">
        <f t="shared" si="7"/>
        <v>0</v>
      </c>
      <c r="EP13" s="72">
        <f t="shared" si="7"/>
        <v>10000000</v>
      </c>
      <c r="EQ13" s="72">
        <f t="shared" si="7"/>
        <v>0</v>
      </c>
      <c r="ER13" s="72">
        <f t="shared" si="7"/>
        <v>0</v>
      </c>
      <c r="ES13" s="72">
        <f t="shared" si="7"/>
        <v>0</v>
      </c>
      <c r="ET13" s="72">
        <f t="shared" si="7"/>
        <v>0</v>
      </c>
      <c r="EU13" s="72">
        <f t="shared" si="7"/>
        <v>0</v>
      </c>
      <c r="EV13" s="72">
        <f t="shared" si="7"/>
        <v>0</v>
      </c>
      <c r="EW13" s="72">
        <f t="shared" si="7"/>
        <v>0</v>
      </c>
      <c r="EX13" s="72">
        <f t="shared" si="7"/>
        <v>0</v>
      </c>
      <c r="EY13" s="72">
        <f t="shared" si="7"/>
        <v>0</v>
      </c>
      <c r="EZ13" s="72">
        <f t="shared" si="7"/>
        <v>5000000</v>
      </c>
      <c r="FA13" s="72">
        <f t="shared" si="7"/>
        <v>0</v>
      </c>
      <c r="FB13" s="72">
        <f t="shared" si="7"/>
        <v>0</v>
      </c>
      <c r="FC13" s="72">
        <f t="shared" si="7"/>
        <v>0</v>
      </c>
      <c r="FD13" s="72">
        <f t="shared" si="7"/>
        <v>0</v>
      </c>
      <c r="FE13" s="72">
        <f t="shared" si="7"/>
        <v>0</v>
      </c>
      <c r="FF13" s="72">
        <f t="shared" si="7"/>
        <v>0</v>
      </c>
      <c r="FG13" s="72">
        <f t="shared" si="7"/>
        <v>0</v>
      </c>
      <c r="FH13" s="72">
        <f t="shared" si="7"/>
        <v>10000000</v>
      </c>
      <c r="FI13" s="72">
        <f t="shared" si="7"/>
        <v>0</v>
      </c>
      <c r="FJ13" s="72">
        <f t="shared" si="7"/>
        <v>0</v>
      </c>
      <c r="FK13" s="72">
        <f t="shared" si="7"/>
        <v>0</v>
      </c>
      <c r="FL13" s="72">
        <f t="shared" si="7"/>
        <v>0</v>
      </c>
      <c r="FM13" s="72">
        <f t="shared" si="7"/>
        <v>0</v>
      </c>
      <c r="FN13" s="72">
        <f t="shared" si="7"/>
        <v>0</v>
      </c>
      <c r="FO13" s="72">
        <f t="shared" si="7"/>
        <v>0</v>
      </c>
      <c r="FP13" s="72">
        <f t="shared" si="7"/>
        <v>0</v>
      </c>
      <c r="FQ13" s="72">
        <f t="shared" si="7"/>
        <v>0</v>
      </c>
      <c r="FR13" s="72">
        <f t="shared" si="7"/>
        <v>0</v>
      </c>
      <c r="FS13" s="72">
        <f t="shared" si="7"/>
        <v>0</v>
      </c>
      <c r="FT13" s="72">
        <f t="shared" si="7"/>
        <v>0</v>
      </c>
      <c r="FU13" s="72">
        <f t="shared" si="7"/>
        <v>0</v>
      </c>
      <c r="FV13" s="72">
        <f t="shared" si="7"/>
        <v>0</v>
      </c>
      <c r="FW13" s="72">
        <f t="shared" si="7"/>
        <v>0</v>
      </c>
      <c r="FX13" s="72">
        <f t="shared" si="7"/>
        <v>0</v>
      </c>
      <c r="FY13" s="72">
        <f t="shared" si="7"/>
        <v>0</v>
      </c>
      <c r="FZ13" s="72">
        <f t="shared" si="7"/>
        <v>0</v>
      </c>
      <c r="GA13" s="72">
        <f t="shared" si="7"/>
        <v>10000000</v>
      </c>
      <c r="GB13" s="72">
        <f t="shared" si="7"/>
        <v>0</v>
      </c>
      <c r="GC13" s="72">
        <f t="shared" si="7"/>
        <v>0</v>
      </c>
      <c r="GD13" s="72">
        <f t="shared" si="7"/>
        <v>11000000</v>
      </c>
      <c r="GE13" s="72">
        <f t="shared" si="7"/>
        <v>0</v>
      </c>
      <c r="GF13" s="72">
        <f t="shared" si="7"/>
        <v>0</v>
      </c>
      <c r="GG13" s="72">
        <f t="shared" si="7"/>
        <v>25569760</v>
      </c>
      <c r="GH13" s="72">
        <f t="shared" si="7"/>
        <v>0</v>
      </c>
      <c r="GI13" s="72">
        <f t="shared" si="7"/>
        <v>0</v>
      </c>
      <c r="GJ13" s="72">
        <f t="shared" si="7"/>
        <v>0</v>
      </c>
      <c r="GK13" s="72">
        <f t="shared" si="7"/>
        <v>0</v>
      </c>
      <c r="GL13" s="72">
        <f t="shared" si="7"/>
        <v>0</v>
      </c>
      <c r="GM13" s="72">
        <f t="shared" ref="GM13:IH13" si="8">SUM(GM7:GM12)</f>
        <v>0</v>
      </c>
      <c r="GN13" s="72">
        <f t="shared" si="8"/>
        <v>0</v>
      </c>
      <c r="GO13" s="72">
        <f t="shared" si="8"/>
        <v>0</v>
      </c>
      <c r="GP13" s="72">
        <f t="shared" si="8"/>
        <v>0</v>
      </c>
      <c r="GQ13" s="72">
        <f t="shared" si="8"/>
        <v>0</v>
      </c>
      <c r="GR13" s="72">
        <f t="shared" si="8"/>
        <v>0</v>
      </c>
      <c r="GS13" s="72">
        <f t="shared" si="8"/>
        <v>0</v>
      </c>
      <c r="GT13" s="72">
        <f t="shared" si="8"/>
        <v>0</v>
      </c>
      <c r="GU13" s="72">
        <f t="shared" si="8"/>
        <v>0</v>
      </c>
      <c r="GV13" s="72">
        <f t="shared" si="8"/>
        <v>0</v>
      </c>
      <c r="GW13" s="72">
        <f t="shared" si="8"/>
        <v>0</v>
      </c>
      <c r="GX13" s="72">
        <f t="shared" si="8"/>
        <v>0</v>
      </c>
      <c r="GY13" s="72">
        <f t="shared" si="8"/>
        <v>0</v>
      </c>
      <c r="GZ13" s="72">
        <f t="shared" si="8"/>
        <v>0</v>
      </c>
      <c r="HA13" s="72">
        <f t="shared" si="8"/>
        <v>0</v>
      </c>
      <c r="HB13" s="72">
        <f t="shared" si="8"/>
        <v>0</v>
      </c>
      <c r="HC13" s="72">
        <f t="shared" si="8"/>
        <v>0</v>
      </c>
      <c r="HD13" s="72">
        <f t="shared" si="8"/>
        <v>0</v>
      </c>
      <c r="HE13" s="72">
        <f t="shared" si="8"/>
        <v>0</v>
      </c>
      <c r="HF13" s="72">
        <f t="shared" si="8"/>
        <v>0</v>
      </c>
      <c r="HG13" s="72">
        <f t="shared" si="8"/>
        <v>0</v>
      </c>
      <c r="HH13" s="72">
        <f t="shared" si="8"/>
        <v>0</v>
      </c>
      <c r="HI13" s="72">
        <f t="shared" si="8"/>
        <v>0</v>
      </c>
      <c r="HJ13" s="72">
        <f t="shared" si="8"/>
        <v>0</v>
      </c>
      <c r="HK13" s="72">
        <f t="shared" si="8"/>
        <v>0</v>
      </c>
      <c r="HL13" s="72">
        <f t="shared" si="8"/>
        <v>0</v>
      </c>
      <c r="HM13" s="72">
        <f t="shared" si="8"/>
        <v>0</v>
      </c>
      <c r="HN13" s="72">
        <f t="shared" si="8"/>
        <v>0</v>
      </c>
      <c r="HO13" s="72">
        <f t="shared" si="8"/>
        <v>0</v>
      </c>
      <c r="HP13" s="72">
        <f t="shared" si="8"/>
        <v>0</v>
      </c>
      <c r="HQ13" s="72">
        <f t="shared" si="8"/>
        <v>0</v>
      </c>
      <c r="HR13" s="72">
        <f t="shared" si="8"/>
        <v>0</v>
      </c>
      <c r="HS13" s="72">
        <f t="shared" si="8"/>
        <v>0</v>
      </c>
      <c r="HT13" s="72">
        <f t="shared" si="8"/>
        <v>0</v>
      </c>
      <c r="HU13" s="72">
        <f t="shared" si="8"/>
        <v>0</v>
      </c>
      <c r="HV13" s="72">
        <f t="shared" si="8"/>
        <v>0</v>
      </c>
      <c r="HW13" s="72">
        <f t="shared" si="8"/>
        <v>0</v>
      </c>
      <c r="HX13" s="72">
        <f t="shared" si="8"/>
        <v>0</v>
      </c>
      <c r="HY13" s="72">
        <f t="shared" si="8"/>
        <v>0</v>
      </c>
      <c r="HZ13" s="72">
        <f t="shared" si="8"/>
        <v>0</v>
      </c>
      <c r="IA13" s="72">
        <f t="shared" si="8"/>
        <v>0</v>
      </c>
      <c r="IB13" s="72">
        <f t="shared" si="8"/>
        <v>0</v>
      </c>
      <c r="IC13" s="72">
        <f t="shared" si="8"/>
        <v>0</v>
      </c>
      <c r="ID13" s="72">
        <f t="shared" si="8"/>
        <v>0</v>
      </c>
      <c r="IE13" s="72">
        <f t="shared" si="8"/>
        <v>0</v>
      </c>
      <c r="IF13" s="72">
        <f t="shared" si="8"/>
        <v>0</v>
      </c>
      <c r="IG13" s="72">
        <f t="shared" si="8"/>
        <v>0</v>
      </c>
      <c r="IH13" s="72">
        <f t="shared" si="8"/>
        <v>0</v>
      </c>
      <c r="II13" s="72">
        <f>SUM(C13:IH13)</f>
        <v>1035646734.71975</v>
      </c>
    </row>
    <row r="14" spans="1:243" x14ac:dyDescent="0.45">
      <c r="A14" s="891" t="s">
        <v>380</v>
      </c>
      <c r="B14" s="892"/>
      <c r="C14" s="72">
        <f>C13</f>
        <v>226019243.67993751</v>
      </c>
      <c r="D14" s="72">
        <f>C14+D13</f>
        <v>226019243.67993751</v>
      </c>
      <c r="E14" s="72">
        <f t="shared" ref="E14:BP14" si="9">D14+E13</f>
        <v>226019243.67993751</v>
      </c>
      <c r="F14" s="72">
        <f t="shared" si="9"/>
        <v>226019243.67993751</v>
      </c>
      <c r="G14" s="72">
        <f t="shared" si="9"/>
        <v>226019243.67993751</v>
      </c>
      <c r="H14" s="72">
        <f t="shared" si="9"/>
        <v>226019243.67993751</v>
      </c>
      <c r="I14" s="72">
        <f t="shared" si="9"/>
        <v>316426941.15191251</v>
      </c>
      <c r="J14" s="72">
        <f t="shared" si="9"/>
        <v>361630789.88789999</v>
      </c>
      <c r="K14" s="72">
        <f t="shared" si="9"/>
        <v>361630789.88789999</v>
      </c>
      <c r="L14" s="72">
        <f t="shared" si="9"/>
        <v>406834638.62388748</v>
      </c>
      <c r="M14" s="72">
        <f t="shared" si="9"/>
        <v>406834638.62388748</v>
      </c>
      <c r="N14" s="72">
        <f t="shared" si="9"/>
        <v>452038487.35987496</v>
      </c>
      <c r="O14" s="72">
        <f t="shared" si="9"/>
        <v>678057731.03981245</v>
      </c>
      <c r="P14" s="72">
        <f t="shared" si="9"/>
        <v>678057731.03981245</v>
      </c>
      <c r="Q14" s="72">
        <f t="shared" si="9"/>
        <v>678057731.03981245</v>
      </c>
      <c r="R14" s="72">
        <f t="shared" si="9"/>
        <v>678057731.03981245</v>
      </c>
      <c r="S14" s="72">
        <f t="shared" si="9"/>
        <v>678057731.03981245</v>
      </c>
      <c r="T14" s="72">
        <f t="shared" si="9"/>
        <v>678057731.03981245</v>
      </c>
      <c r="U14" s="72">
        <f t="shared" si="9"/>
        <v>768465428.51178741</v>
      </c>
      <c r="V14" s="72">
        <f t="shared" si="9"/>
        <v>768465428.51178741</v>
      </c>
      <c r="W14" s="72">
        <f t="shared" si="9"/>
        <v>813669277.24777496</v>
      </c>
      <c r="X14" s="72">
        <f t="shared" si="9"/>
        <v>858873125.9837625</v>
      </c>
      <c r="Y14" s="72">
        <f t="shared" si="9"/>
        <v>858873125.9837625</v>
      </c>
      <c r="Z14" s="72">
        <f t="shared" si="9"/>
        <v>904076974.71975005</v>
      </c>
      <c r="AA14" s="72">
        <f t="shared" si="9"/>
        <v>904076974.71975005</v>
      </c>
      <c r="AB14" s="72">
        <f t="shared" si="9"/>
        <v>904076974.71975005</v>
      </c>
      <c r="AC14" s="72">
        <f t="shared" si="9"/>
        <v>904076974.71975005</v>
      </c>
      <c r="AD14" s="72">
        <f t="shared" si="9"/>
        <v>904076974.71975005</v>
      </c>
      <c r="AE14" s="72">
        <f t="shared" si="9"/>
        <v>904076974.71975005</v>
      </c>
      <c r="AF14" s="72">
        <f t="shared" si="9"/>
        <v>904076974.71975005</v>
      </c>
      <c r="AG14" s="72">
        <f t="shared" si="9"/>
        <v>904076974.71975005</v>
      </c>
      <c r="AH14" s="72">
        <f t="shared" si="9"/>
        <v>904076974.71975005</v>
      </c>
      <c r="AI14" s="72">
        <f t="shared" si="9"/>
        <v>904076974.71975005</v>
      </c>
      <c r="AJ14" s="72">
        <f t="shared" si="9"/>
        <v>904076974.71975005</v>
      </c>
      <c r="AK14" s="72">
        <f t="shared" si="9"/>
        <v>904076974.71975005</v>
      </c>
      <c r="AL14" s="72">
        <f t="shared" si="9"/>
        <v>904076974.71975005</v>
      </c>
      <c r="AM14" s="72">
        <f t="shared" si="9"/>
        <v>904076974.71975005</v>
      </c>
      <c r="AN14" s="72">
        <f t="shared" si="9"/>
        <v>904076974.71975005</v>
      </c>
      <c r="AO14" s="72">
        <f t="shared" si="9"/>
        <v>904076974.71975005</v>
      </c>
      <c r="AP14" s="72">
        <f t="shared" si="9"/>
        <v>904076974.71975005</v>
      </c>
      <c r="AQ14" s="72">
        <f t="shared" si="9"/>
        <v>904076974.71975005</v>
      </c>
      <c r="AR14" s="72">
        <f t="shared" si="9"/>
        <v>904076974.71975005</v>
      </c>
      <c r="AS14" s="72">
        <f t="shared" si="9"/>
        <v>904076974.71975005</v>
      </c>
      <c r="AT14" s="72">
        <f t="shared" si="9"/>
        <v>904076974.71975005</v>
      </c>
      <c r="AU14" s="72">
        <f t="shared" si="9"/>
        <v>904076974.71975005</v>
      </c>
      <c r="AV14" s="72">
        <f t="shared" si="9"/>
        <v>904076974.71975005</v>
      </c>
      <c r="AW14" s="72">
        <f t="shared" si="9"/>
        <v>904076974.71975005</v>
      </c>
      <c r="AX14" s="72">
        <f t="shared" si="9"/>
        <v>904076974.71975005</v>
      </c>
      <c r="AY14" s="72">
        <f t="shared" si="9"/>
        <v>904076974.71975005</v>
      </c>
      <c r="AZ14" s="72">
        <f t="shared" si="9"/>
        <v>904076974.71975005</v>
      </c>
      <c r="BA14" s="72">
        <f t="shared" si="9"/>
        <v>904076974.71975005</v>
      </c>
      <c r="BB14" s="72">
        <f t="shared" si="9"/>
        <v>904076974.71975005</v>
      </c>
      <c r="BC14" s="72">
        <f t="shared" si="9"/>
        <v>904076974.71975005</v>
      </c>
      <c r="BD14" s="72">
        <f t="shared" si="9"/>
        <v>904076974.71975005</v>
      </c>
      <c r="BE14" s="72">
        <f t="shared" si="9"/>
        <v>904076974.71975005</v>
      </c>
      <c r="BF14" s="72">
        <f t="shared" si="9"/>
        <v>904076974.71975005</v>
      </c>
      <c r="BG14" s="72">
        <f t="shared" si="9"/>
        <v>904076974.71975005</v>
      </c>
      <c r="BH14" s="72">
        <f t="shared" si="9"/>
        <v>904076974.71975005</v>
      </c>
      <c r="BI14" s="72">
        <f t="shared" si="9"/>
        <v>904076974.71975005</v>
      </c>
      <c r="BJ14" s="72">
        <f t="shared" si="9"/>
        <v>904076974.71975005</v>
      </c>
      <c r="BK14" s="72">
        <f t="shared" si="9"/>
        <v>914076974.71975005</v>
      </c>
      <c r="BL14" s="72">
        <f t="shared" si="9"/>
        <v>914076974.71975005</v>
      </c>
      <c r="BM14" s="72">
        <f t="shared" si="9"/>
        <v>914076974.71975005</v>
      </c>
      <c r="BN14" s="72">
        <f t="shared" si="9"/>
        <v>920076974.71975005</v>
      </c>
      <c r="BO14" s="72">
        <f t="shared" si="9"/>
        <v>920076974.71975005</v>
      </c>
      <c r="BP14" s="72">
        <f t="shared" si="9"/>
        <v>920076974.71975005</v>
      </c>
      <c r="BQ14" s="72">
        <f t="shared" ref="BQ14:EB14" si="10">BP14+BQ13</f>
        <v>924076974.71975005</v>
      </c>
      <c r="BR14" s="72">
        <f t="shared" si="10"/>
        <v>924076974.71975005</v>
      </c>
      <c r="BS14" s="72">
        <f t="shared" si="10"/>
        <v>924076974.71975005</v>
      </c>
      <c r="BT14" s="72">
        <f t="shared" si="10"/>
        <v>924076974.71975005</v>
      </c>
      <c r="BU14" s="72">
        <f t="shared" si="10"/>
        <v>924076974.71975005</v>
      </c>
      <c r="BV14" s="72">
        <f t="shared" si="10"/>
        <v>924076974.71975005</v>
      </c>
      <c r="BW14" s="72">
        <f t="shared" si="10"/>
        <v>924076974.71975005</v>
      </c>
      <c r="BX14" s="72">
        <f t="shared" si="10"/>
        <v>924076974.71975005</v>
      </c>
      <c r="BY14" s="72">
        <f t="shared" si="10"/>
        <v>924076974.71975005</v>
      </c>
      <c r="BZ14" s="72">
        <f t="shared" si="10"/>
        <v>924076974.71975005</v>
      </c>
      <c r="CA14" s="72">
        <f t="shared" si="10"/>
        <v>924076974.71975005</v>
      </c>
      <c r="CB14" s="72">
        <f t="shared" si="10"/>
        <v>924076974.71975005</v>
      </c>
      <c r="CC14" s="72">
        <f t="shared" si="10"/>
        <v>924076974.71975005</v>
      </c>
      <c r="CD14" s="72">
        <f t="shared" si="10"/>
        <v>924076974.71975005</v>
      </c>
      <c r="CE14" s="72">
        <f t="shared" si="10"/>
        <v>924076974.71975005</v>
      </c>
      <c r="CF14" s="72">
        <f t="shared" si="10"/>
        <v>924076974.71975005</v>
      </c>
      <c r="CG14" s="72">
        <f t="shared" si="10"/>
        <v>924076974.71975005</v>
      </c>
      <c r="CH14" s="72">
        <f t="shared" si="10"/>
        <v>924076974.71975005</v>
      </c>
      <c r="CI14" s="72">
        <f t="shared" si="10"/>
        <v>924076974.71975005</v>
      </c>
      <c r="CJ14" s="72">
        <f t="shared" si="10"/>
        <v>924076974.71975005</v>
      </c>
      <c r="CK14" s="72">
        <f t="shared" si="10"/>
        <v>924076974.71975005</v>
      </c>
      <c r="CL14" s="72">
        <f t="shared" si="10"/>
        <v>924076974.71975005</v>
      </c>
      <c r="CM14" s="72">
        <f t="shared" si="10"/>
        <v>924076974.71975005</v>
      </c>
      <c r="CN14" s="72">
        <f t="shared" si="10"/>
        <v>924076974.71975005</v>
      </c>
      <c r="CO14" s="72">
        <f t="shared" si="10"/>
        <v>924076974.71975005</v>
      </c>
      <c r="CP14" s="72">
        <f t="shared" si="10"/>
        <v>924076974.71975005</v>
      </c>
      <c r="CQ14" s="72">
        <f t="shared" si="10"/>
        <v>924076974.71975005</v>
      </c>
      <c r="CR14" s="72">
        <f t="shared" si="10"/>
        <v>924076974.71975005</v>
      </c>
      <c r="CS14" s="72">
        <f t="shared" si="10"/>
        <v>924076974.71975005</v>
      </c>
      <c r="CT14" s="72">
        <f t="shared" si="10"/>
        <v>924076974.71975005</v>
      </c>
      <c r="CU14" s="72">
        <f t="shared" si="10"/>
        <v>924076974.71975005</v>
      </c>
      <c r="CV14" s="72">
        <f t="shared" si="10"/>
        <v>924076974.71975005</v>
      </c>
      <c r="CW14" s="72">
        <f t="shared" si="10"/>
        <v>924076974.71975005</v>
      </c>
      <c r="CX14" s="72">
        <f t="shared" si="10"/>
        <v>924076974.71975005</v>
      </c>
      <c r="CY14" s="72">
        <f t="shared" si="10"/>
        <v>924076974.71975005</v>
      </c>
      <c r="CZ14" s="72">
        <f t="shared" si="10"/>
        <v>924076974.71975005</v>
      </c>
      <c r="DA14" s="72">
        <f t="shared" si="10"/>
        <v>924076974.71975005</v>
      </c>
      <c r="DB14" s="72">
        <f t="shared" si="10"/>
        <v>924076974.71975005</v>
      </c>
      <c r="DC14" s="72">
        <f t="shared" si="10"/>
        <v>924076974.71975005</v>
      </c>
      <c r="DD14" s="72">
        <f t="shared" si="10"/>
        <v>924076974.71975005</v>
      </c>
      <c r="DE14" s="72">
        <f t="shared" si="10"/>
        <v>924076974.71975005</v>
      </c>
      <c r="DF14" s="72">
        <f t="shared" si="10"/>
        <v>924076974.71975005</v>
      </c>
      <c r="DG14" s="72">
        <f t="shared" si="10"/>
        <v>924076974.71975005</v>
      </c>
      <c r="DH14" s="72">
        <f t="shared" si="10"/>
        <v>924076974.71975005</v>
      </c>
      <c r="DI14" s="72">
        <f t="shared" si="10"/>
        <v>924076974.71975005</v>
      </c>
      <c r="DJ14" s="72">
        <f t="shared" si="10"/>
        <v>924076974.71975005</v>
      </c>
      <c r="DK14" s="72">
        <f t="shared" si="10"/>
        <v>924076974.71975005</v>
      </c>
      <c r="DL14" s="72">
        <f t="shared" si="10"/>
        <v>924076974.71975005</v>
      </c>
      <c r="DM14" s="72">
        <f t="shared" si="10"/>
        <v>924076974.71975005</v>
      </c>
      <c r="DN14" s="72">
        <f t="shared" si="10"/>
        <v>924076974.71975005</v>
      </c>
      <c r="DO14" s="72">
        <f t="shared" si="10"/>
        <v>924076974.71975005</v>
      </c>
      <c r="DP14" s="72">
        <f t="shared" si="10"/>
        <v>924076974.71975005</v>
      </c>
      <c r="DQ14" s="72">
        <f t="shared" si="10"/>
        <v>924076974.71975005</v>
      </c>
      <c r="DR14" s="72">
        <f t="shared" si="10"/>
        <v>924076974.71975005</v>
      </c>
      <c r="DS14" s="72">
        <f t="shared" si="10"/>
        <v>939076974.71975005</v>
      </c>
      <c r="DT14" s="72">
        <f t="shared" si="10"/>
        <v>939076974.71975005</v>
      </c>
      <c r="DU14" s="72">
        <f t="shared" si="10"/>
        <v>939076974.71975005</v>
      </c>
      <c r="DV14" s="72">
        <f t="shared" si="10"/>
        <v>950076974.71975005</v>
      </c>
      <c r="DW14" s="72">
        <f t="shared" si="10"/>
        <v>950076974.71975005</v>
      </c>
      <c r="DX14" s="72">
        <f t="shared" si="10"/>
        <v>950076974.71975005</v>
      </c>
      <c r="DY14" s="72">
        <f t="shared" si="10"/>
        <v>959076974.71975005</v>
      </c>
      <c r="DZ14" s="72">
        <f t="shared" si="10"/>
        <v>959076974.71975005</v>
      </c>
      <c r="EA14" s="72">
        <f t="shared" si="10"/>
        <v>959076974.71975005</v>
      </c>
      <c r="EB14" s="72">
        <f t="shared" si="10"/>
        <v>959076974.71975005</v>
      </c>
      <c r="EC14" s="72">
        <f t="shared" ref="EC14:GN14" si="11">EB14+EC13</f>
        <v>959076974.71975005</v>
      </c>
      <c r="ED14" s="72">
        <f t="shared" si="11"/>
        <v>959076974.71975005</v>
      </c>
      <c r="EE14" s="72">
        <f t="shared" si="11"/>
        <v>959076974.71975005</v>
      </c>
      <c r="EF14" s="72">
        <f t="shared" si="11"/>
        <v>959076974.71975005</v>
      </c>
      <c r="EG14" s="72">
        <f t="shared" si="11"/>
        <v>959076974.71975005</v>
      </c>
      <c r="EH14" s="72">
        <f t="shared" si="11"/>
        <v>959076974.71975005</v>
      </c>
      <c r="EI14" s="72">
        <f t="shared" si="11"/>
        <v>959076974.71975005</v>
      </c>
      <c r="EJ14" s="72">
        <f t="shared" si="11"/>
        <v>959076974.71975005</v>
      </c>
      <c r="EK14" s="72">
        <f t="shared" si="11"/>
        <v>964076974.71975005</v>
      </c>
      <c r="EL14" s="72">
        <f t="shared" si="11"/>
        <v>964076974.71975005</v>
      </c>
      <c r="EM14" s="72">
        <f t="shared" si="11"/>
        <v>964076974.71975005</v>
      </c>
      <c r="EN14" s="72">
        <f t="shared" si="11"/>
        <v>964076974.71975005</v>
      </c>
      <c r="EO14" s="72">
        <f t="shared" si="11"/>
        <v>964076974.71975005</v>
      </c>
      <c r="EP14" s="72">
        <f t="shared" si="11"/>
        <v>974076974.71975005</v>
      </c>
      <c r="EQ14" s="72">
        <f t="shared" si="11"/>
        <v>974076974.71975005</v>
      </c>
      <c r="ER14" s="72">
        <f t="shared" si="11"/>
        <v>974076974.71975005</v>
      </c>
      <c r="ES14" s="72">
        <f t="shared" si="11"/>
        <v>974076974.71975005</v>
      </c>
      <c r="ET14" s="72">
        <f t="shared" si="11"/>
        <v>974076974.71975005</v>
      </c>
      <c r="EU14" s="72">
        <f t="shared" si="11"/>
        <v>974076974.71975005</v>
      </c>
      <c r="EV14" s="72">
        <f t="shared" si="11"/>
        <v>974076974.71975005</v>
      </c>
      <c r="EW14" s="72">
        <f t="shared" si="11"/>
        <v>974076974.71975005</v>
      </c>
      <c r="EX14" s="72">
        <f t="shared" si="11"/>
        <v>974076974.71975005</v>
      </c>
      <c r="EY14" s="72">
        <f t="shared" si="11"/>
        <v>974076974.71975005</v>
      </c>
      <c r="EZ14" s="72">
        <f t="shared" si="11"/>
        <v>979076974.71975005</v>
      </c>
      <c r="FA14" s="72">
        <f t="shared" si="11"/>
        <v>979076974.71975005</v>
      </c>
      <c r="FB14" s="72">
        <f t="shared" si="11"/>
        <v>979076974.71975005</v>
      </c>
      <c r="FC14" s="72">
        <f t="shared" si="11"/>
        <v>979076974.71975005</v>
      </c>
      <c r="FD14" s="72">
        <f t="shared" si="11"/>
        <v>979076974.71975005</v>
      </c>
      <c r="FE14" s="72">
        <f t="shared" si="11"/>
        <v>979076974.71975005</v>
      </c>
      <c r="FF14" s="72">
        <f t="shared" si="11"/>
        <v>979076974.71975005</v>
      </c>
      <c r="FG14" s="72">
        <f t="shared" si="11"/>
        <v>979076974.71975005</v>
      </c>
      <c r="FH14" s="72">
        <f t="shared" si="11"/>
        <v>989076974.71975005</v>
      </c>
      <c r="FI14" s="72">
        <f t="shared" si="11"/>
        <v>989076974.71975005</v>
      </c>
      <c r="FJ14" s="72">
        <f t="shared" si="11"/>
        <v>989076974.71975005</v>
      </c>
      <c r="FK14" s="72">
        <f t="shared" si="11"/>
        <v>989076974.71975005</v>
      </c>
      <c r="FL14" s="72">
        <f t="shared" si="11"/>
        <v>989076974.71975005</v>
      </c>
      <c r="FM14" s="72">
        <f t="shared" si="11"/>
        <v>989076974.71975005</v>
      </c>
      <c r="FN14" s="72">
        <f t="shared" si="11"/>
        <v>989076974.71975005</v>
      </c>
      <c r="FO14" s="72">
        <f t="shared" si="11"/>
        <v>989076974.71975005</v>
      </c>
      <c r="FP14" s="72">
        <f t="shared" si="11"/>
        <v>989076974.71975005</v>
      </c>
      <c r="FQ14" s="72">
        <f t="shared" si="11"/>
        <v>989076974.71975005</v>
      </c>
      <c r="FR14" s="72">
        <f t="shared" si="11"/>
        <v>989076974.71975005</v>
      </c>
      <c r="FS14" s="72">
        <f t="shared" si="11"/>
        <v>989076974.71975005</v>
      </c>
      <c r="FT14" s="72">
        <f t="shared" si="11"/>
        <v>989076974.71975005</v>
      </c>
      <c r="FU14" s="72">
        <f t="shared" si="11"/>
        <v>989076974.71975005</v>
      </c>
      <c r="FV14" s="72">
        <f t="shared" si="11"/>
        <v>989076974.71975005</v>
      </c>
      <c r="FW14" s="72">
        <f t="shared" si="11"/>
        <v>989076974.71975005</v>
      </c>
      <c r="FX14" s="72">
        <f t="shared" si="11"/>
        <v>989076974.71975005</v>
      </c>
      <c r="FY14" s="72">
        <f t="shared" si="11"/>
        <v>989076974.71975005</v>
      </c>
      <c r="FZ14" s="72">
        <f t="shared" si="11"/>
        <v>989076974.71975005</v>
      </c>
      <c r="GA14" s="72">
        <f t="shared" si="11"/>
        <v>999076974.71975005</v>
      </c>
      <c r="GB14" s="72">
        <f t="shared" si="11"/>
        <v>999076974.71975005</v>
      </c>
      <c r="GC14" s="72">
        <f t="shared" si="11"/>
        <v>999076974.71975005</v>
      </c>
      <c r="GD14" s="72">
        <f t="shared" si="11"/>
        <v>1010076974.71975</v>
      </c>
      <c r="GE14" s="72">
        <f t="shared" si="11"/>
        <v>1010076974.71975</v>
      </c>
      <c r="GF14" s="72">
        <f t="shared" si="11"/>
        <v>1010076974.71975</v>
      </c>
      <c r="GG14" s="72">
        <f t="shared" si="11"/>
        <v>1035646734.71975</v>
      </c>
      <c r="GH14" s="72">
        <f t="shared" si="11"/>
        <v>1035646734.71975</v>
      </c>
      <c r="GI14" s="72">
        <f t="shared" si="11"/>
        <v>1035646734.71975</v>
      </c>
      <c r="GJ14" s="72">
        <f t="shared" si="11"/>
        <v>1035646734.71975</v>
      </c>
      <c r="GK14" s="72">
        <f t="shared" si="11"/>
        <v>1035646734.71975</v>
      </c>
      <c r="GL14" s="72">
        <f t="shared" si="11"/>
        <v>1035646734.71975</v>
      </c>
      <c r="GM14" s="72">
        <f t="shared" si="11"/>
        <v>1035646734.71975</v>
      </c>
      <c r="GN14" s="72">
        <f t="shared" si="11"/>
        <v>1035646734.71975</v>
      </c>
      <c r="GO14" s="72">
        <f t="shared" ref="GO14:IH14" si="12">GN14+GO13</f>
        <v>1035646734.71975</v>
      </c>
      <c r="GP14" s="72">
        <f t="shared" si="12"/>
        <v>1035646734.71975</v>
      </c>
      <c r="GQ14" s="72">
        <f t="shared" si="12"/>
        <v>1035646734.71975</v>
      </c>
      <c r="GR14" s="72">
        <f t="shared" si="12"/>
        <v>1035646734.71975</v>
      </c>
      <c r="GS14" s="72">
        <f t="shared" si="12"/>
        <v>1035646734.71975</v>
      </c>
      <c r="GT14" s="72">
        <f t="shared" si="12"/>
        <v>1035646734.71975</v>
      </c>
      <c r="GU14" s="72">
        <f t="shared" si="12"/>
        <v>1035646734.71975</v>
      </c>
      <c r="GV14" s="72">
        <f t="shared" si="12"/>
        <v>1035646734.71975</v>
      </c>
      <c r="GW14" s="72">
        <f t="shared" si="12"/>
        <v>1035646734.71975</v>
      </c>
      <c r="GX14" s="72">
        <f t="shared" si="12"/>
        <v>1035646734.71975</v>
      </c>
      <c r="GY14" s="72">
        <f t="shared" si="12"/>
        <v>1035646734.71975</v>
      </c>
      <c r="GZ14" s="72">
        <f t="shared" si="12"/>
        <v>1035646734.71975</v>
      </c>
      <c r="HA14" s="72">
        <f t="shared" si="12"/>
        <v>1035646734.71975</v>
      </c>
      <c r="HB14" s="72">
        <f t="shared" si="12"/>
        <v>1035646734.71975</v>
      </c>
      <c r="HC14" s="72">
        <f t="shared" si="12"/>
        <v>1035646734.71975</v>
      </c>
      <c r="HD14" s="72">
        <f t="shared" si="12"/>
        <v>1035646734.71975</v>
      </c>
      <c r="HE14" s="72">
        <f t="shared" si="12"/>
        <v>1035646734.71975</v>
      </c>
      <c r="HF14" s="72">
        <f t="shared" si="12"/>
        <v>1035646734.71975</v>
      </c>
      <c r="HG14" s="72">
        <f t="shared" si="12"/>
        <v>1035646734.71975</v>
      </c>
      <c r="HH14" s="72">
        <f t="shared" si="12"/>
        <v>1035646734.71975</v>
      </c>
      <c r="HI14" s="72">
        <f t="shared" si="12"/>
        <v>1035646734.71975</v>
      </c>
      <c r="HJ14" s="72">
        <f t="shared" si="12"/>
        <v>1035646734.71975</v>
      </c>
      <c r="HK14" s="72">
        <f t="shared" si="12"/>
        <v>1035646734.71975</v>
      </c>
      <c r="HL14" s="72">
        <f t="shared" si="12"/>
        <v>1035646734.71975</v>
      </c>
      <c r="HM14" s="72">
        <f t="shared" si="12"/>
        <v>1035646734.71975</v>
      </c>
      <c r="HN14" s="72">
        <f t="shared" si="12"/>
        <v>1035646734.71975</v>
      </c>
      <c r="HO14" s="72">
        <f t="shared" si="12"/>
        <v>1035646734.71975</v>
      </c>
      <c r="HP14" s="72">
        <f t="shared" si="12"/>
        <v>1035646734.71975</v>
      </c>
      <c r="HQ14" s="72">
        <f t="shared" si="12"/>
        <v>1035646734.71975</v>
      </c>
      <c r="HR14" s="72">
        <f t="shared" si="12"/>
        <v>1035646734.71975</v>
      </c>
      <c r="HS14" s="72">
        <f t="shared" si="12"/>
        <v>1035646734.71975</v>
      </c>
      <c r="HT14" s="72">
        <f t="shared" si="12"/>
        <v>1035646734.71975</v>
      </c>
      <c r="HU14" s="72">
        <f t="shared" si="12"/>
        <v>1035646734.71975</v>
      </c>
      <c r="HV14" s="72">
        <f t="shared" si="12"/>
        <v>1035646734.71975</v>
      </c>
      <c r="HW14" s="72">
        <f t="shared" si="12"/>
        <v>1035646734.71975</v>
      </c>
      <c r="HX14" s="72">
        <f t="shared" si="12"/>
        <v>1035646734.71975</v>
      </c>
      <c r="HY14" s="72">
        <f t="shared" si="12"/>
        <v>1035646734.71975</v>
      </c>
      <c r="HZ14" s="72">
        <f t="shared" si="12"/>
        <v>1035646734.71975</v>
      </c>
      <c r="IA14" s="72">
        <f t="shared" si="12"/>
        <v>1035646734.71975</v>
      </c>
      <c r="IB14" s="72">
        <f t="shared" si="12"/>
        <v>1035646734.71975</v>
      </c>
      <c r="IC14" s="72">
        <f t="shared" si="12"/>
        <v>1035646734.71975</v>
      </c>
      <c r="ID14" s="72">
        <f t="shared" si="12"/>
        <v>1035646734.71975</v>
      </c>
      <c r="IE14" s="72">
        <f t="shared" si="12"/>
        <v>1035646734.71975</v>
      </c>
      <c r="IF14" s="72">
        <f t="shared" si="12"/>
        <v>1035646734.71975</v>
      </c>
      <c r="IG14" s="72">
        <f t="shared" si="12"/>
        <v>1035646734.71975</v>
      </c>
      <c r="IH14" s="72">
        <f t="shared" si="12"/>
        <v>1035646734.71975</v>
      </c>
    </row>
    <row r="15" spans="1:243" x14ac:dyDescent="0.45">
      <c r="A15" s="862"/>
      <c r="B15" s="862"/>
      <c r="C15" s="863"/>
      <c r="D15" s="863"/>
      <c r="E15" s="863"/>
      <c r="F15" s="863"/>
      <c r="G15" s="863"/>
      <c r="H15" s="863"/>
      <c r="I15" s="863"/>
      <c r="J15" s="863"/>
      <c r="K15" s="863"/>
      <c r="L15" s="863"/>
      <c r="M15" s="863"/>
      <c r="N15" s="863"/>
      <c r="O15" s="863"/>
      <c r="P15" s="863"/>
      <c r="Q15" s="863"/>
      <c r="R15" s="863"/>
      <c r="S15" s="863"/>
      <c r="T15" s="863"/>
      <c r="U15" s="863"/>
      <c r="V15" s="863"/>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863"/>
      <c r="BH15" s="863"/>
      <c r="BI15" s="863"/>
      <c r="BJ15" s="863"/>
      <c r="BK15" s="863"/>
      <c r="BL15" s="863"/>
      <c r="BM15" s="863"/>
      <c r="BN15" s="863"/>
      <c r="BO15" s="863"/>
      <c r="BP15" s="863"/>
      <c r="BQ15" s="863"/>
      <c r="BR15" s="863"/>
      <c r="BS15" s="863"/>
      <c r="BT15" s="863"/>
      <c r="BU15" s="863"/>
      <c r="BV15" s="863"/>
      <c r="BW15" s="863"/>
      <c r="BX15" s="863"/>
      <c r="BY15" s="863"/>
      <c r="BZ15" s="863"/>
      <c r="CA15" s="863"/>
      <c r="CB15" s="863"/>
      <c r="CC15" s="863"/>
      <c r="CD15" s="863"/>
      <c r="CE15" s="863"/>
      <c r="CF15" s="863"/>
      <c r="CG15" s="863"/>
      <c r="CH15" s="863"/>
      <c r="CI15" s="863"/>
      <c r="CJ15" s="863"/>
      <c r="CK15" s="863"/>
      <c r="CL15" s="863"/>
      <c r="CM15" s="863"/>
      <c r="CN15" s="863"/>
      <c r="CO15" s="863"/>
      <c r="CP15" s="863"/>
      <c r="CQ15" s="863"/>
      <c r="CR15" s="863"/>
      <c r="CS15" s="863"/>
      <c r="CT15" s="863"/>
      <c r="CU15" s="863"/>
      <c r="CV15" s="863"/>
      <c r="CW15" s="863"/>
      <c r="CX15" s="863"/>
      <c r="CY15" s="863"/>
      <c r="CZ15" s="863"/>
      <c r="DA15" s="863"/>
      <c r="DB15" s="863"/>
      <c r="DC15" s="863"/>
      <c r="DD15" s="863"/>
      <c r="DE15" s="863"/>
      <c r="DF15" s="863"/>
      <c r="DG15" s="863"/>
      <c r="DH15" s="863"/>
      <c r="DI15" s="863"/>
      <c r="DJ15" s="863"/>
      <c r="DK15" s="863"/>
      <c r="DL15" s="863"/>
      <c r="DM15" s="863"/>
      <c r="DN15" s="863"/>
      <c r="DO15" s="863"/>
      <c r="DP15" s="863"/>
      <c r="DQ15" s="863"/>
      <c r="DR15" s="863"/>
      <c r="DS15" s="863"/>
      <c r="DT15" s="863"/>
      <c r="DU15" s="863"/>
      <c r="DV15" s="863"/>
      <c r="DW15" s="863"/>
      <c r="DX15" s="863"/>
      <c r="DY15" s="863"/>
      <c r="DZ15" s="863"/>
      <c r="EA15" s="863"/>
      <c r="EB15" s="863"/>
      <c r="EC15" s="863"/>
      <c r="ED15" s="863"/>
      <c r="EE15" s="863"/>
      <c r="EF15" s="863"/>
      <c r="EG15" s="863"/>
      <c r="EH15" s="863"/>
      <c r="EI15" s="863"/>
      <c r="EJ15" s="863"/>
      <c r="EK15" s="863"/>
      <c r="EL15" s="863"/>
      <c r="EM15" s="863"/>
      <c r="EN15" s="863"/>
      <c r="EO15" s="863"/>
      <c r="EP15" s="863"/>
      <c r="EQ15" s="863"/>
      <c r="ER15" s="863"/>
      <c r="ES15" s="863"/>
      <c r="ET15" s="863"/>
      <c r="EU15" s="863"/>
      <c r="EV15" s="863"/>
      <c r="EW15" s="863"/>
      <c r="EX15" s="863"/>
      <c r="EY15" s="863"/>
      <c r="EZ15" s="863"/>
      <c r="FA15" s="863"/>
      <c r="FB15" s="863"/>
      <c r="FC15" s="863"/>
      <c r="FD15" s="863"/>
      <c r="FE15" s="863"/>
      <c r="FF15" s="863"/>
      <c r="FG15" s="863"/>
      <c r="FH15" s="863"/>
      <c r="FI15" s="863"/>
      <c r="FJ15" s="863"/>
      <c r="FK15" s="863"/>
      <c r="FL15" s="863"/>
      <c r="FM15" s="863"/>
      <c r="FN15" s="863"/>
      <c r="FO15" s="863"/>
      <c r="FP15" s="863"/>
      <c r="FQ15" s="863"/>
      <c r="FR15" s="863"/>
      <c r="FS15" s="863"/>
      <c r="FT15" s="863"/>
      <c r="FU15" s="863"/>
      <c r="FV15" s="863"/>
      <c r="FW15" s="863"/>
      <c r="FX15" s="863"/>
      <c r="FY15" s="863"/>
      <c r="FZ15" s="863"/>
      <c r="GA15" s="863"/>
      <c r="GB15" s="863"/>
      <c r="GC15" s="863"/>
      <c r="GD15" s="863"/>
      <c r="GE15" s="863"/>
      <c r="GF15" s="863"/>
      <c r="GG15" s="863"/>
      <c r="GH15" s="863"/>
      <c r="GI15" s="863"/>
      <c r="GJ15" s="863"/>
      <c r="GK15" s="863"/>
      <c r="GL15" s="863"/>
      <c r="GM15" s="863"/>
      <c r="GN15" s="863"/>
      <c r="GO15" s="863"/>
      <c r="GP15" s="863"/>
      <c r="GQ15" s="863"/>
      <c r="GR15" s="863"/>
      <c r="GS15" s="863"/>
      <c r="GT15" s="863"/>
      <c r="GU15" s="863"/>
      <c r="GV15" s="863"/>
      <c r="GW15" s="863"/>
      <c r="GX15" s="863"/>
      <c r="GY15" s="863"/>
      <c r="GZ15" s="863"/>
      <c r="HA15" s="863"/>
      <c r="HB15" s="863"/>
      <c r="HC15" s="863"/>
      <c r="HD15" s="863"/>
      <c r="HE15" s="863"/>
      <c r="HF15" s="863"/>
      <c r="HG15" s="863"/>
      <c r="HH15" s="863"/>
      <c r="HI15" s="863"/>
      <c r="HJ15" s="863"/>
      <c r="HK15" s="863"/>
      <c r="HL15" s="863"/>
      <c r="HM15" s="863"/>
      <c r="HN15" s="863"/>
      <c r="HO15" s="863"/>
      <c r="HP15" s="863"/>
      <c r="HQ15" s="863"/>
      <c r="HR15" s="863"/>
      <c r="HS15" s="863"/>
      <c r="HT15" s="863"/>
      <c r="HU15" s="863"/>
      <c r="HV15" s="863"/>
      <c r="HW15" s="863"/>
      <c r="HX15" s="863"/>
      <c r="HY15" s="863"/>
      <c r="HZ15" s="863"/>
      <c r="IA15" s="863"/>
      <c r="IB15" s="863"/>
      <c r="IC15" s="863"/>
      <c r="ID15" s="863"/>
      <c r="IE15" s="863"/>
      <c r="IF15" s="863"/>
      <c r="IG15" s="863"/>
      <c r="IH15" s="863"/>
    </row>
    <row r="17" spans="1:242" x14ac:dyDescent="0.45">
      <c r="A17" s="67" t="s">
        <v>382</v>
      </c>
      <c r="B17" s="112"/>
      <c r="C17" s="24">
        <f t="shared" ref="C17:BN17" si="13">C14*(1-CST_ABA_FIN_VALUE)</f>
        <v>180815394.94395003</v>
      </c>
      <c r="D17" s="24">
        <f t="shared" si="13"/>
        <v>180815394.94395003</v>
      </c>
      <c r="E17" s="24">
        <f t="shared" si="13"/>
        <v>180815394.94395003</v>
      </c>
      <c r="F17" s="24">
        <f t="shared" si="13"/>
        <v>180815394.94395003</v>
      </c>
      <c r="G17" s="24">
        <f t="shared" si="13"/>
        <v>180815394.94395003</v>
      </c>
      <c r="H17" s="24">
        <f t="shared" si="13"/>
        <v>180815394.94395003</v>
      </c>
      <c r="I17" s="24">
        <f t="shared" si="13"/>
        <v>253141552.92153001</v>
      </c>
      <c r="J17" s="24">
        <f t="shared" si="13"/>
        <v>289304631.91031998</v>
      </c>
      <c r="K17" s="24">
        <f t="shared" si="13"/>
        <v>289304631.91031998</v>
      </c>
      <c r="L17" s="24">
        <f t="shared" si="13"/>
        <v>325467710.89911002</v>
      </c>
      <c r="M17" s="24">
        <f t="shared" si="13"/>
        <v>325467710.89911002</v>
      </c>
      <c r="N17" s="24">
        <f t="shared" si="13"/>
        <v>361630789.88789999</v>
      </c>
      <c r="O17" s="24">
        <f t="shared" si="13"/>
        <v>542446184.83184993</v>
      </c>
      <c r="P17" s="24">
        <f t="shared" si="13"/>
        <v>542446184.83184993</v>
      </c>
      <c r="Q17" s="24">
        <f t="shared" si="13"/>
        <v>542446184.83184993</v>
      </c>
      <c r="R17" s="24">
        <f t="shared" si="13"/>
        <v>542446184.83184993</v>
      </c>
      <c r="S17" s="24">
        <f t="shared" si="13"/>
        <v>542446184.83184993</v>
      </c>
      <c r="T17" s="24">
        <f t="shared" si="13"/>
        <v>542446184.83184993</v>
      </c>
      <c r="U17" s="24">
        <f t="shared" si="13"/>
        <v>614772342.80943</v>
      </c>
      <c r="V17" s="24">
        <f t="shared" si="13"/>
        <v>614772342.80943</v>
      </c>
      <c r="W17" s="24">
        <f t="shared" si="13"/>
        <v>650935421.79822004</v>
      </c>
      <c r="X17" s="24">
        <f t="shared" si="13"/>
        <v>687098500.78701007</v>
      </c>
      <c r="Y17" s="24">
        <f t="shared" si="13"/>
        <v>687098500.78701007</v>
      </c>
      <c r="Z17" s="24">
        <f t="shared" si="13"/>
        <v>723261579.77580011</v>
      </c>
      <c r="AA17" s="24">
        <f t="shared" si="13"/>
        <v>723261579.77580011</v>
      </c>
      <c r="AB17" s="24">
        <f t="shared" si="13"/>
        <v>723261579.77580011</v>
      </c>
      <c r="AC17" s="24">
        <f t="shared" si="13"/>
        <v>723261579.77580011</v>
      </c>
      <c r="AD17" s="24">
        <f t="shared" si="13"/>
        <v>723261579.77580011</v>
      </c>
      <c r="AE17" s="24">
        <f t="shared" si="13"/>
        <v>723261579.77580011</v>
      </c>
      <c r="AF17" s="24">
        <f t="shared" si="13"/>
        <v>723261579.77580011</v>
      </c>
      <c r="AG17" s="24">
        <f t="shared" si="13"/>
        <v>723261579.77580011</v>
      </c>
      <c r="AH17" s="24">
        <f t="shared" si="13"/>
        <v>723261579.77580011</v>
      </c>
      <c r="AI17" s="24">
        <f t="shared" si="13"/>
        <v>723261579.77580011</v>
      </c>
      <c r="AJ17" s="24">
        <f t="shared" si="13"/>
        <v>723261579.77580011</v>
      </c>
      <c r="AK17" s="24">
        <f t="shared" si="13"/>
        <v>723261579.77580011</v>
      </c>
      <c r="AL17" s="24">
        <f t="shared" si="13"/>
        <v>723261579.77580011</v>
      </c>
      <c r="AM17" s="24">
        <f t="shared" si="13"/>
        <v>723261579.77580011</v>
      </c>
      <c r="AN17" s="24">
        <f t="shared" si="13"/>
        <v>723261579.77580011</v>
      </c>
      <c r="AO17" s="24">
        <f t="shared" si="13"/>
        <v>723261579.77580011</v>
      </c>
      <c r="AP17" s="24">
        <f t="shared" si="13"/>
        <v>723261579.77580011</v>
      </c>
      <c r="AQ17" s="24">
        <f t="shared" si="13"/>
        <v>723261579.77580011</v>
      </c>
      <c r="AR17" s="24">
        <f t="shared" si="13"/>
        <v>723261579.77580011</v>
      </c>
      <c r="AS17" s="24">
        <f t="shared" si="13"/>
        <v>723261579.77580011</v>
      </c>
      <c r="AT17" s="24">
        <f t="shared" si="13"/>
        <v>723261579.77580011</v>
      </c>
      <c r="AU17" s="24">
        <f t="shared" si="13"/>
        <v>723261579.77580011</v>
      </c>
      <c r="AV17" s="24">
        <f t="shared" si="13"/>
        <v>723261579.77580011</v>
      </c>
      <c r="AW17" s="24">
        <f t="shared" si="13"/>
        <v>723261579.77580011</v>
      </c>
      <c r="AX17" s="24">
        <f t="shared" si="13"/>
        <v>723261579.77580011</v>
      </c>
      <c r="AY17" s="24">
        <f t="shared" si="13"/>
        <v>723261579.77580011</v>
      </c>
      <c r="AZ17" s="24">
        <f t="shared" si="13"/>
        <v>723261579.77580011</v>
      </c>
      <c r="BA17" s="24">
        <f t="shared" si="13"/>
        <v>723261579.77580011</v>
      </c>
      <c r="BB17" s="24">
        <f t="shared" si="13"/>
        <v>723261579.77580011</v>
      </c>
      <c r="BC17" s="24">
        <f t="shared" si="13"/>
        <v>723261579.77580011</v>
      </c>
      <c r="BD17" s="24">
        <f t="shared" si="13"/>
        <v>723261579.77580011</v>
      </c>
      <c r="BE17" s="24">
        <f t="shared" si="13"/>
        <v>723261579.77580011</v>
      </c>
      <c r="BF17" s="24">
        <f t="shared" si="13"/>
        <v>723261579.77580011</v>
      </c>
      <c r="BG17" s="24">
        <f t="shared" si="13"/>
        <v>723261579.77580011</v>
      </c>
      <c r="BH17" s="24">
        <f t="shared" si="13"/>
        <v>723261579.77580011</v>
      </c>
      <c r="BI17" s="24">
        <f t="shared" si="13"/>
        <v>723261579.77580011</v>
      </c>
      <c r="BJ17" s="24">
        <f t="shared" si="13"/>
        <v>723261579.77580011</v>
      </c>
      <c r="BK17" s="24">
        <f t="shared" si="13"/>
        <v>731261579.77580011</v>
      </c>
      <c r="BL17" s="24">
        <f t="shared" si="13"/>
        <v>731261579.77580011</v>
      </c>
      <c r="BM17" s="24">
        <f t="shared" si="13"/>
        <v>731261579.77580011</v>
      </c>
      <c r="BN17" s="24">
        <f t="shared" si="13"/>
        <v>736061579.77580011</v>
      </c>
      <c r="BO17" s="24">
        <f t="shared" ref="BO17:DZ17" si="14">BO14*(1-CST_ABA_FIN_VALUE)</f>
        <v>736061579.77580011</v>
      </c>
      <c r="BP17" s="24">
        <f t="shared" si="14"/>
        <v>736061579.77580011</v>
      </c>
      <c r="BQ17" s="24">
        <f t="shared" si="14"/>
        <v>739261579.77580011</v>
      </c>
      <c r="BR17" s="24">
        <f t="shared" si="14"/>
        <v>739261579.77580011</v>
      </c>
      <c r="BS17" s="24">
        <f t="shared" si="14"/>
        <v>739261579.77580011</v>
      </c>
      <c r="BT17" s="24">
        <f t="shared" si="14"/>
        <v>739261579.77580011</v>
      </c>
      <c r="BU17" s="24">
        <f t="shared" si="14"/>
        <v>739261579.77580011</v>
      </c>
      <c r="BV17" s="24">
        <f t="shared" si="14"/>
        <v>739261579.77580011</v>
      </c>
      <c r="BW17" s="24">
        <f t="shared" si="14"/>
        <v>739261579.77580011</v>
      </c>
      <c r="BX17" s="24">
        <f t="shared" si="14"/>
        <v>739261579.77580011</v>
      </c>
      <c r="BY17" s="24">
        <f t="shared" si="14"/>
        <v>739261579.77580011</v>
      </c>
      <c r="BZ17" s="24">
        <f t="shared" si="14"/>
        <v>739261579.77580011</v>
      </c>
      <c r="CA17" s="24">
        <f t="shared" si="14"/>
        <v>739261579.77580011</v>
      </c>
      <c r="CB17" s="24">
        <f t="shared" si="14"/>
        <v>739261579.77580011</v>
      </c>
      <c r="CC17" s="24">
        <f t="shared" si="14"/>
        <v>739261579.77580011</v>
      </c>
      <c r="CD17" s="24">
        <f t="shared" si="14"/>
        <v>739261579.77580011</v>
      </c>
      <c r="CE17" s="24">
        <f t="shared" si="14"/>
        <v>739261579.77580011</v>
      </c>
      <c r="CF17" s="24">
        <f t="shared" si="14"/>
        <v>739261579.77580011</v>
      </c>
      <c r="CG17" s="24">
        <f t="shared" si="14"/>
        <v>739261579.77580011</v>
      </c>
      <c r="CH17" s="24">
        <f t="shared" si="14"/>
        <v>739261579.77580011</v>
      </c>
      <c r="CI17" s="24">
        <f t="shared" si="14"/>
        <v>739261579.77580011</v>
      </c>
      <c r="CJ17" s="24">
        <f t="shared" si="14"/>
        <v>739261579.77580011</v>
      </c>
      <c r="CK17" s="24">
        <f t="shared" si="14"/>
        <v>739261579.77580011</v>
      </c>
      <c r="CL17" s="24">
        <f t="shared" si="14"/>
        <v>739261579.77580011</v>
      </c>
      <c r="CM17" s="24">
        <f t="shared" si="14"/>
        <v>739261579.77580011</v>
      </c>
      <c r="CN17" s="24">
        <f t="shared" si="14"/>
        <v>739261579.77580011</v>
      </c>
      <c r="CO17" s="24">
        <f t="shared" si="14"/>
        <v>739261579.77580011</v>
      </c>
      <c r="CP17" s="24">
        <f t="shared" si="14"/>
        <v>739261579.77580011</v>
      </c>
      <c r="CQ17" s="24">
        <f t="shared" si="14"/>
        <v>739261579.77580011</v>
      </c>
      <c r="CR17" s="24">
        <f t="shared" si="14"/>
        <v>739261579.77580011</v>
      </c>
      <c r="CS17" s="24">
        <f t="shared" si="14"/>
        <v>739261579.77580011</v>
      </c>
      <c r="CT17" s="24">
        <f t="shared" si="14"/>
        <v>739261579.77580011</v>
      </c>
      <c r="CU17" s="24">
        <f t="shared" si="14"/>
        <v>739261579.77580011</v>
      </c>
      <c r="CV17" s="24">
        <f t="shared" si="14"/>
        <v>739261579.77580011</v>
      </c>
      <c r="CW17" s="24">
        <f t="shared" si="14"/>
        <v>739261579.77580011</v>
      </c>
      <c r="CX17" s="24">
        <f t="shared" si="14"/>
        <v>739261579.77580011</v>
      </c>
      <c r="CY17" s="24">
        <f t="shared" si="14"/>
        <v>739261579.77580011</v>
      </c>
      <c r="CZ17" s="24">
        <f t="shared" si="14"/>
        <v>739261579.77580011</v>
      </c>
      <c r="DA17" s="24">
        <f t="shared" si="14"/>
        <v>739261579.77580011</v>
      </c>
      <c r="DB17" s="24">
        <f t="shared" si="14"/>
        <v>739261579.77580011</v>
      </c>
      <c r="DC17" s="24">
        <f t="shared" si="14"/>
        <v>739261579.77580011</v>
      </c>
      <c r="DD17" s="24">
        <f t="shared" si="14"/>
        <v>739261579.77580011</v>
      </c>
      <c r="DE17" s="24">
        <f t="shared" si="14"/>
        <v>739261579.77580011</v>
      </c>
      <c r="DF17" s="24">
        <f t="shared" si="14"/>
        <v>739261579.77580011</v>
      </c>
      <c r="DG17" s="24">
        <f t="shared" si="14"/>
        <v>739261579.77580011</v>
      </c>
      <c r="DH17" s="24">
        <f t="shared" si="14"/>
        <v>739261579.77580011</v>
      </c>
      <c r="DI17" s="24">
        <f t="shared" si="14"/>
        <v>739261579.77580011</v>
      </c>
      <c r="DJ17" s="24">
        <f t="shared" si="14"/>
        <v>739261579.77580011</v>
      </c>
      <c r="DK17" s="24">
        <f t="shared" si="14"/>
        <v>739261579.77580011</v>
      </c>
      <c r="DL17" s="24">
        <f t="shared" si="14"/>
        <v>739261579.77580011</v>
      </c>
      <c r="DM17" s="24">
        <f t="shared" si="14"/>
        <v>739261579.77580011</v>
      </c>
      <c r="DN17" s="24">
        <f t="shared" si="14"/>
        <v>739261579.77580011</v>
      </c>
      <c r="DO17" s="24">
        <f t="shared" si="14"/>
        <v>739261579.77580011</v>
      </c>
      <c r="DP17" s="24">
        <f t="shared" si="14"/>
        <v>739261579.77580011</v>
      </c>
      <c r="DQ17" s="24">
        <f t="shared" si="14"/>
        <v>739261579.77580011</v>
      </c>
      <c r="DR17" s="24">
        <f t="shared" si="14"/>
        <v>739261579.77580011</v>
      </c>
      <c r="DS17" s="24">
        <f t="shared" si="14"/>
        <v>751261579.77580011</v>
      </c>
      <c r="DT17" s="24">
        <f t="shared" si="14"/>
        <v>751261579.77580011</v>
      </c>
      <c r="DU17" s="24">
        <f t="shared" si="14"/>
        <v>751261579.77580011</v>
      </c>
      <c r="DV17" s="24">
        <f t="shared" si="14"/>
        <v>760061579.77580011</v>
      </c>
      <c r="DW17" s="24">
        <f t="shared" si="14"/>
        <v>760061579.77580011</v>
      </c>
      <c r="DX17" s="24">
        <f t="shared" si="14"/>
        <v>760061579.77580011</v>
      </c>
      <c r="DY17" s="24">
        <f t="shared" si="14"/>
        <v>767261579.77580011</v>
      </c>
      <c r="DZ17" s="24">
        <f t="shared" si="14"/>
        <v>767261579.77580011</v>
      </c>
      <c r="EA17" s="24">
        <f t="shared" ref="EA17:GL17" si="15">EA14*(1-CST_ABA_FIN_VALUE)</f>
        <v>767261579.77580011</v>
      </c>
      <c r="EB17" s="24">
        <f t="shared" si="15"/>
        <v>767261579.77580011</v>
      </c>
      <c r="EC17" s="24">
        <f t="shared" si="15"/>
        <v>767261579.77580011</v>
      </c>
      <c r="ED17" s="24">
        <f t="shared" si="15"/>
        <v>767261579.77580011</v>
      </c>
      <c r="EE17" s="24">
        <f t="shared" si="15"/>
        <v>767261579.77580011</v>
      </c>
      <c r="EF17" s="24">
        <f t="shared" si="15"/>
        <v>767261579.77580011</v>
      </c>
      <c r="EG17" s="24">
        <f t="shared" si="15"/>
        <v>767261579.77580011</v>
      </c>
      <c r="EH17" s="24">
        <f t="shared" si="15"/>
        <v>767261579.77580011</v>
      </c>
      <c r="EI17" s="24">
        <f t="shared" si="15"/>
        <v>767261579.77580011</v>
      </c>
      <c r="EJ17" s="24">
        <f t="shared" si="15"/>
        <v>767261579.77580011</v>
      </c>
      <c r="EK17" s="24">
        <f t="shared" si="15"/>
        <v>771261579.77580011</v>
      </c>
      <c r="EL17" s="24">
        <f t="shared" si="15"/>
        <v>771261579.77580011</v>
      </c>
      <c r="EM17" s="24">
        <f t="shared" si="15"/>
        <v>771261579.77580011</v>
      </c>
      <c r="EN17" s="24">
        <f t="shared" si="15"/>
        <v>771261579.77580011</v>
      </c>
      <c r="EO17" s="24">
        <f t="shared" si="15"/>
        <v>771261579.77580011</v>
      </c>
      <c r="EP17" s="24">
        <f t="shared" si="15"/>
        <v>779261579.77580011</v>
      </c>
      <c r="EQ17" s="24">
        <f t="shared" si="15"/>
        <v>779261579.77580011</v>
      </c>
      <c r="ER17" s="24">
        <f t="shared" si="15"/>
        <v>779261579.77580011</v>
      </c>
      <c r="ES17" s="24">
        <f t="shared" si="15"/>
        <v>779261579.77580011</v>
      </c>
      <c r="ET17" s="24">
        <f t="shared" si="15"/>
        <v>779261579.77580011</v>
      </c>
      <c r="EU17" s="24">
        <f t="shared" si="15"/>
        <v>779261579.77580011</v>
      </c>
      <c r="EV17" s="24">
        <f t="shared" si="15"/>
        <v>779261579.77580011</v>
      </c>
      <c r="EW17" s="24">
        <f t="shared" si="15"/>
        <v>779261579.77580011</v>
      </c>
      <c r="EX17" s="24">
        <f t="shared" si="15"/>
        <v>779261579.77580011</v>
      </c>
      <c r="EY17" s="24">
        <f t="shared" si="15"/>
        <v>779261579.77580011</v>
      </c>
      <c r="EZ17" s="24">
        <f t="shared" si="15"/>
        <v>783261579.77580011</v>
      </c>
      <c r="FA17" s="24">
        <f t="shared" si="15"/>
        <v>783261579.77580011</v>
      </c>
      <c r="FB17" s="24">
        <f t="shared" si="15"/>
        <v>783261579.77580011</v>
      </c>
      <c r="FC17" s="24">
        <f t="shared" si="15"/>
        <v>783261579.77580011</v>
      </c>
      <c r="FD17" s="24">
        <f t="shared" si="15"/>
        <v>783261579.77580011</v>
      </c>
      <c r="FE17" s="24">
        <f t="shared" si="15"/>
        <v>783261579.77580011</v>
      </c>
      <c r="FF17" s="24">
        <f t="shared" si="15"/>
        <v>783261579.77580011</v>
      </c>
      <c r="FG17" s="24">
        <f t="shared" si="15"/>
        <v>783261579.77580011</v>
      </c>
      <c r="FH17" s="24">
        <f t="shared" si="15"/>
        <v>791261579.77580011</v>
      </c>
      <c r="FI17" s="24">
        <f t="shared" si="15"/>
        <v>791261579.77580011</v>
      </c>
      <c r="FJ17" s="24">
        <f t="shared" si="15"/>
        <v>791261579.77580011</v>
      </c>
      <c r="FK17" s="24">
        <f t="shared" si="15"/>
        <v>791261579.77580011</v>
      </c>
      <c r="FL17" s="24">
        <f t="shared" si="15"/>
        <v>791261579.77580011</v>
      </c>
      <c r="FM17" s="24">
        <f t="shared" si="15"/>
        <v>791261579.77580011</v>
      </c>
      <c r="FN17" s="24">
        <f t="shared" si="15"/>
        <v>791261579.77580011</v>
      </c>
      <c r="FO17" s="24">
        <f t="shared" si="15"/>
        <v>791261579.77580011</v>
      </c>
      <c r="FP17" s="24">
        <f t="shared" si="15"/>
        <v>791261579.77580011</v>
      </c>
      <c r="FQ17" s="24">
        <f t="shared" si="15"/>
        <v>791261579.77580011</v>
      </c>
      <c r="FR17" s="24">
        <f t="shared" si="15"/>
        <v>791261579.77580011</v>
      </c>
      <c r="FS17" s="24">
        <f t="shared" si="15"/>
        <v>791261579.77580011</v>
      </c>
      <c r="FT17" s="24">
        <f t="shared" si="15"/>
        <v>791261579.77580011</v>
      </c>
      <c r="FU17" s="24">
        <f t="shared" si="15"/>
        <v>791261579.77580011</v>
      </c>
      <c r="FV17" s="24">
        <f t="shared" si="15"/>
        <v>791261579.77580011</v>
      </c>
      <c r="FW17" s="24">
        <f t="shared" si="15"/>
        <v>791261579.77580011</v>
      </c>
      <c r="FX17" s="24">
        <f t="shared" si="15"/>
        <v>791261579.77580011</v>
      </c>
      <c r="FY17" s="24">
        <f t="shared" si="15"/>
        <v>791261579.77580011</v>
      </c>
      <c r="FZ17" s="24">
        <f t="shared" si="15"/>
        <v>791261579.77580011</v>
      </c>
      <c r="GA17" s="24">
        <f t="shared" si="15"/>
        <v>799261579.77580011</v>
      </c>
      <c r="GB17" s="24">
        <f t="shared" si="15"/>
        <v>799261579.77580011</v>
      </c>
      <c r="GC17" s="24">
        <f t="shared" si="15"/>
        <v>799261579.77580011</v>
      </c>
      <c r="GD17" s="24">
        <f t="shared" si="15"/>
        <v>808061579.77580011</v>
      </c>
      <c r="GE17" s="24">
        <f t="shared" si="15"/>
        <v>808061579.77580011</v>
      </c>
      <c r="GF17" s="24">
        <f t="shared" si="15"/>
        <v>808061579.77580011</v>
      </c>
      <c r="GG17" s="24">
        <f t="shared" si="15"/>
        <v>828517387.77580011</v>
      </c>
      <c r="GH17" s="24">
        <f t="shared" si="15"/>
        <v>828517387.77580011</v>
      </c>
      <c r="GI17" s="24">
        <f t="shared" si="15"/>
        <v>828517387.77580011</v>
      </c>
      <c r="GJ17" s="24">
        <f t="shared" si="15"/>
        <v>828517387.77580011</v>
      </c>
      <c r="GK17" s="24">
        <f t="shared" si="15"/>
        <v>828517387.77580011</v>
      </c>
      <c r="GL17" s="24">
        <f t="shared" si="15"/>
        <v>828517387.77580011</v>
      </c>
      <c r="GM17" s="24">
        <f t="shared" ref="GM17:IH17" si="16">GM14*(1-CST_ABA_FIN_VALUE)</f>
        <v>828517387.77580011</v>
      </c>
      <c r="GN17" s="24">
        <f t="shared" si="16"/>
        <v>828517387.77580011</v>
      </c>
      <c r="GO17" s="24">
        <f t="shared" si="16"/>
        <v>828517387.77580011</v>
      </c>
      <c r="GP17" s="24">
        <f t="shared" si="16"/>
        <v>828517387.77580011</v>
      </c>
      <c r="GQ17" s="24">
        <f t="shared" si="16"/>
        <v>828517387.77580011</v>
      </c>
      <c r="GR17" s="24">
        <f t="shared" si="16"/>
        <v>828517387.77580011</v>
      </c>
      <c r="GS17" s="24">
        <f t="shared" si="16"/>
        <v>828517387.77580011</v>
      </c>
      <c r="GT17" s="24">
        <f t="shared" si="16"/>
        <v>828517387.77580011</v>
      </c>
      <c r="GU17" s="24">
        <f t="shared" si="16"/>
        <v>828517387.77580011</v>
      </c>
      <c r="GV17" s="24">
        <f t="shared" si="16"/>
        <v>828517387.77580011</v>
      </c>
      <c r="GW17" s="24">
        <f t="shared" si="16"/>
        <v>828517387.77580011</v>
      </c>
      <c r="GX17" s="24">
        <f t="shared" si="16"/>
        <v>828517387.77580011</v>
      </c>
      <c r="GY17" s="24">
        <f t="shared" si="16"/>
        <v>828517387.77580011</v>
      </c>
      <c r="GZ17" s="24">
        <f t="shared" si="16"/>
        <v>828517387.77580011</v>
      </c>
      <c r="HA17" s="24">
        <f t="shared" si="16"/>
        <v>828517387.77580011</v>
      </c>
      <c r="HB17" s="24">
        <f t="shared" si="16"/>
        <v>828517387.77580011</v>
      </c>
      <c r="HC17" s="24">
        <f t="shared" si="16"/>
        <v>828517387.77580011</v>
      </c>
      <c r="HD17" s="24">
        <f t="shared" si="16"/>
        <v>828517387.77580011</v>
      </c>
      <c r="HE17" s="24">
        <f t="shared" si="16"/>
        <v>828517387.77580011</v>
      </c>
      <c r="HF17" s="24">
        <f t="shared" si="16"/>
        <v>828517387.77580011</v>
      </c>
      <c r="HG17" s="24">
        <f t="shared" si="16"/>
        <v>828517387.77580011</v>
      </c>
      <c r="HH17" s="24">
        <f t="shared" si="16"/>
        <v>828517387.77580011</v>
      </c>
      <c r="HI17" s="24">
        <f t="shared" si="16"/>
        <v>828517387.77580011</v>
      </c>
      <c r="HJ17" s="24">
        <f t="shared" si="16"/>
        <v>828517387.77580011</v>
      </c>
      <c r="HK17" s="24">
        <f t="shared" si="16"/>
        <v>828517387.77580011</v>
      </c>
      <c r="HL17" s="24">
        <f t="shared" si="16"/>
        <v>828517387.77580011</v>
      </c>
      <c r="HM17" s="24">
        <f t="shared" si="16"/>
        <v>828517387.77580011</v>
      </c>
      <c r="HN17" s="24">
        <f t="shared" si="16"/>
        <v>828517387.77580011</v>
      </c>
      <c r="HO17" s="24">
        <f t="shared" si="16"/>
        <v>828517387.77580011</v>
      </c>
      <c r="HP17" s="24">
        <f t="shared" si="16"/>
        <v>828517387.77580011</v>
      </c>
      <c r="HQ17" s="24">
        <f t="shared" si="16"/>
        <v>828517387.77580011</v>
      </c>
      <c r="HR17" s="24">
        <f t="shared" si="16"/>
        <v>828517387.77580011</v>
      </c>
      <c r="HS17" s="24">
        <f t="shared" si="16"/>
        <v>828517387.77580011</v>
      </c>
      <c r="HT17" s="24">
        <f t="shared" si="16"/>
        <v>828517387.77580011</v>
      </c>
      <c r="HU17" s="24">
        <f t="shared" si="16"/>
        <v>828517387.77580011</v>
      </c>
      <c r="HV17" s="24">
        <f t="shared" si="16"/>
        <v>828517387.77580011</v>
      </c>
      <c r="HW17" s="24">
        <f t="shared" si="16"/>
        <v>828517387.77580011</v>
      </c>
      <c r="HX17" s="24">
        <f t="shared" si="16"/>
        <v>828517387.77580011</v>
      </c>
      <c r="HY17" s="24">
        <f t="shared" si="16"/>
        <v>828517387.77580011</v>
      </c>
      <c r="HZ17" s="24">
        <f t="shared" si="16"/>
        <v>828517387.77580011</v>
      </c>
      <c r="IA17" s="24">
        <f t="shared" si="16"/>
        <v>828517387.77580011</v>
      </c>
      <c r="IB17" s="24">
        <f t="shared" si="16"/>
        <v>828517387.77580011</v>
      </c>
      <c r="IC17" s="24">
        <f t="shared" si="16"/>
        <v>828517387.77580011</v>
      </c>
      <c r="ID17" s="24">
        <f t="shared" si="16"/>
        <v>828517387.77580011</v>
      </c>
      <c r="IE17" s="24">
        <f t="shared" si="16"/>
        <v>828517387.77580011</v>
      </c>
      <c r="IF17" s="24">
        <f t="shared" si="16"/>
        <v>828517387.77580011</v>
      </c>
      <c r="IG17" s="24">
        <f t="shared" si="16"/>
        <v>828517387.77580011</v>
      </c>
      <c r="IH17" s="24">
        <f t="shared" si="16"/>
        <v>828517387.77580011</v>
      </c>
    </row>
    <row r="18" spans="1:242" x14ac:dyDescent="0.45">
      <c r="A18" s="67" t="s">
        <v>386</v>
      </c>
      <c r="B18" s="112"/>
      <c r="C18" s="24">
        <f t="shared" ref="C18:BN18" si="17">C14-C17</f>
        <v>45203848.735987484</v>
      </c>
      <c r="D18" s="24">
        <f t="shared" si="17"/>
        <v>45203848.735987484</v>
      </c>
      <c r="E18" s="24">
        <f t="shared" si="17"/>
        <v>45203848.735987484</v>
      </c>
      <c r="F18" s="24">
        <f t="shared" si="17"/>
        <v>45203848.735987484</v>
      </c>
      <c r="G18" s="24">
        <f t="shared" si="17"/>
        <v>45203848.735987484</v>
      </c>
      <c r="H18" s="24">
        <f t="shared" si="17"/>
        <v>45203848.735987484</v>
      </c>
      <c r="I18" s="24">
        <f t="shared" si="17"/>
        <v>63285388.230382502</v>
      </c>
      <c r="J18" s="24">
        <f t="shared" si="17"/>
        <v>72326157.977580011</v>
      </c>
      <c r="K18" s="24">
        <f t="shared" si="17"/>
        <v>72326157.977580011</v>
      </c>
      <c r="L18" s="24">
        <f t="shared" si="17"/>
        <v>81366927.72477746</v>
      </c>
      <c r="M18" s="24">
        <f t="shared" si="17"/>
        <v>81366927.72477746</v>
      </c>
      <c r="N18" s="24">
        <f t="shared" si="17"/>
        <v>90407697.471974969</v>
      </c>
      <c r="O18" s="24">
        <f t="shared" si="17"/>
        <v>135611546.20796251</v>
      </c>
      <c r="P18" s="24">
        <f t="shared" si="17"/>
        <v>135611546.20796251</v>
      </c>
      <c r="Q18" s="24">
        <f t="shared" si="17"/>
        <v>135611546.20796251</v>
      </c>
      <c r="R18" s="24">
        <f t="shared" si="17"/>
        <v>135611546.20796251</v>
      </c>
      <c r="S18" s="24">
        <f t="shared" si="17"/>
        <v>135611546.20796251</v>
      </c>
      <c r="T18" s="24">
        <f t="shared" si="17"/>
        <v>135611546.20796251</v>
      </c>
      <c r="U18" s="24">
        <f t="shared" si="17"/>
        <v>153693085.70235741</v>
      </c>
      <c r="V18" s="24">
        <f t="shared" si="17"/>
        <v>153693085.70235741</v>
      </c>
      <c r="W18" s="24">
        <f t="shared" si="17"/>
        <v>162733855.44955492</v>
      </c>
      <c r="X18" s="24">
        <f t="shared" si="17"/>
        <v>171774625.19675243</v>
      </c>
      <c r="Y18" s="24">
        <f t="shared" si="17"/>
        <v>171774625.19675243</v>
      </c>
      <c r="Z18" s="24">
        <f t="shared" si="17"/>
        <v>180815394.94394994</v>
      </c>
      <c r="AA18" s="24">
        <f t="shared" si="17"/>
        <v>180815394.94394994</v>
      </c>
      <c r="AB18" s="24">
        <f t="shared" si="17"/>
        <v>180815394.94394994</v>
      </c>
      <c r="AC18" s="24">
        <f t="shared" si="17"/>
        <v>180815394.94394994</v>
      </c>
      <c r="AD18" s="24">
        <f t="shared" si="17"/>
        <v>180815394.94394994</v>
      </c>
      <c r="AE18" s="24">
        <f t="shared" si="17"/>
        <v>180815394.94394994</v>
      </c>
      <c r="AF18" s="24">
        <f t="shared" si="17"/>
        <v>180815394.94394994</v>
      </c>
      <c r="AG18" s="24">
        <f t="shared" si="17"/>
        <v>180815394.94394994</v>
      </c>
      <c r="AH18" s="24">
        <f t="shared" si="17"/>
        <v>180815394.94394994</v>
      </c>
      <c r="AI18" s="24">
        <f t="shared" si="17"/>
        <v>180815394.94394994</v>
      </c>
      <c r="AJ18" s="24">
        <f t="shared" si="17"/>
        <v>180815394.94394994</v>
      </c>
      <c r="AK18" s="24">
        <f t="shared" si="17"/>
        <v>180815394.94394994</v>
      </c>
      <c r="AL18" s="24">
        <f t="shared" si="17"/>
        <v>180815394.94394994</v>
      </c>
      <c r="AM18" s="24">
        <f t="shared" si="17"/>
        <v>180815394.94394994</v>
      </c>
      <c r="AN18" s="24">
        <f t="shared" si="17"/>
        <v>180815394.94394994</v>
      </c>
      <c r="AO18" s="24">
        <f t="shared" si="17"/>
        <v>180815394.94394994</v>
      </c>
      <c r="AP18" s="24">
        <f t="shared" si="17"/>
        <v>180815394.94394994</v>
      </c>
      <c r="AQ18" s="24">
        <f t="shared" si="17"/>
        <v>180815394.94394994</v>
      </c>
      <c r="AR18" s="24">
        <f t="shared" si="17"/>
        <v>180815394.94394994</v>
      </c>
      <c r="AS18" s="24">
        <f t="shared" si="17"/>
        <v>180815394.94394994</v>
      </c>
      <c r="AT18" s="24">
        <f t="shared" si="17"/>
        <v>180815394.94394994</v>
      </c>
      <c r="AU18" s="24">
        <f t="shared" si="17"/>
        <v>180815394.94394994</v>
      </c>
      <c r="AV18" s="24">
        <f t="shared" si="17"/>
        <v>180815394.94394994</v>
      </c>
      <c r="AW18" s="24">
        <f t="shared" si="17"/>
        <v>180815394.94394994</v>
      </c>
      <c r="AX18" s="24">
        <f t="shared" si="17"/>
        <v>180815394.94394994</v>
      </c>
      <c r="AY18" s="24">
        <f t="shared" si="17"/>
        <v>180815394.94394994</v>
      </c>
      <c r="AZ18" s="24">
        <f t="shared" si="17"/>
        <v>180815394.94394994</v>
      </c>
      <c r="BA18" s="24">
        <f t="shared" si="17"/>
        <v>180815394.94394994</v>
      </c>
      <c r="BB18" s="24">
        <f t="shared" si="17"/>
        <v>180815394.94394994</v>
      </c>
      <c r="BC18" s="24">
        <f t="shared" si="17"/>
        <v>180815394.94394994</v>
      </c>
      <c r="BD18" s="24">
        <f t="shared" si="17"/>
        <v>180815394.94394994</v>
      </c>
      <c r="BE18" s="24">
        <f t="shared" si="17"/>
        <v>180815394.94394994</v>
      </c>
      <c r="BF18" s="24">
        <f t="shared" si="17"/>
        <v>180815394.94394994</v>
      </c>
      <c r="BG18" s="24">
        <f t="shared" si="17"/>
        <v>180815394.94394994</v>
      </c>
      <c r="BH18" s="24">
        <f t="shared" si="17"/>
        <v>180815394.94394994</v>
      </c>
      <c r="BI18" s="24">
        <f t="shared" si="17"/>
        <v>180815394.94394994</v>
      </c>
      <c r="BJ18" s="24">
        <f t="shared" si="17"/>
        <v>180815394.94394994</v>
      </c>
      <c r="BK18" s="24">
        <f t="shared" si="17"/>
        <v>182815394.94394994</v>
      </c>
      <c r="BL18" s="24">
        <f t="shared" si="17"/>
        <v>182815394.94394994</v>
      </c>
      <c r="BM18" s="24">
        <f t="shared" si="17"/>
        <v>182815394.94394994</v>
      </c>
      <c r="BN18" s="24">
        <f t="shared" si="17"/>
        <v>184015394.94394994</v>
      </c>
      <c r="BO18" s="24">
        <f t="shared" ref="BO18:DZ18" si="18">BO14-BO17</f>
        <v>184015394.94394994</v>
      </c>
      <c r="BP18" s="24">
        <f t="shared" si="18"/>
        <v>184015394.94394994</v>
      </c>
      <c r="BQ18" s="24">
        <f t="shared" si="18"/>
        <v>184815394.94394994</v>
      </c>
      <c r="BR18" s="24">
        <f t="shared" si="18"/>
        <v>184815394.94394994</v>
      </c>
      <c r="BS18" s="24">
        <f t="shared" si="18"/>
        <v>184815394.94394994</v>
      </c>
      <c r="BT18" s="24">
        <f t="shared" si="18"/>
        <v>184815394.94394994</v>
      </c>
      <c r="BU18" s="24">
        <f t="shared" si="18"/>
        <v>184815394.94394994</v>
      </c>
      <c r="BV18" s="24">
        <f t="shared" si="18"/>
        <v>184815394.94394994</v>
      </c>
      <c r="BW18" s="24">
        <f t="shared" si="18"/>
        <v>184815394.94394994</v>
      </c>
      <c r="BX18" s="24">
        <f t="shared" si="18"/>
        <v>184815394.94394994</v>
      </c>
      <c r="BY18" s="24">
        <f t="shared" si="18"/>
        <v>184815394.94394994</v>
      </c>
      <c r="BZ18" s="24">
        <f t="shared" si="18"/>
        <v>184815394.94394994</v>
      </c>
      <c r="CA18" s="24">
        <f t="shared" si="18"/>
        <v>184815394.94394994</v>
      </c>
      <c r="CB18" s="24">
        <f t="shared" si="18"/>
        <v>184815394.94394994</v>
      </c>
      <c r="CC18" s="24">
        <f t="shared" si="18"/>
        <v>184815394.94394994</v>
      </c>
      <c r="CD18" s="24">
        <f t="shared" si="18"/>
        <v>184815394.94394994</v>
      </c>
      <c r="CE18" s="24">
        <f t="shared" si="18"/>
        <v>184815394.94394994</v>
      </c>
      <c r="CF18" s="24">
        <f t="shared" si="18"/>
        <v>184815394.94394994</v>
      </c>
      <c r="CG18" s="24">
        <f t="shared" si="18"/>
        <v>184815394.94394994</v>
      </c>
      <c r="CH18" s="24">
        <f t="shared" si="18"/>
        <v>184815394.94394994</v>
      </c>
      <c r="CI18" s="24">
        <f t="shared" si="18"/>
        <v>184815394.94394994</v>
      </c>
      <c r="CJ18" s="24">
        <f t="shared" si="18"/>
        <v>184815394.94394994</v>
      </c>
      <c r="CK18" s="24">
        <f t="shared" si="18"/>
        <v>184815394.94394994</v>
      </c>
      <c r="CL18" s="24">
        <f t="shared" si="18"/>
        <v>184815394.94394994</v>
      </c>
      <c r="CM18" s="24">
        <f t="shared" si="18"/>
        <v>184815394.94394994</v>
      </c>
      <c r="CN18" s="24">
        <f t="shared" si="18"/>
        <v>184815394.94394994</v>
      </c>
      <c r="CO18" s="24">
        <f t="shared" si="18"/>
        <v>184815394.94394994</v>
      </c>
      <c r="CP18" s="24">
        <f t="shared" si="18"/>
        <v>184815394.94394994</v>
      </c>
      <c r="CQ18" s="24">
        <f t="shared" si="18"/>
        <v>184815394.94394994</v>
      </c>
      <c r="CR18" s="24">
        <f t="shared" si="18"/>
        <v>184815394.94394994</v>
      </c>
      <c r="CS18" s="24">
        <f t="shared" si="18"/>
        <v>184815394.94394994</v>
      </c>
      <c r="CT18" s="24">
        <f t="shared" si="18"/>
        <v>184815394.94394994</v>
      </c>
      <c r="CU18" s="24">
        <f t="shared" si="18"/>
        <v>184815394.94394994</v>
      </c>
      <c r="CV18" s="24">
        <f t="shared" si="18"/>
        <v>184815394.94394994</v>
      </c>
      <c r="CW18" s="24">
        <f t="shared" si="18"/>
        <v>184815394.94394994</v>
      </c>
      <c r="CX18" s="24">
        <f t="shared" si="18"/>
        <v>184815394.94394994</v>
      </c>
      <c r="CY18" s="24">
        <f t="shared" si="18"/>
        <v>184815394.94394994</v>
      </c>
      <c r="CZ18" s="24">
        <f t="shared" si="18"/>
        <v>184815394.94394994</v>
      </c>
      <c r="DA18" s="24">
        <f t="shared" si="18"/>
        <v>184815394.94394994</v>
      </c>
      <c r="DB18" s="24">
        <f t="shared" si="18"/>
        <v>184815394.94394994</v>
      </c>
      <c r="DC18" s="24">
        <f t="shared" si="18"/>
        <v>184815394.94394994</v>
      </c>
      <c r="DD18" s="24">
        <f t="shared" si="18"/>
        <v>184815394.94394994</v>
      </c>
      <c r="DE18" s="24">
        <f t="shared" si="18"/>
        <v>184815394.94394994</v>
      </c>
      <c r="DF18" s="24">
        <f t="shared" si="18"/>
        <v>184815394.94394994</v>
      </c>
      <c r="DG18" s="24">
        <f t="shared" si="18"/>
        <v>184815394.94394994</v>
      </c>
      <c r="DH18" s="24">
        <f t="shared" si="18"/>
        <v>184815394.94394994</v>
      </c>
      <c r="DI18" s="24">
        <f t="shared" si="18"/>
        <v>184815394.94394994</v>
      </c>
      <c r="DJ18" s="24">
        <f t="shared" si="18"/>
        <v>184815394.94394994</v>
      </c>
      <c r="DK18" s="24">
        <f t="shared" si="18"/>
        <v>184815394.94394994</v>
      </c>
      <c r="DL18" s="24">
        <f t="shared" si="18"/>
        <v>184815394.94394994</v>
      </c>
      <c r="DM18" s="24">
        <f t="shared" si="18"/>
        <v>184815394.94394994</v>
      </c>
      <c r="DN18" s="24">
        <f t="shared" si="18"/>
        <v>184815394.94394994</v>
      </c>
      <c r="DO18" s="24">
        <f t="shared" si="18"/>
        <v>184815394.94394994</v>
      </c>
      <c r="DP18" s="24">
        <f t="shared" si="18"/>
        <v>184815394.94394994</v>
      </c>
      <c r="DQ18" s="24">
        <f t="shared" si="18"/>
        <v>184815394.94394994</v>
      </c>
      <c r="DR18" s="24">
        <f t="shared" si="18"/>
        <v>184815394.94394994</v>
      </c>
      <c r="DS18" s="24">
        <f t="shared" si="18"/>
        <v>187815394.94394994</v>
      </c>
      <c r="DT18" s="24">
        <f t="shared" si="18"/>
        <v>187815394.94394994</v>
      </c>
      <c r="DU18" s="24">
        <f t="shared" si="18"/>
        <v>187815394.94394994</v>
      </c>
      <c r="DV18" s="24">
        <f t="shared" si="18"/>
        <v>190015394.94394994</v>
      </c>
      <c r="DW18" s="24">
        <f t="shared" si="18"/>
        <v>190015394.94394994</v>
      </c>
      <c r="DX18" s="24">
        <f t="shared" si="18"/>
        <v>190015394.94394994</v>
      </c>
      <c r="DY18" s="24">
        <f t="shared" si="18"/>
        <v>191815394.94394994</v>
      </c>
      <c r="DZ18" s="24">
        <f t="shared" si="18"/>
        <v>191815394.94394994</v>
      </c>
      <c r="EA18" s="24">
        <f t="shared" ref="EA18:GL18" si="19">EA14-EA17</f>
        <v>191815394.94394994</v>
      </c>
      <c r="EB18" s="24">
        <f t="shared" si="19"/>
        <v>191815394.94394994</v>
      </c>
      <c r="EC18" s="24">
        <f t="shared" si="19"/>
        <v>191815394.94394994</v>
      </c>
      <c r="ED18" s="24">
        <f t="shared" si="19"/>
        <v>191815394.94394994</v>
      </c>
      <c r="EE18" s="24">
        <f t="shared" si="19"/>
        <v>191815394.94394994</v>
      </c>
      <c r="EF18" s="24">
        <f t="shared" si="19"/>
        <v>191815394.94394994</v>
      </c>
      <c r="EG18" s="24">
        <f t="shared" si="19"/>
        <v>191815394.94394994</v>
      </c>
      <c r="EH18" s="24">
        <f t="shared" si="19"/>
        <v>191815394.94394994</v>
      </c>
      <c r="EI18" s="24">
        <f t="shared" si="19"/>
        <v>191815394.94394994</v>
      </c>
      <c r="EJ18" s="24">
        <f t="shared" si="19"/>
        <v>191815394.94394994</v>
      </c>
      <c r="EK18" s="24">
        <f t="shared" si="19"/>
        <v>192815394.94394994</v>
      </c>
      <c r="EL18" s="24">
        <f t="shared" si="19"/>
        <v>192815394.94394994</v>
      </c>
      <c r="EM18" s="24">
        <f t="shared" si="19"/>
        <v>192815394.94394994</v>
      </c>
      <c r="EN18" s="24">
        <f t="shared" si="19"/>
        <v>192815394.94394994</v>
      </c>
      <c r="EO18" s="24">
        <f t="shared" si="19"/>
        <v>192815394.94394994</v>
      </c>
      <c r="EP18" s="24">
        <f t="shared" si="19"/>
        <v>194815394.94394994</v>
      </c>
      <c r="EQ18" s="24">
        <f t="shared" si="19"/>
        <v>194815394.94394994</v>
      </c>
      <c r="ER18" s="24">
        <f t="shared" si="19"/>
        <v>194815394.94394994</v>
      </c>
      <c r="ES18" s="24">
        <f t="shared" si="19"/>
        <v>194815394.94394994</v>
      </c>
      <c r="ET18" s="24">
        <f t="shared" si="19"/>
        <v>194815394.94394994</v>
      </c>
      <c r="EU18" s="24">
        <f t="shared" si="19"/>
        <v>194815394.94394994</v>
      </c>
      <c r="EV18" s="24">
        <f t="shared" si="19"/>
        <v>194815394.94394994</v>
      </c>
      <c r="EW18" s="24">
        <f t="shared" si="19"/>
        <v>194815394.94394994</v>
      </c>
      <c r="EX18" s="24">
        <f t="shared" si="19"/>
        <v>194815394.94394994</v>
      </c>
      <c r="EY18" s="24">
        <f t="shared" si="19"/>
        <v>194815394.94394994</v>
      </c>
      <c r="EZ18" s="24">
        <f t="shared" si="19"/>
        <v>195815394.94394994</v>
      </c>
      <c r="FA18" s="24">
        <f t="shared" si="19"/>
        <v>195815394.94394994</v>
      </c>
      <c r="FB18" s="24">
        <f t="shared" si="19"/>
        <v>195815394.94394994</v>
      </c>
      <c r="FC18" s="24">
        <f t="shared" si="19"/>
        <v>195815394.94394994</v>
      </c>
      <c r="FD18" s="24">
        <f t="shared" si="19"/>
        <v>195815394.94394994</v>
      </c>
      <c r="FE18" s="24">
        <f t="shared" si="19"/>
        <v>195815394.94394994</v>
      </c>
      <c r="FF18" s="24">
        <f t="shared" si="19"/>
        <v>195815394.94394994</v>
      </c>
      <c r="FG18" s="24">
        <f t="shared" si="19"/>
        <v>195815394.94394994</v>
      </c>
      <c r="FH18" s="24">
        <f t="shared" si="19"/>
        <v>197815394.94394994</v>
      </c>
      <c r="FI18" s="24">
        <f t="shared" si="19"/>
        <v>197815394.94394994</v>
      </c>
      <c r="FJ18" s="24">
        <f t="shared" si="19"/>
        <v>197815394.94394994</v>
      </c>
      <c r="FK18" s="24">
        <f t="shared" si="19"/>
        <v>197815394.94394994</v>
      </c>
      <c r="FL18" s="24">
        <f t="shared" si="19"/>
        <v>197815394.94394994</v>
      </c>
      <c r="FM18" s="24">
        <f t="shared" si="19"/>
        <v>197815394.94394994</v>
      </c>
      <c r="FN18" s="24">
        <f t="shared" si="19"/>
        <v>197815394.94394994</v>
      </c>
      <c r="FO18" s="24">
        <f t="shared" si="19"/>
        <v>197815394.94394994</v>
      </c>
      <c r="FP18" s="24">
        <f t="shared" si="19"/>
        <v>197815394.94394994</v>
      </c>
      <c r="FQ18" s="24">
        <f t="shared" si="19"/>
        <v>197815394.94394994</v>
      </c>
      <c r="FR18" s="24">
        <f t="shared" si="19"/>
        <v>197815394.94394994</v>
      </c>
      <c r="FS18" s="24">
        <f t="shared" si="19"/>
        <v>197815394.94394994</v>
      </c>
      <c r="FT18" s="24">
        <f t="shared" si="19"/>
        <v>197815394.94394994</v>
      </c>
      <c r="FU18" s="24">
        <f t="shared" si="19"/>
        <v>197815394.94394994</v>
      </c>
      <c r="FV18" s="24">
        <f t="shared" si="19"/>
        <v>197815394.94394994</v>
      </c>
      <c r="FW18" s="24">
        <f t="shared" si="19"/>
        <v>197815394.94394994</v>
      </c>
      <c r="FX18" s="24">
        <f t="shared" si="19"/>
        <v>197815394.94394994</v>
      </c>
      <c r="FY18" s="24">
        <f t="shared" si="19"/>
        <v>197815394.94394994</v>
      </c>
      <c r="FZ18" s="24">
        <f t="shared" si="19"/>
        <v>197815394.94394994</v>
      </c>
      <c r="GA18" s="24">
        <f t="shared" si="19"/>
        <v>199815394.94394994</v>
      </c>
      <c r="GB18" s="24">
        <f t="shared" si="19"/>
        <v>199815394.94394994</v>
      </c>
      <c r="GC18" s="24">
        <f t="shared" si="19"/>
        <v>199815394.94394994</v>
      </c>
      <c r="GD18" s="24">
        <f t="shared" si="19"/>
        <v>202015394.94394994</v>
      </c>
      <c r="GE18" s="24">
        <f t="shared" si="19"/>
        <v>202015394.94394994</v>
      </c>
      <c r="GF18" s="24">
        <f t="shared" si="19"/>
        <v>202015394.94394994</v>
      </c>
      <c r="GG18" s="24">
        <f t="shared" si="19"/>
        <v>207129346.94394994</v>
      </c>
      <c r="GH18" s="24">
        <f t="shared" si="19"/>
        <v>207129346.94394994</v>
      </c>
      <c r="GI18" s="24">
        <f t="shared" si="19"/>
        <v>207129346.94394994</v>
      </c>
      <c r="GJ18" s="24">
        <f t="shared" si="19"/>
        <v>207129346.94394994</v>
      </c>
      <c r="GK18" s="24">
        <f t="shared" si="19"/>
        <v>207129346.94394994</v>
      </c>
      <c r="GL18" s="24">
        <f t="shared" si="19"/>
        <v>207129346.94394994</v>
      </c>
      <c r="GM18" s="24">
        <f t="shared" ref="GM18:IH18" si="20">GM14-GM17</f>
        <v>207129346.94394994</v>
      </c>
      <c r="GN18" s="24">
        <f t="shared" si="20"/>
        <v>207129346.94394994</v>
      </c>
      <c r="GO18" s="24">
        <f t="shared" si="20"/>
        <v>207129346.94394994</v>
      </c>
      <c r="GP18" s="24">
        <f t="shared" si="20"/>
        <v>207129346.94394994</v>
      </c>
      <c r="GQ18" s="24">
        <f t="shared" si="20"/>
        <v>207129346.94394994</v>
      </c>
      <c r="GR18" s="24">
        <f t="shared" si="20"/>
        <v>207129346.94394994</v>
      </c>
      <c r="GS18" s="24">
        <f t="shared" si="20"/>
        <v>207129346.94394994</v>
      </c>
      <c r="GT18" s="24">
        <f t="shared" si="20"/>
        <v>207129346.94394994</v>
      </c>
      <c r="GU18" s="24">
        <f t="shared" si="20"/>
        <v>207129346.94394994</v>
      </c>
      <c r="GV18" s="24">
        <f t="shared" si="20"/>
        <v>207129346.94394994</v>
      </c>
      <c r="GW18" s="24">
        <f t="shared" si="20"/>
        <v>207129346.94394994</v>
      </c>
      <c r="GX18" s="24">
        <f t="shared" si="20"/>
        <v>207129346.94394994</v>
      </c>
      <c r="GY18" s="24">
        <f t="shared" si="20"/>
        <v>207129346.94394994</v>
      </c>
      <c r="GZ18" s="24">
        <f t="shared" si="20"/>
        <v>207129346.94394994</v>
      </c>
      <c r="HA18" s="24">
        <f t="shared" si="20"/>
        <v>207129346.94394994</v>
      </c>
      <c r="HB18" s="24">
        <f t="shared" si="20"/>
        <v>207129346.94394994</v>
      </c>
      <c r="HC18" s="24">
        <f t="shared" si="20"/>
        <v>207129346.94394994</v>
      </c>
      <c r="HD18" s="24">
        <f t="shared" si="20"/>
        <v>207129346.94394994</v>
      </c>
      <c r="HE18" s="24">
        <f t="shared" si="20"/>
        <v>207129346.94394994</v>
      </c>
      <c r="HF18" s="24">
        <f t="shared" si="20"/>
        <v>207129346.94394994</v>
      </c>
      <c r="HG18" s="24">
        <f t="shared" si="20"/>
        <v>207129346.94394994</v>
      </c>
      <c r="HH18" s="24">
        <f t="shared" si="20"/>
        <v>207129346.94394994</v>
      </c>
      <c r="HI18" s="24">
        <f t="shared" si="20"/>
        <v>207129346.94394994</v>
      </c>
      <c r="HJ18" s="24">
        <f t="shared" si="20"/>
        <v>207129346.94394994</v>
      </c>
      <c r="HK18" s="24">
        <f t="shared" si="20"/>
        <v>207129346.94394994</v>
      </c>
      <c r="HL18" s="24">
        <f t="shared" si="20"/>
        <v>207129346.94394994</v>
      </c>
      <c r="HM18" s="24">
        <f t="shared" si="20"/>
        <v>207129346.94394994</v>
      </c>
      <c r="HN18" s="24">
        <f t="shared" si="20"/>
        <v>207129346.94394994</v>
      </c>
      <c r="HO18" s="24">
        <f t="shared" si="20"/>
        <v>207129346.94394994</v>
      </c>
      <c r="HP18" s="24">
        <f t="shared" si="20"/>
        <v>207129346.94394994</v>
      </c>
      <c r="HQ18" s="24">
        <f t="shared" si="20"/>
        <v>207129346.94394994</v>
      </c>
      <c r="HR18" s="24">
        <f t="shared" si="20"/>
        <v>207129346.94394994</v>
      </c>
      <c r="HS18" s="24">
        <f t="shared" si="20"/>
        <v>207129346.94394994</v>
      </c>
      <c r="HT18" s="24">
        <f t="shared" si="20"/>
        <v>207129346.94394994</v>
      </c>
      <c r="HU18" s="24">
        <f t="shared" si="20"/>
        <v>207129346.94394994</v>
      </c>
      <c r="HV18" s="24">
        <f t="shared" si="20"/>
        <v>207129346.94394994</v>
      </c>
      <c r="HW18" s="24">
        <f t="shared" si="20"/>
        <v>207129346.94394994</v>
      </c>
      <c r="HX18" s="24">
        <f t="shared" si="20"/>
        <v>207129346.94394994</v>
      </c>
      <c r="HY18" s="24">
        <f t="shared" si="20"/>
        <v>207129346.94394994</v>
      </c>
      <c r="HZ18" s="24">
        <f t="shared" si="20"/>
        <v>207129346.94394994</v>
      </c>
      <c r="IA18" s="24">
        <f t="shared" si="20"/>
        <v>207129346.94394994</v>
      </c>
      <c r="IB18" s="24">
        <f t="shared" si="20"/>
        <v>207129346.94394994</v>
      </c>
      <c r="IC18" s="24">
        <f t="shared" si="20"/>
        <v>207129346.94394994</v>
      </c>
      <c r="ID18" s="24">
        <f t="shared" si="20"/>
        <v>207129346.94394994</v>
      </c>
      <c r="IE18" s="24">
        <f t="shared" si="20"/>
        <v>207129346.94394994</v>
      </c>
      <c r="IF18" s="24">
        <f t="shared" si="20"/>
        <v>207129346.94394994</v>
      </c>
      <c r="IG18" s="24">
        <f t="shared" si="20"/>
        <v>207129346.94394994</v>
      </c>
      <c r="IH18" s="24">
        <f t="shared" si="20"/>
        <v>207129346.94394994</v>
      </c>
    </row>
    <row r="22" spans="1:242" x14ac:dyDescent="0.45">
      <c r="A22" t="s">
        <v>434</v>
      </c>
      <c r="C22" s="63">
        <f>C17</f>
        <v>180815394.94395003</v>
      </c>
      <c r="D22" s="1">
        <f>IF(D17&lt;&gt;C17,D17-C17,0)</f>
        <v>0</v>
      </c>
      <c r="E22" s="1">
        <f t="shared" ref="E22:BP22" si="21">IF(E17&lt;&gt;D17,E17-D17,0)</f>
        <v>0</v>
      </c>
      <c r="F22" s="1">
        <f t="shared" si="21"/>
        <v>0</v>
      </c>
      <c r="G22" s="1">
        <f t="shared" si="21"/>
        <v>0</v>
      </c>
      <c r="H22" s="1">
        <f t="shared" si="21"/>
        <v>0</v>
      </c>
      <c r="I22" s="1">
        <f t="shared" si="21"/>
        <v>72326157.977579981</v>
      </c>
      <c r="J22" s="1">
        <f t="shared" si="21"/>
        <v>36163078.988789976</v>
      </c>
      <c r="K22" s="1">
        <f t="shared" si="21"/>
        <v>0</v>
      </c>
      <c r="L22" s="1">
        <f t="shared" si="21"/>
        <v>36163078.988790035</v>
      </c>
      <c r="M22" s="1">
        <f t="shared" si="21"/>
        <v>0</v>
      </c>
      <c r="N22" s="1">
        <f t="shared" si="21"/>
        <v>36163078.988789976</v>
      </c>
      <c r="O22" s="1">
        <f t="shared" si="21"/>
        <v>180815394.94394994</v>
      </c>
      <c r="P22" s="1">
        <f t="shared" si="21"/>
        <v>0</v>
      </c>
      <c r="Q22" s="1">
        <f t="shared" si="21"/>
        <v>0</v>
      </c>
      <c r="R22" s="1">
        <f t="shared" si="21"/>
        <v>0</v>
      </c>
      <c r="S22" s="1">
        <f t="shared" si="21"/>
        <v>0</v>
      </c>
      <c r="T22" s="1">
        <f t="shared" si="21"/>
        <v>0</v>
      </c>
      <c r="U22" s="1">
        <f t="shared" si="21"/>
        <v>72326157.97758007</v>
      </c>
      <c r="V22" s="1">
        <f t="shared" si="21"/>
        <v>0</v>
      </c>
      <c r="W22" s="1">
        <f t="shared" si="21"/>
        <v>36163078.988790035</v>
      </c>
      <c r="X22" s="1">
        <f t="shared" si="21"/>
        <v>36163078.988790035</v>
      </c>
      <c r="Y22" s="1">
        <f t="shared" si="21"/>
        <v>0</v>
      </c>
      <c r="Z22" s="1">
        <f t="shared" si="21"/>
        <v>36163078.988790035</v>
      </c>
      <c r="AA22" s="1">
        <f t="shared" si="21"/>
        <v>0</v>
      </c>
      <c r="AB22" s="1">
        <f t="shared" si="21"/>
        <v>0</v>
      </c>
      <c r="AC22" s="1">
        <f t="shared" si="21"/>
        <v>0</v>
      </c>
      <c r="AD22" s="1">
        <f t="shared" si="21"/>
        <v>0</v>
      </c>
      <c r="AE22" s="1">
        <f t="shared" si="21"/>
        <v>0</v>
      </c>
      <c r="AF22" s="1">
        <f t="shared" si="21"/>
        <v>0</v>
      </c>
      <c r="AG22" s="1">
        <f t="shared" si="21"/>
        <v>0</v>
      </c>
      <c r="AH22" s="1">
        <f t="shared" si="21"/>
        <v>0</v>
      </c>
      <c r="AI22" s="1">
        <f t="shared" si="21"/>
        <v>0</v>
      </c>
      <c r="AJ22" s="1">
        <f t="shared" si="21"/>
        <v>0</v>
      </c>
      <c r="AK22" s="1">
        <f t="shared" si="21"/>
        <v>0</v>
      </c>
      <c r="AL22" s="1">
        <f t="shared" si="21"/>
        <v>0</v>
      </c>
      <c r="AM22" s="1">
        <f t="shared" si="21"/>
        <v>0</v>
      </c>
      <c r="AN22" s="1">
        <f t="shared" si="21"/>
        <v>0</v>
      </c>
      <c r="AO22" s="1">
        <f t="shared" si="21"/>
        <v>0</v>
      </c>
      <c r="AP22" s="1">
        <f t="shared" si="21"/>
        <v>0</v>
      </c>
      <c r="AQ22" s="1">
        <f t="shared" si="21"/>
        <v>0</v>
      </c>
      <c r="AR22" s="1">
        <f t="shared" si="21"/>
        <v>0</v>
      </c>
      <c r="AS22" s="1">
        <f t="shared" si="21"/>
        <v>0</v>
      </c>
      <c r="AT22" s="1">
        <f t="shared" si="21"/>
        <v>0</v>
      </c>
      <c r="AU22" s="1">
        <f t="shared" si="21"/>
        <v>0</v>
      </c>
      <c r="AV22" s="1">
        <f t="shared" si="21"/>
        <v>0</v>
      </c>
      <c r="AW22" s="1">
        <f t="shared" si="21"/>
        <v>0</v>
      </c>
      <c r="AX22" s="1">
        <f t="shared" si="21"/>
        <v>0</v>
      </c>
      <c r="AY22" s="1">
        <f t="shared" si="21"/>
        <v>0</v>
      </c>
      <c r="AZ22" s="1">
        <f t="shared" si="21"/>
        <v>0</v>
      </c>
      <c r="BA22" s="1">
        <f t="shared" si="21"/>
        <v>0</v>
      </c>
      <c r="BB22" s="1">
        <f t="shared" si="21"/>
        <v>0</v>
      </c>
      <c r="BC22" s="1">
        <f t="shared" si="21"/>
        <v>0</v>
      </c>
      <c r="BD22" s="1">
        <f t="shared" si="21"/>
        <v>0</v>
      </c>
      <c r="BE22" s="1">
        <f t="shared" si="21"/>
        <v>0</v>
      </c>
      <c r="BF22" s="1">
        <f t="shared" si="21"/>
        <v>0</v>
      </c>
      <c r="BG22" s="1">
        <f t="shared" si="21"/>
        <v>0</v>
      </c>
      <c r="BH22" s="1">
        <f t="shared" si="21"/>
        <v>0</v>
      </c>
      <c r="BI22" s="1">
        <f t="shared" si="21"/>
        <v>0</v>
      </c>
      <c r="BJ22" s="1">
        <f t="shared" si="21"/>
        <v>0</v>
      </c>
      <c r="BK22" s="1">
        <f t="shared" si="21"/>
        <v>8000000</v>
      </c>
      <c r="BL22" s="1">
        <f t="shared" si="21"/>
        <v>0</v>
      </c>
      <c r="BM22" s="1">
        <f t="shared" si="21"/>
        <v>0</v>
      </c>
      <c r="BN22" s="1">
        <f t="shared" si="21"/>
        <v>4800000</v>
      </c>
      <c r="BO22" s="1">
        <f t="shared" si="21"/>
        <v>0</v>
      </c>
      <c r="BP22" s="1">
        <f t="shared" si="21"/>
        <v>0</v>
      </c>
      <c r="BQ22" s="1">
        <f t="shared" ref="BQ22:EB22" si="22">IF(BQ17&lt;&gt;BP17,BQ17-BP17,0)</f>
        <v>3200000</v>
      </c>
      <c r="BR22" s="1">
        <f t="shared" si="22"/>
        <v>0</v>
      </c>
      <c r="BS22" s="1">
        <f t="shared" si="22"/>
        <v>0</v>
      </c>
      <c r="BT22" s="1">
        <f t="shared" si="22"/>
        <v>0</v>
      </c>
      <c r="BU22" s="1">
        <f t="shared" si="22"/>
        <v>0</v>
      </c>
      <c r="BV22" s="1">
        <f t="shared" si="22"/>
        <v>0</v>
      </c>
      <c r="BW22" s="1">
        <f t="shared" si="22"/>
        <v>0</v>
      </c>
      <c r="BX22" s="1">
        <f t="shared" si="22"/>
        <v>0</v>
      </c>
      <c r="BY22" s="1">
        <f t="shared" si="22"/>
        <v>0</v>
      </c>
      <c r="BZ22" s="1">
        <f t="shared" si="22"/>
        <v>0</v>
      </c>
      <c r="CA22" s="1">
        <f t="shared" si="22"/>
        <v>0</v>
      </c>
      <c r="CB22" s="1">
        <f t="shared" si="22"/>
        <v>0</v>
      </c>
      <c r="CC22" s="1">
        <f t="shared" si="22"/>
        <v>0</v>
      </c>
      <c r="CD22" s="1">
        <f t="shared" si="22"/>
        <v>0</v>
      </c>
      <c r="CE22" s="1">
        <f t="shared" si="22"/>
        <v>0</v>
      </c>
      <c r="CF22" s="1">
        <f t="shared" si="22"/>
        <v>0</v>
      </c>
      <c r="CG22" s="1">
        <f t="shared" si="22"/>
        <v>0</v>
      </c>
      <c r="CH22" s="1">
        <f t="shared" si="22"/>
        <v>0</v>
      </c>
      <c r="CI22" s="1">
        <f t="shared" si="22"/>
        <v>0</v>
      </c>
      <c r="CJ22" s="1">
        <f t="shared" si="22"/>
        <v>0</v>
      </c>
      <c r="CK22" s="1">
        <f t="shared" si="22"/>
        <v>0</v>
      </c>
      <c r="CL22" s="1">
        <f t="shared" si="22"/>
        <v>0</v>
      </c>
      <c r="CM22" s="1">
        <f t="shared" si="22"/>
        <v>0</v>
      </c>
      <c r="CN22" s="1">
        <f t="shared" si="22"/>
        <v>0</v>
      </c>
      <c r="CO22" s="1">
        <f t="shared" si="22"/>
        <v>0</v>
      </c>
      <c r="CP22" s="1">
        <f t="shared" si="22"/>
        <v>0</v>
      </c>
      <c r="CQ22" s="1">
        <f t="shared" si="22"/>
        <v>0</v>
      </c>
      <c r="CR22" s="1">
        <f t="shared" si="22"/>
        <v>0</v>
      </c>
      <c r="CS22" s="1">
        <f t="shared" si="22"/>
        <v>0</v>
      </c>
      <c r="CT22" s="1">
        <f t="shared" si="22"/>
        <v>0</v>
      </c>
      <c r="CU22" s="1">
        <f t="shared" si="22"/>
        <v>0</v>
      </c>
      <c r="CV22" s="1">
        <f t="shared" si="22"/>
        <v>0</v>
      </c>
      <c r="CW22" s="1">
        <f t="shared" si="22"/>
        <v>0</v>
      </c>
      <c r="CX22" s="1">
        <f t="shared" si="22"/>
        <v>0</v>
      </c>
      <c r="CY22" s="1">
        <f t="shared" si="22"/>
        <v>0</v>
      </c>
      <c r="CZ22" s="1">
        <f t="shared" si="22"/>
        <v>0</v>
      </c>
      <c r="DA22" s="1">
        <f t="shared" si="22"/>
        <v>0</v>
      </c>
      <c r="DB22" s="1">
        <f t="shared" si="22"/>
        <v>0</v>
      </c>
      <c r="DC22" s="1">
        <f t="shared" si="22"/>
        <v>0</v>
      </c>
      <c r="DD22" s="1">
        <f t="shared" si="22"/>
        <v>0</v>
      </c>
      <c r="DE22" s="1">
        <f t="shared" si="22"/>
        <v>0</v>
      </c>
      <c r="DF22" s="1">
        <f t="shared" si="22"/>
        <v>0</v>
      </c>
      <c r="DG22" s="1">
        <f t="shared" si="22"/>
        <v>0</v>
      </c>
      <c r="DH22" s="1">
        <f t="shared" si="22"/>
        <v>0</v>
      </c>
      <c r="DI22" s="1">
        <f t="shared" si="22"/>
        <v>0</v>
      </c>
      <c r="DJ22" s="1">
        <f t="shared" si="22"/>
        <v>0</v>
      </c>
      <c r="DK22" s="1">
        <f t="shared" si="22"/>
        <v>0</v>
      </c>
      <c r="DL22" s="1">
        <f t="shared" si="22"/>
        <v>0</v>
      </c>
      <c r="DM22" s="1">
        <f t="shared" si="22"/>
        <v>0</v>
      </c>
      <c r="DN22" s="1">
        <f t="shared" si="22"/>
        <v>0</v>
      </c>
      <c r="DO22" s="1">
        <f t="shared" si="22"/>
        <v>0</v>
      </c>
      <c r="DP22" s="1">
        <f t="shared" si="22"/>
        <v>0</v>
      </c>
      <c r="DQ22" s="1">
        <f t="shared" si="22"/>
        <v>0</v>
      </c>
      <c r="DR22" s="1">
        <f t="shared" si="22"/>
        <v>0</v>
      </c>
      <c r="DS22" s="1">
        <f t="shared" si="22"/>
        <v>12000000</v>
      </c>
      <c r="DT22" s="1">
        <f t="shared" si="22"/>
        <v>0</v>
      </c>
      <c r="DU22" s="1">
        <f t="shared" si="22"/>
        <v>0</v>
      </c>
      <c r="DV22" s="1">
        <f t="shared" si="22"/>
        <v>8800000</v>
      </c>
      <c r="DW22" s="1">
        <f t="shared" si="22"/>
        <v>0</v>
      </c>
      <c r="DX22" s="1">
        <f t="shared" si="22"/>
        <v>0</v>
      </c>
      <c r="DY22" s="1">
        <f t="shared" si="22"/>
        <v>7200000</v>
      </c>
      <c r="DZ22" s="1">
        <f t="shared" si="22"/>
        <v>0</v>
      </c>
      <c r="EA22" s="1">
        <f t="shared" si="22"/>
        <v>0</v>
      </c>
      <c r="EB22" s="1">
        <f t="shared" si="22"/>
        <v>0</v>
      </c>
      <c r="EC22" s="1">
        <f t="shared" ref="EC22:GN22" si="23">IF(EC17&lt;&gt;EB17,EC17-EB17,0)</f>
        <v>0</v>
      </c>
      <c r="ED22" s="1">
        <f t="shared" si="23"/>
        <v>0</v>
      </c>
      <c r="EE22" s="1">
        <f t="shared" si="23"/>
        <v>0</v>
      </c>
      <c r="EF22" s="1">
        <f t="shared" si="23"/>
        <v>0</v>
      </c>
      <c r="EG22" s="1">
        <f t="shared" si="23"/>
        <v>0</v>
      </c>
      <c r="EH22" s="1">
        <f t="shared" si="23"/>
        <v>0</v>
      </c>
      <c r="EI22" s="1">
        <f t="shared" si="23"/>
        <v>0</v>
      </c>
      <c r="EJ22" s="1">
        <f t="shared" si="23"/>
        <v>0</v>
      </c>
      <c r="EK22" s="1">
        <f t="shared" si="23"/>
        <v>4000000</v>
      </c>
      <c r="EL22" s="1">
        <f t="shared" si="23"/>
        <v>0</v>
      </c>
      <c r="EM22" s="1">
        <f t="shared" si="23"/>
        <v>0</v>
      </c>
      <c r="EN22" s="1">
        <f t="shared" si="23"/>
        <v>0</v>
      </c>
      <c r="EO22" s="1">
        <f t="shared" si="23"/>
        <v>0</v>
      </c>
      <c r="EP22" s="1">
        <f t="shared" si="23"/>
        <v>8000000</v>
      </c>
      <c r="EQ22" s="1">
        <f t="shared" si="23"/>
        <v>0</v>
      </c>
      <c r="ER22" s="1">
        <f t="shared" si="23"/>
        <v>0</v>
      </c>
      <c r="ES22" s="1">
        <f t="shared" si="23"/>
        <v>0</v>
      </c>
      <c r="ET22" s="1">
        <f t="shared" si="23"/>
        <v>0</v>
      </c>
      <c r="EU22" s="1">
        <f t="shared" si="23"/>
        <v>0</v>
      </c>
      <c r="EV22" s="1">
        <f t="shared" si="23"/>
        <v>0</v>
      </c>
      <c r="EW22" s="1">
        <f t="shared" si="23"/>
        <v>0</v>
      </c>
      <c r="EX22" s="1">
        <f t="shared" si="23"/>
        <v>0</v>
      </c>
      <c r="EY22" s="1">
        <f t="shared" si="23"/>
        <v>0</v>
      </c>
      <c r="EZ22" s="1">
        <f t="shared" si="23"/>
        <v>4000000</v>
      </c>
      <c r="FA22" s="1">
        <f t="shared" si="23"/>
        <v>0</v>
      </c>
      <c r="FB22" s="1">
        <f t="shared" si="23"/>
        <v>0</v>
      </c>
      <c r="FC22" s="1">
        <f t="shared" si="23"/>
        <v>0</v>
      </c>
      <c r="FD22" s="1">
        <f t="shared" si="23"/>
        <v>0</v>
      </c>
      <c r="FE22" s="1">
        <f t="shared" si="23"/>
        <v>0</v>
      </c>
      <c r="FF22" s="1">
        <f t="shared" si="23"/>
        <v>0</v>
      </c>
      <c r="FG22" s="1">
        <f t="shared" si="23"/>
        <v>0</v>
      </c>
      <c r="FH22" s="1">
        <f t="shared" si="23"/>
        <v>8000000</v>
      </c>
      <c r="FI22" s="1">
        <f t="shared" si="23"/>
        <v>0</v>
      </c>
      <c r="FJ22" s="1">
        <f t="shared" si="23"/>
        <v>0</v>
      </c>
      <c r="FK22" s="1">
        <f t="shared" si="23"/>
        <v>0</v>
      </c>
      <c r="FL22" s="1">
        <f t="shared" si="23"/>
        <v>0</v>
      </c>
      <c r="FM22" s="1">
        <f t="shared" si="23"/>
        <v>0</v>
      </c>
      <c r="FN22" s="1">
        <f t="shared" si="23"/>
        <v>0</v>
      </c>
      <c r="FO22" s="1">
        <f t="shared" si="23"/>
        <v>0</v>
      </c>
      <c r="FP22" s="1">
        <f t="shared" si="23"/>
        <v>0</v>
      </c>
      <c r="FQ22" s="1">
        <f t="shared" si="23"/>
        <v>0</v>
      </c>
      <c r="FR22" s="1">
        <f t="shared" si="23"/>
        <v>0</v>
      </c>
      <c r="FS22" s="1">
        <f t="shared" si="23"/>
        <v>0</v>
      </c>
      <c r="FT22" s="1">
        <f t="shared" si="23"/>
        <v>0</v>
      </c>
      <c r="FU22" s="1">
        <f t="shared" si="23"/>
        <v>0</v>
      </c>
      <c r="FV22" s="1">
        <f t="shared" si="23"/>
        <v>0</v>
      </c>
      <c r="FW22" s="1">
        <f t="shared" si="23"/>
        <v>0</v>
      </c>
      <c r="FX22" s="1">
        <f t="shared" si="23"/>
        <v>0</v>
      </c>
      <c r="FY22" s="1">
        <f t="shared" si="23"/>
        <v>0</v>
      </c>
      <c r="FZ22" s="1">
        <f t="shared" si="23"/>
        <v>0</v>
      </c>
      <c r="GA22" s="1">
        <f t="shared" si="23"/>
        <v>8000000</v>
      </c>
      <c r="GB22" s="1">
        <f t="shared" si="23"/>
        <v>0</v>
      </c>
      <c r="GC22" s="1">
        <f t="shared" si="23"/>
        <v>0</v>
      </c>
      <c r="GD22" s="1">
        <f t="shared" si="23"/>
        <v>8800000</v>
      </c>
      <c r="GE22" s="1">
        <f t="shared" si="23"/>
        <v>0</v>
      </c>
      <c r="GF22" s="1">
        <f t="shared" si="23"/>
        <v>0</v>
      </c>
      <c r="GG22" s="1">
        <f t="shared" si="23"/>
        <v>20455808</v>
      </c>
      <c r="GH22" s="1">
        <f t="shared" si="23"/>
        <v>0</v>
      </c>
      <c r="GI22" s="1">
        <f t="shared" si="23"/>
        <v>0</v>
      </c>
      <c r="GJ22" s="1">
        <f t="shared" si="23"/>
        <v>0</v>
      </c>
      <c r="GK22" s="1">
        <f t="shared" si="23"/>
        <v>0</v>
      </c>
      <c r="GL22" s="1">
        <f t="shared" si="23"/>
        <v>0</v>
      </c>
      <c r="GM22" s="1">
        <f t="shared" si="23"/>
        <v>0</v>
      </c>
      <c r="GN22" s="1">
        <f t="shared" si="23"/>
        <v>0</v>
      </c>
      <c r="GO22" s="1">
        <f t="shared" ref="GO22:IH22" si="24">IF(GO17&lt;&gt;GN17,GO17-GN17,0)</f>
        <v>0</v>
      </c>
      <c r="GP22" s="1">
        <f t="shared" si="24"/>
        <v>0</v>
      </c>
      <c r="GQ22" s="1">
        <f t="shared" si="24"/>
        <v>0</v>
      </c>
      <c r="GR22" s="1">
        <f t="shared" si="24"/>
        <v>0</v>
      </c>
      <c r="GS22" s="1">
        <f t="shared" si="24"/>
        <v>0</v>
      </c>
      <c r="GT22" s="1">
        <f t="shared" si="24"/>
        <v>0</v>
      </c>
      <c r="GU22" s="1">
        <f t="shared" si="24"/>
        <v>0</v>
      </c>
      <c r="GV22" s="1">
        <f t="shared" si="24"/>
        <v>0</v>
      </c>
      <c r="GW22" s="1">
        <f t="shared" si="24"/>
        <v>0</v>
      </c>
      <c r="GX22" s="1">
        <f t="shared" si="24"/>
        <v>0</v>
      </c>
      <c r="GY22" s="1">
        <f t="shared" si="24"/>
        <v>0</v>
      </c>
      <c r="GZ22" s="1">
        <f t="shared" si="24"/>
        <v>0</v>
      </c>
      <c r="HA22" s="1">
        <f t="shared" si="24"/>
        <v>0</v>
      </c>
      <c r="HB22" s="1">
        <f t="shared" si="24"/>
        <v>0</v>
      </c>
      <c r="HC22" s="1">
        <f t="shared" si="24"/>
        <v>0</v>
      </c>
      <c r="HD22" s="1">
        <f t="shared" si="24"/>
        <v>0</v>
      </c>
      <c r="HE22" s="1">
        <f t="shared" si="24"/>
        <v>0</v>
      </c>
      <c r="HF22" s="1">
        <f t="shared" si="24"/>
        <v>0</v>
      </c>
      <c r="HG22" s="1">
        <f t="shared" si="24"/>
        <v>0</v>
      </c>
      <c r="HH22" s="1">
        <f t="shared" si="24"/>
        <v>0</v>
      </c>
      <c r="HI22" s="1">
        <f t="shared" si="24"/>
        <v>0</v>
      </c>
      <c r="HJ22" s="1">
        <f t="shared" si="24"/>
        <v>0</v>
      </c>
      <c r="HK22" s="1">
        <f t="shared" si="24"/>
        <v>0</v>
      </c>
      <c r="HL22" s="1">
        <f t="shared" si="24"/>
        <v>0</v>
      </c>
      <c r="HM22" s="1">
        <f t="shared" si="24"/>
        <v>0</v>
      </c>
      <c r="HN22" s="1">
        <f t="shared" si="24"/>
        <v>0</v>
      </c>
      <c r="HO22" s="1">
        <f t="shared" si="24"/>
        <v>0</v>
      </c>
      <c r="HP22" s="1">
        <f t="shared" si="24"/>
        <v>0</v>
      </c>
      <c r="HQ22" s="1">
        <f t="shared" si="24"/>
        <v>0</v>
      </c>
      <c r="HR22" s="1">
        <f t="shared" si="24"/>
        <v>0</v>
      </c>
      <c r="HS22" s="1">
        <f t="shared" si="24"/>
        <v>0</v>
      </c>
      <c r="HT22" s="1">
        <f t="shared" si="24"/>
        <v>0</v>
      </c>
      <c r="HU22" s="1">
        <f t="shared" si="24"/>
        <v>0</v>
      </c>
      <c r="HV22" s="1">
        <f t="shared" si="24"/>
        <v>0</v>
      </c>
      <c r="HW22" s="1">
        <f t="shared" si="24"/>
        <v>0</v>
      </c>
      <c r="HX22" s="1">
        <f t="shared" si="24"/>
        <v>0</v>
      </c>
      <c r="HY22" s="1">
        <f t="shared" si="24"/>
        <v>0</v>
      </c>
      <c r="HZ22" s="1">
        <f t="shared" si="24"/>
        <v>0</v>
      </c>
      <c r="IA22" s="1">
        <f t="shared" si="24"/>
        <v>0</v>
      </c>
      <c r="IB22" s="1">
        <f t="shared" si="24"/>
        <v>0</v>
      </c>
      <c r="IC22" s="1">
        <f t="shared" si="24"/>
        <v>0</v>
      </c>
      <c r="ID22" s="1">
        <f t="shared" si="24"/>
        <v>0</v>
      </c>
      <c r="IE22" s="1">
        <f t="shared" si="24"/>
        <v>0</v>
      </c>
      <c r="IF22" s="1">
        <f t="shared" si="24"/>
        <v>0</v>
      </c>
      <c r="IG22" s="1">
        <f t="shared" si="24"/>
        <v>0</v>
      </c>
      <c r="IH22" s="1">
        <f t="shared" si="24"/>
        <v>0</v>
      </c>
    </row>
    <row r="23" spans="1:242" x14ac:dyDescent="0.45">
      <c r="A23" t="s">
        <v>435</v>
      </c>
      <c r="DS23" s="63"/>
    </row>
    <row r="25" spans="1:242" x14ac:dyDescent="0.45">
      <c r="B25" t="str">
        <f ca="1">ADDRESS(9,3+(CELL("contents",B$27)-CELL("contents",$B$27))*12)</f>
        <v>$C$9</v>
      </c>
      <c r="C25" t="str">
        <f ca="1">ADDRESS(9,3+11+(CELL("contents",B$27)-CELL("contents",$B$27))*12)</f>
        <v>$N$9</v>
      </c>
    </row>
    <row r="27" spans="1:242" x14ac:dyDescent="0.45">
      <c r="B27">
        <v>2015</v>
      </c>
      <c r="C27">
        <v>2016</v>
      </c>
      <c r="D27">
        <v>2017</v>
      </c>
      <c r="E27">
        <v>2018</v>
      </c>
      <c r="F27">
        <v>2019</v>
      </c>
      <c r="G27">
        <v>2020</v>
      </c>
      <c r="H27">
        <v>2021</v>
      </c>
      <c r="I27">
        <v>2022</v>
      </c>
      <c r="J27">
        <v>2023</v>
      </c>
      <c r="K27">
        <v>2024</v>
      </c>
      <c r="L27">
        <v>2025</v>
      </c>
      <c r="M27">
        <v>2026</v>
      </c>
      <c r="N27">
        <v>2027</v>
      </c>
      <c r="O27">
        <v>2028</v>
      </c>
      <c r="P27">
        <v>2029</v>
      </c>
      <c r="Q27">
        <v>2030</v>
      </c>
      <c r="R27">
        <v>2031</v>
      </c>
      <c r="S27">
        <v>2032</v>
      </c>
      <c r="T27">
        <v>2033</v>
      </c>
      <c r="U27">
        <v>2034</v>
      </c>
    </row>
    <row r="28" spans="1:242" x14ac:dyDescent="0.45">
      <c r="A28" t="str">
        <f>A9</f>
        <v>Cooling Units</v>
      </c>
      <c r="B28" s="63">
        <f ca="1">SUM(INDIRECT(ADDRESS(CELL("row",$A9),3+(CELL("contents",B$27)-CELL("contents",$B$27))*12)&amp;":"&amp;ADDRESS(CELL("row",$A9),3+11+(CELL("contents",B$27)-CELL("contents",$B$27))*12)))</f>
        <v>0</v>
      </c>
      <c r="C28" s="63">
        <f t="shared" ref="C28:U28" ca="1" si="25">SUM(INDIRECT(ADDRESS(CELL("row",$A9),3+(CELL("contents",C$27)-CELL("contents",$B$27))*12)&amp;":"&amp;ADDRESS(CELL("row",$A9),3+11+(CELL("contents",C$27)-CELL("contents",$B$27))*12)))</f>
        <v>0</v>
      </c>
      <c r="D28" s="63">
        <f t="shared" ca="1" si="25"/>
        <v>0</v>
      </c>
      <c r="E28" s="63">
        <f t="shared" ca="1" si="25"/>
        <v>0</v>
      </c>
      <c r="F28" s="63">
        <f t="shared" ca="1" si="25"/>
        <v>0</v>
      </c>
      <c r="G28" s="63">
        <f t="shared" ca="1" si="25"/>
        <v>0</v>
      </c>
      <c r="H28" s="63">
        <f t="shared" ca="1" si="25"/>
        <v>0</v>
      </c>
      <c r="I28" s="63">
        <f t="shared" ca="1" si="25"/>
        <v>0</v>
      </c>
      <c r="J28" s="63">
        <f t="shared" ca="1" si="25"/>
        <v>0</v>
      </c>
      <c r="K28" s="63">
        <f t="shared" ca="1" si="25"/>
        <v>0</v>
      </c>
      <c r="L28" s="63">
        <f t="shared" ca="1" si="25"/>
        <v>15000000</v>
      </c>
      <c r="M28" s="63">
        <f t="shared" ca="1" si="25"/>
        <v>15000000</v>
      </c>
      <c r="N28" s="63">
        <f t="shared" ca="1" si="25"/>
        <v>5000000</v>
      </c>
      <c r="O28" s="63">
        <f t="shared" ca="1" si="25"/>
        <v>10000000</v>
      </c>
      <c r="P28" s="63">
        <f t="shared" ca="1" si="25"/>
        <v>0</v>
      </c>
      <c r="Q28" s="63">
        <f t="shared" ca="1" si="25"/>
        <v>26569760</v>
      </c>
      <c r="R28" s="63">
        <f t="shared" ca="1" si="25"/>
        <v>0</v>
      </c>
      <c r="S28" s="63">
        <f t="shared" ca="1" si="25"/>
        <v>0</v>
      </c>
      <c r="T28" s="63">
        <f t="shared" ca="1" si="25"/>
        <v>0</v>
      </c>
      <c r="U28" s="63">
        <f t="shared" ca="1" si="25"/>
        <v>0</v>
      </c>
      <c r="V28" s="1">
        <f ca="1">SUM(B28:U28)</f>
        <v>71569760</v>
      </c>
    </row>
    <row r="29" spans="1:242" x14ac:dyDescent="0.45">
      <c r="A29" t="str">
        <f t="shared" ref="A29:A31" si="26">A10</f>
        <v>Firefighting Equipment</v>
      </c>
      <c r="B29" s="63">
        <f t="shared" ref="B29:U29" ca="1" si="27">SUM(INDIRECT(ADDRESS(CELL("row",$A10),3+(CELL("contents",B$27)-CELL("contents",$B$27))*12)&amp;":"&amp;ADDRESS(CELL("row",$A10),3+11+(CELL("contents",B$27)-CELL("contents",$B$27))*12)))</f>
        <v>0</v>
      </c>
      <c r="C29" s="63">
        <f t="shared" ca="1" si="27"/>
        <v>0</v>
      </c>
      <c r="D29" s="63">
        <f t="shared" ca="1" si="27"/>
        <v>0</v>
      </c>
      <c r="E29" s="63">
        <f t="shared" ca="1" si="27"/>
        <v>0</v>
      </c>
      <c r="F29" s="63">
        <f t="shared" ca="1" si="27"/>
        <v>0</v>
      </c>
      <c r="G29" s="63">
        <f t="shared" ca="1" si="27"/>
        <v>10000000</v>
      </c>
      <c r="H29" s="63">
        <f t="shared" ca="1" si="27"/>
        <v>0</v>
      </c>
      <c r="I29" s="63">
        <f t="shared" ca="1" si="27"/>
        <v>0</v>
      </c>
      <c r="J29" s="63">
        <f t="shared" ca="1" si="27"/>
        <v>0</v>
      </c>
      <c r="K29" s="63">
        <f t="shared" ca="1" si="27"/>
        <v>0</v>
      </c>
      <c r="L29" s="63">
        <f t="shared" ca="1" si="27"/>
        <v>10000000</v>
      </c>
      <c r="M29" s="63">
        <f t="shared" ca="1" si="27"/>
        <v>0</v>
      </c>
      <c r="N29" s="63">
        <f t="shared" ca="1" si="27"/>
        <v>0</v>
      </c>
      <c r="O29" s="63">
        <f t="shared" ca="1" si="27"/>
        <v>0</v>
      </c>
      <c r="P29" s="63">
        <f t="shared" ca="1" si="27"/>
        <v>0</v>
      </c>
      <c r="Q29" s="63">
        <f t="shared" ca="1" si="27"/>
        <v>10000000</v>
      </c>
      <c r="R29" s="63">
        <f t="shared" ca="1" si="27"/>
        <v>0</v>
      </c>
      <c r="S29" s="63">
        <f t="shared" ca="1" si="27"/>
        <v>0</v>
      </c>
      <c r="T29" s="63">
        <f t="shared" ca="1" si="27"/>
        <v>0</v>
      </c>
      <c r="U29" s="63">
        <f t="shared" ca="1" si="27"/>
        <v>0</v>
      </c>
      <c r="V29" s="1">
        <f t="shared" ref="V29:V31" ca="1" si="28">SUM(B29:U29)</f>
        <v>30000000</v>
      </c>
    </row>
    <row r="30" spans="1:242" x14ac:dyDescent="0.45">
      <c r="A30" t="str">
        <f t="shared" si="26"/>
        <v>Flooring and Dock Levelers</v>
      </c>
      <c r="B30" s="63">
        <f t="shared" ref="B30:U30" ca="1" si="29">SUM(INDIRECT(ADDRESS(CELL("row",$A11),3+(CELL("contents",B$27)-CELL("contents",$B$27))*12)&amp;":"&amp;ADDRESS(CELL("row",$A11),3+11+(CELL("contents",B$27)-CELL("contents",$B$27))*12)))</f>
        <v>0</v>
      </c>
      <c r="C30" s="63">
        <f t="shared" ca="1" si="29"/>
        <v>0</v>
      </c>
      <c r="D30" s="63">
        <f t="shared" ca="1" si="29"/>
        <v>0</v>
      </c>
      <c r="E30" s="63">
        <f t="shared" ca="1" si="29"/>
        <v>0</v>
      </c>
      <c r="F30" s="63">
        <f t="shared" ca="1" si="29"/>
        <v>0</v>
      </c>
      <c r="G30" s="63">
        <f t="shared" ca="1" si="29"/>
        <v>10000000</v>
      </c>
      <c r="H30" s="63">
        <f t="shared" ca="1" si="29"/>
        <v>0</v>
      </c>
      <c r="I30" s="63">
        <f t="shared" ca="1" si="29"/>
        <v>0</v>
      </c>
      <c r="J30" s="63">
        <f t="shared" ca="1" si="29"/>
        <v>0</v>
      </c>
      <c r="K30" s="63">
        <f t="shared" ca="1" si="29"/>
        <v>0</v>
      </c>
      <c r="L30" s="63">
        <f t="shared" ca="1" si="29"/>
        <v>10000000</v>
      </c>
      <c r="M30" s="63">
        <f t="shared" ca="1" si="29"/>
        <v>0</v>
      </c>
      <c r="N30" s="63">
        <f t="shared" ca="1" si="29"/>
        <v>0</v>
      </c>
      <c r="O30" s="63">
        <f t="shared" ca="1" si="29"/>
        <v>0</v>
      </c>
      <c r="P30" s="63">
        <f t="shared" ca="1" si="29"/>
        <v>0</v>
      </c>
      <c r="Q30" s="63">
        <f t="shared" ca="1" si="29"/>
        <v>10000000</v>
      </c>
      <c r="R30" s="63">
        <f t="shared" ca="1" si="29"/>
        <v>0</v>
      </c>
      <c r="S30" s="63">
        <f t="shared" ca="1" si="29"/>
        <v>0</v>
      </c>
      <c r="T30" s="63">
        <f t="shared" ca="1" si="29"/>
        <v>0</v>
      </c>
      <c r="U30" s="63">
        <f t="shared" ca="1" si="29"/>
        <v>0</v>
      </c>
      <c r="V30" s="1">
        <f t="shared" ca="1" si="28"/>
        <v>30000000</v>
      </c>
    </row>
    <row r="31" spans="1:242" x14ac:dyDescent="0.45">
      <c r="A31" t="str">
        <f t="shared" si="26"/>
        <v>Other</v>
      </c>
      <c r="B31" s="63">
        <f t="shared" ref="B31:U31" ca="1" si="30">SUM(INDIRECT(ADDRESS(CELL("row",$A12),3+(CELL("contents",B$27)-CELL("contents",$B$27))*12)&amp;":"&amp;ADDRESS(CELL("row",$A12),3+11+(CELL("contents",B$27)-CELL("contents",$B$27))*12)))</f>
        <v>0</v>
      </c>
      <c r="C31" s="63">
        <f t="shared" ca="1" si="30"/>
        <v>0</v>
      </c>
      <c r="D31" s="63">
        <f t="shared" ca="1" si="30"/>
        <v>0</v>
      </c>
      <c r="E31" s="63">
        <f t="shared" ca="1" si="30"/>
        <v>0</v>
      </c>
      <c r="F31" s="63">
        <f t="shared" ca="1" si="30"/>
        <v>0</v>
      </c>
      <c r="G31" s="63">
        <f t="shared" ca="1" si="30"/>
        <v>0</v>
      </c>
      <c r="H31" s="63">
        <f t="shared" ca="1" si="30"/>
        <v>0</v>
      </c>
      <c r="I31" s="63">
        <f t="shared" ca="1" si="30"/>
        <v>0</v>
      </c>
      <c r="J31" s="63">
        <f t="shared" ca="1" si="30"/>
        <v>0</v>
      </c>
      <c r="K31" s="63">
        <f t="shared" ca="1" si="30"/>
        <v>0</v>
      </c>
      <c r="L31" s="63">
        <f t="shared" ca="1" si="30"/>
        <v>0</v>
      </c>
      <c r="M31" s="63">
        <f t="shared" ca="1" si="30"/>
        <v>0</v>
      </c>
      <c r="N31" s="63">
        <f t="shared" ca="1" si="30"/>
        <v>0</v>
      </c>
      <c r="O31" s="63">
        <f t="shared" ca="1" si="30"/>
        <v>0</v>
      </c>
      <c r="P31" s="63">
        <f t="shared" ca="1" si="30"/>
        <v>0</v>
      </c>
      <c r="Q31" s="63">
        <f t="shared" ca="1" si="30"/>
        <v>0</v>
      </c>
      <c r="R31" s="63">
        <f t="shared" ca="1" si="30"/>
        <v>0</v>
      </c>
      <c r="S31" s="63">
        <f t="shared" ca="1" si="30"/>
        <v>0</v>
      </c>
      <c r="T31" s="63">
        <f t="shared" ca="1" si="30"/>
        <v>0</v>
      </c>
      <c r="U31" s="63">
        <f t="shared" ca="1" si="30"/>
        <v>0</v>
      </c>
      <c r="V31" s="1">
        <f t="shared" ca="1" si="28"/>
        <v>0</v>
      </c>
    </row>
  </sheetData>
  <mergeCells count="21">
    <mergeCell ref="A14:B14"/>
    <mergeCell ref="GA3:GL3"/>
    <mergeCell ref="GM3:GX3"/>
    <mergeCell ref="GY3:HJ3"/>
    <mergeCell ref="HK3:HV3"/>
    <mergeCell ref="HW3:IH3"/>
    <mergeCell ref="C3:N3"/>
    <mergeCell ref="O3:Z3"/>
    <mergeCell ref="AA3:AL3"/>
    <mergeCell ref="AM3:AX3"/>
    <mergeCell ref="AY3:BJ3"/>
    <mergeCell ref="EE3:EP3"/>
    <mergeCell ref="EQ3:FB3"/>
    <mergeCell ref="FC3:FN3"/>
    <mergeCell ref="FO3:FZ3"/>
    <mergeCell ref="BK3:BV3"/>
    <mergeCell ref="BW3:CH3"/>
    <mergeCell ref="CI3:CT3"/>
    <mergeCell ref="CU3:DF3"/>
    <mergeCell ref="DG3:DR3"/>
    <mergeCell ref="DS3:ED3"/>
  </mergeCells>
  <conditionalFormatting sqref="B10">
    <cfRule type="expression" dxfId="10" priority="16">
      <formula>$II$10/(($IH$5-CST_DEP_OTHER)/CST_DEP_OTHER)&lt;&gt;$B$10</formula>
    </cfRule>
  </conditionalFormatting>
  <conditionalFormatting sqref="B11">
    <cfRule type="expression" dxfId="9" priority="15">
      <formula>$II$11/(($IH$5-CST_DEP_OTHER)/CST_DEP_OTHER)&lt;&gt;$B$11</formula>
    </cfRule>
  </conditionalFormatting>
  <conditionalFormatting sqref="C8">
    <cfRule type="expression" dxfId="8" priority="14">
      <formula>$II$7&lt;&gt;1</formula>
    </cfRule>
  </conditionalFormatting>
  <conditionalFormatting sqref="D8:IH8">
    <cfRule type="expression" dxfId="7" priority="13">
      <formula>$II$7&lt;&gt;1</formula>
    </cfRule>
  </conditionalFormatting>
  <conditionalFormatting sqref="C17:C18">
    <cfRule type="expression" dxfId="6" priority="8">
      <formula>$II$7&lt;&gt;1</formula>
    </cfRule>
  </conditionalFormatting>
  <conditionalFormatting sqref="D17:IH18">
    <cfRule type="expression" dxfId="5" priority="2">
      <formula>$II$7&lt;&gt;1</formula>
    </cfRule>
  </conditionalFormatting>
  <conditionalFormatting sqref="B9">
    <cfRule type="expression" dxfId="4" priority="1">
      <formula>$B$9&lt;&gt;$II$9</formula>
    </cfRule>
  </conditionalFormatting>
  <pageMargins left="0.7" right="0.7" top="0.75" bottom="0.75" header="0.3" footer="0.3"/>
  <pageSetup paperSize="9" orientation="portrait"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6" tint="0.39997558519241921"/>
  </sheetPr>
  <dimension ref="A1:IK29"/>
  <sheetViews>
    <sheetView zoomScaleNormal="100" workbookViewId="0">
      <pane xSplit="2" ySplit="3" topLeftCell="C4" activePane="bottomRight" state="frozen"/>
      <selection activeCell="C22" sqref="C22"/>
      <selection pane="topRight" activeCell="C22" sqref="C22"/>
      <selection pane="bottomLeft" activeCell="C22" sqref="C22"/>
      <selection pane="bottomRight" activeCell="E9" sqref="E9"/>
    </sheetView>
  </sheetViews>
  <sheetFormatPr defaultRowHeight="14.25" x14ac:dyDescent="0.45"/>
  <cols>
    <col min="1" max="1" width="36.265625" customWidth="1"/>
    <col min="2" max="2" width="5" customWidth="1"/>
    <col min="3" max="3" width="15.265625" bestFit="1" customWidth="1"/>
    <col min="4" max="4" width="14.265625" customWidth="1"/>
    <col min="5" max="5" width="12.3984375" customWidth="1"/>
    <col min="6" max="6" width="14" bestFit="1" customWidth="1"/>
    <col min="7" max="7" width="14.265625" bestFit="1" customWidth="1"/>
    <col min="8" max="67" width="12.59765625" customWidth="1"/>
    <col min="68" max="68" width="15" bestFit="1" customWidth="1"/>
    <col min="69" max="239" width="12.59765625" customWidth="1"/>
    <col min="240" max="240" width="16.59765625" bestFit="1" customWidth="1"/>
    <col min="241" max="241" width="14.86328125" bestFit="1" customWidth="1"/>
    <col min="245" max="245" width="12.59765625" bestFit="1" customWidth="1"/>
  </cols>
  <sheetData>
    <row r="1" spans="1:245" ht="23.25" x14ac:dyDescent="0.7">
      <c r="A1" s="9" t="s">
        <v>441</v>
      </c>
      <c r="B1" s="9"/>
      <c r="C1" s="63"/>
      <c r="D1" s="63"/>
      <c r="E1" s="884">
        <v>2015</v>
      </c>
      <c r="F1" s="885"/>
      <c r="G1" s="885"/>
      <c r="H1" s="885"/>
      <c r="I1" s="885"/>
      <c r="J1" s="885"/>
      <c r="K1" s="885"/>
      <c r="L1" s="885"/>
      <c r="M1" s="885"/>
      <c r="N1" s="885"/>
      <c r="O1" s="885"/>
      <c r="P1" s="886"/>
      <c r="Q1" s="884">
        <v>2016</v>
      </c>
      <c r="R1" s="885"/>
      <c r="S1" s="885"/>
      <c r="T1" s="885"/>
      <c r="U1" s="885"/>
      <c r="V1" s="885"/>
      <c r="W1" s="885"/>
      <c r="X1" s="885"/>
      <c r="Y1" s="885"/>
      <c r="Z1" s="885"/>
      <c r="AA1" s="885"/>
      <c r="AB1" s="886"/>
      <c r="AC1" s="884">
        <v>2017</v>
      </c>
      <c r="AD1" s="885"/>
      <c r="AE1" s="885"/>
      <c r="AF1" s="885"/>
      <c r="AG1" s="885"/>
      <c r="AH1" s="885"/>
      <c r="AI1" s="885"/>
      <c r="AJ1" s="885"/>
      <c r="AK1" s="885"/>
      <c r="AL1" s="885"/>
      <c r="AM1" s="885"/>
      <c r="AN1" s="886"/>
      <c r="AO1" s="884">
        <v>2018</v>
      </c>
      <c r="AP1" s="885"/>
      <c r="AQ1" s="885"/>
      <c r="AR1" s="885"/>
      <c r="AS1" s="885"/>
      <c r="AT1" s="885"/>
      <c r="AU1" s="885"/>
      <c r="AV1" s="885"/>
      <c r="AW1" s="885"/>
      <c r="AX1" s="885"/>
      <c r="AY1" s="885"/>
      <c r="AZ1" s="886"/>
      <c r="BA1" s="884">
        <v>2019</v>
      </c>
      <c r="BB1" s="885"/>
      <c r="BC1" s="885"/>
      <c r="BD1" s="885"/>
      <c r="BE1" s="885"/>
      <c r="BF1" s="885"/>
      <c r="BG1" s="885"/>
      <c r="BH1" s="885"/>
      <c r="BI1" s="885"/>
      <c r="BJ1" s="885"/>
      <c r="BK1" s="885"/>
      <c r="BL1" s="886"/>
      <c r="BM1" s="884">
        <v>2020</v>
      </c>
      <c r="BN1" s="885"/>
      <c r="BO1" s="885"/>
      <c r="BP1" s="885"/>
      <c r="BQ1" s="885"/>
      <c r="BR1" s="885"/>
      <c r="BS1" s="885"/>
      <c r="BT1" s="885"/>
      <c r="BU1" s="885"/>
      <c r="BV1" s="885"/>
      <c r="BW1" s="885"/>
      <c r="BX1" s="886"/>
      <c r="BY1" s="884">
        <v>2021</v>
      </c>
      <c r="BZ1" s="885"/>
      <c r="CA1" s="885"/>
      <c r="CB1" s="885"/>
      <c r="CC1" s="885"/>
      <c r="CD1" s="885"/>
      <c r="CE1" s="885"/>
      <c r="CF1" s="885"/>
      <c r="CG1" s="885"/>
      <c r="CH1" s="885"/>
      <c r="CI1" s="885"/>
      <c r="CJ1" s="886"/>
      <c r="CK1" s="884">
        <v>2022</v>
      </c>
      <c r="CL1" s="885"/>
      <c r="CM1" s="885"/>
      <c r="CN1" s="885"/>
      <c r="CO1" s="885"/>
      <c r="CP1" s="885"/>
      <c r="CQ1" s="885"/>
      <c r="CR1" s="885"/>
      <c r="CS1" s="885"/>
      <c r="CT1" s="885"/>
      <c r="CU1" s="885"/>
      <c r="CV1" s="886"/>
      <c r="CW1" s="884">
        <v>2023</v>
      </c>
      <c r="CX1" s="885"/>
      <c r="CY1" s="885"/>
      <c r="CZ1" s="885"/>
      <c r="DA1" s="885"/>
      <c r="DB1" s="885"/>
      <c r="DC1" s="885"/>
      <c r="DD1" s="885"/>
      <c r="DE1" s="885"/>
      <c r="DF1" s="885"/>
      <c r="DG1" s="885"/>
      <c r="DH1" s="886"/>
      <c r="DI1" s="884">
        <v>2024</v>
      </c>
      <c r="DJ1" s="885"/>
      <c r="DK1" s="885"/>
      <c r="DL1" s="885"/>
      <c r="DM1" s="885"/>
      <c r="DN1" s="885"/>
      <c r="DO1" s="885"/>
      <c r="DP1" s="885"/>
      <c r="DQ1" s="885"/>
      <c r="DR1" s="885"/>
      <c r="DS1" s="885"/>
      <c r="DT1" s="886"/>
      <c r="DU1" s="884">
        <v>2025</v>
      </c>
      <c r="DV1" s="885"/>
      <c r="DW1" s="885"/>
      <c r="DX1" s="885"/>
      <c r="DY1" s="885"/>
      <c r="DZ1" s="885"/>
      <c r="EA1" s="885"/>
      <c r="EB1" s="885"/>
      <c r="EC1" s="885"/>
      <c r="ED1" s="885"/>
      <c r="EE1" s="885"/>
      <c r="EF1" s="886"/>
      <c r="EG1" s="884">
        <v>2026</v>
      </c>
      <c r="EH1" s="885"/>
      <c r="EI1" s="885"/>
      <c r="EJ1" s="885"/>
      <c r="EK1" s="885"/>
      <c r="EL1" s="885"/>
      <c r="EM1" s="885"/>
      <c r="EN1" s="885"/>
      <c r="EO1" s="885"/>
      <c r="EP1" s="885"/>
      <c r="EQ1" s="885"/>
      <c r="ER1" s="886"/>
      <c r="ES1" s="884">
        <v>2027</v>
      </c>
      <c r="ET1" s="885"/>
      <c r="EU1" s="885"/>
      <c r="EV1" s="885"/>
      <c r="EW1" s="885"/>
      <c r="EX1" s="885"/>
      <c r="EY1" s="885"/>
      <c r="EZ1" s="885"/>
      <c r="FA1" s="885"/>
      <c r="FB1" s="885"/>
      <c r="FC1" s="885"/>
      <c r="FD1" s="886"/>
      <c r="FE1" s="884">
        <v>2028</v>
      </c>
      <c r="FF1" s="885"/>
      <c r="FG1" s="885"/>
      <c r="FH1" s="885"/>
      <c r="FI1" s="885"/>
      <c r="FJ1" s="885"/>
      <c r="FK1" s="885"/>
      <c r="FL1" s="885"/>
      <c r="FM1" s="885"/>
      <c r="FN1" s="885"/>
      <c r="FO1" s="885"/>
      <c r="FP1" s="886"/>
      <c r="FQ1" s="884">
        <v>2029</v>
      </c>
      <c r="FR1" s="885"/>
      <c r="FS1" s="885"/>
      <c r="FT1" s="885"/>
      <c r="FU1" s="885"/>
      <c r="FV1" s="885"/>
      <c r="FW1" s="885"/>
      <c r="FX1" s="885"/>
      <c r="FY1" s="885"/>
      <c r="FZ1" s="885"/>
      <c r="GA1" s="885"/>
      <c r="GB1" s="886"/>
      <c r="GC1" s="884">
        <v>2030</v>
      </c>
      <c r="GD1" s="885"/>
      <c r="GE1" s="885"/>
      <c r="GF1" s="885"/>
      <c r="GG1" s="885"/>
      <c r="GH1" s="885"/>
      <c r="GI1" s="885"/>
      <c r="GJ1" s="885"/>
      <c r="GK1" s="885"/>
      <c r="GL1" s="885"/>
      <c r="GM1" s="885"/>
      <c r="GN1" s="886"/>
      <c r="GO1" s="884">
        <v>2031</v>
      </c>
      <c r="GP1" s="885"/>
      <c r="GQ1" s="885"/>
      <c r="GR1" s="885"/>
      <c r="GS1" s="885"/>
      <c r="GT1" s="885"/>
      <c r="GU1" s="885"/>
      <c r="GV1" s="885"/>
      <c r="GW1" s="885"/>
      <c r="GX1" s="885"/>
      <c r="GY1" s="885"/>
      <c r="GZ1" s="886"/>
      <c r="HA1" s="884">
        <v>2032</v>
      </c>
      <c r="HB1" s="885"/>
      <c r="HC1" s="885"/>
      <c r="HD1" s="885"/>
      <c r="HE1" s="885"/>
      <c r="HF1" s="885"/>
      <c r="HG1" s="885"/>
      <c r="HH1" s="885"/>
      <c r="HI1" s="885"/>
      <c r="HJ1" s="885"/>
      <c r="HK1" s="885"/>
      <c r="HL1" s="886"/>
      <c r="HM1" s="884">
        <v>2033</v>
      </c>
      <c r="HN1" s="885"/>
      <c r="HO1" s="885"/>
      <c r="HP1" s="885"/>
      <c r="HQ1" s="885"/>
      <c r="HR1" s="885"/>
      <c r="HS1" s="885"/>
      <c r="HT1" s="885"/>
      <c r="HU1" s="885"/>
      <c r="HV1" s="885"/>
      <c r="HW1" s="885"/>
      <c r="HX1" s="886"/>
      <c r="HY1" s="884">
        <v>2034</v>
      </c>
      <c r="HZ1" s="885"/>
      <c r="IA1" s="885"/>
      <c r="IB1" s="885"/>
      <c r="IC1" s="885"/>
      <c r="ID1" s="885"/>
      <c r="IE1" s="885"/>
      <c r="IF1" s="885"/>
      <c r="IG1" s="885"/>
      <c r="IH1" s="885"/>
      <c r="II1" s="885"/>
      <c r="IJ1" s="886"/>
    </row>
    <row r="2" spans="1:245" x14ac:dyDescent="0.45">
      <c r="E2" s="47">
        <v>1</v>
      </c>
      <c r="F2" s="47">
        <v>2</v>
      </c>
      <c r="G2" s="47">
        <v>3</v>
      </c>
      <c r="H2" s="47">
        <v>4</v>
      </c>
      <c r="I2" s="47">
        <v>5</v>
      </c>
      <c r="J2" s="47">
        <v>6</v>
      </c>
      <c r="K2" s="47">
        <v>7</v>
      </c>
      <c r="L2" s="47">
        <v>8</v>
      </c>
      <c r="M2" s="47">
        <v>9</v>
      </c>
      <c r="N2" s="47">
        <v>10</v>
      </c>
      <c r="O2" s="47">
        <v>11</v>
      </c>
      <c r="P2" s="47">
        <v>12</v>
      </c>
      <c r="Q2" s="21">
        <v>1</v>
      </c>
      <c r="R2" s="21">
        <v>2</v>
      </c>
      <c r="S2" s="21">
        <v>3</v>
      </c>
      <c r="T2" s="21">
        <v>4</v>
      </c>
      <c r="U2" s="21">
        <v>5</v>
      </c>
      <c r="V2" s="21">
        <v>6</v>
      </c>
      <c r="W2" s="21">
        <v>7</v>
      </c>
      <c r="X2" s="21">
        <v>8</v>
      </c>
      <c r="Y2" s="21">
        <v>9</v>
      </c>
      <c r="Z2" s="21">
        <v>10</v>
      </c>
      <c r="AA2" s="21">
        <v>11</v>
      </c>
      <c r="AB2" s="21">
        <v>12</v>
      </c>
      <c r="AC2" s="21">
        <v>1</v>
      </c>
      <c r="AD2" s="21">
        <v>2</v>
      </c>
      <c r="AE2" s="21">
        <v>3</v>
      </c>
      <c r="AF2" s="21">
        <v>4</v>
      </c>
      <c r="AG2" s="21">
        <v>5</v>
      </c>
      <c r="AH2" s="21">
        <v>6</v>
      </c>
      <c r="AI2" s="21">
        <v>7</v>
      </c>
      <c r="AJ2" s="21">
        <v>8</v>
      </c>
      <c r="AK2" s="21">
        <v>9</v>
      </c>
      <c r="AL2" s="21">
        <v>10</v>
      </c>
      <c r="AM2" s="21">
        <v>11</v>
      </c>
      <c r="AN2" s="21">
        <v>12</v>
      </c>
      <c r="AO2" s="21">
        <v>1</v>
      </c>
      <c r="AP2" s="21">
        <v>2</v>
      </c>
      <c r="AQ2" s="21">
        <v>3</v>
      </c>
      <c r="AR2" s="21">
        <v>4</v>
      </c>
      <c r="AS2" s="21">
        <v>5</v>
      </c>
      <c r="AT2" s="21">
        <v>6</v>
      </c>
      <c r="AU2" s="21">
        <v>7</v>
      </c>
      <c r="AV2" s="21">
        <v>8</v>
      </c>
      <c r="AW2" s="21">
        <v>9</v>
      </c>
      <c r="AX2" s="21">
        <v>10</v>
      </c>
      <c r="AY2" s="21">
        <v>11</v>
      </c>
      <c r="AZ2" s="21">
        <v>12</v>
      </c>
      <c r="BA2" s="21">
        <v>1</v>
      </c>
      <c r="BB2" s="21">
        <v>2</v>
      </c>
      <c r="BC2" s="21">
        <v>3</v>
      </c>
      <c r="BD2" s="21">
        <v>4</v>
      </c>
      <c r="BE2" s="21">
        <v>5</v>
      </c>
      <c r="BF2" s="21">
        <v>6</v>
      </c>
      <c r="BG2" s="21">
        <v>7</v>
      </c>
      <c r="BH2" s="21">
        <v>8</v>
      </c>
      <c r="BI2" s="21">
        <v>9</v>
      </c>
      <c r="BJ2" s="21">
        <v>10</v>
      </c>
      <c r="BK2" s="21">
        <v>11</v>
      </c>
      <c r="BL2" s="21">
        <v>12</v>
      </c>
      <c r="BM2" s="21">
        <v>1</v>
      </c>
      <c r="BN2" s="21">
        <v>2</v>
      </c>
      <c r="BO2" s="21">
        <v>3</v>
      </c>
      <c r="BP2" s="21">
        <v>4</v>
      </c>
      <c r="BQ2" s="21">
        <v>5</v>
      </c>
      <c r="BR2" s="21">
        <v>6</v>
      </c>
      <c r="BS2" s="21">
        <v>7</v>
      </c>
      <c r="BT2" s="21">
        <v>8</v>
      </c>
      <c r="BU2" s="21">
        <v>9</v>
      </c>
      <c r="BV2" s="21">
        <v>10</v>
      </c>
      <c r="BW2" s="21">
        <v>11</v>
      </c>
      <c r="BX2" s="21">
        <v>12</v>
      </c>
      <c r="BY2" s="21">
        <v>1</v>
      </c>
      <c r="BZ2" s="21">
        <v>2</v>
      </c>
      <c r="CA2" s="21">
        <v>3</v>
      </c>
      <c r="CB2" s="21">
        <v>4</v>
      </c>
      <c r="CC2" s="21">
        <v>5</v>
      </c>
      <c r="CD2" s="21">
        <v>6</v>
      </c>
      <c r="CE2" s="21">
        <v>7</v>
      </c>
      <c r="CF2" s="21">
        <v>8</v>
      </c>
      <c r="CG2" s="21">
        <v>9</v>
      </c>
      <c r="CH2" s="21">
        <v>10</v>
      </c>
      <c r="CI2" s="21">
        <v>11</v>
      </c>
      <c r="CJ2" s="21">
        <v>12</v>
      </c>
      <c r="CK2" s="21">
        <v>1</v>
      </c>
      <c r="CL2" s="21">
        <v>2</v>
      </c>
      <c r="CM2" s="21">
        <v>3</v>
      </c>
      <c r="CN2" s="21">
        <v>4</v>
      </c>
      <c r="CO2" s="21">
        <v>5</v>
      </c>
      <c r="CP2" s="21">
        <v>6</v>
      </c>
      <c r="CQ2" s="21">
        <v>7</v>
      </c>
      <c r="CR2" s="21">
        <v>8</v>
      </c>
      <c r="CS2" s="21">
        <v>9</v>
      </c>
      <c r="CT2" s="21">
        <v>10</v>
      </c>
      <c r="CU2" s="21">
        <v>11</v>
      </c>
      <c r="CV2" s="21">
        <v>12</v>
      </c>
      <c r="CW2" s="21">
        <v>1</v>
      </c>
      <c r="CX2" s="21">
        <v>2</v>
      </c>
      <c r="CY2" s="21">
        <v>3</v>
      </c>
      <c r="CZ2" s="21">
        <v>4</v>
      </c>
      <c r="DA2" s="21">
        <v>5</v>
      </c>
      <c r="DB2" s="21">
        <v>6</v>
      </c>
      <c r="DC2" s="21">
        <v>7</v>
      </c>
      <c r="DD2" s="21">
        <v>8</v>
      </c>
      <c r="DE2" s="21">
        <v>9</v>
      </c>
      <c r="DF2" s="21">
        <v>10</v>
      </c>
      <c r="DG2" s="21">
        <v>11</v>
      </c>
      <c r="DH2" s="21">
        <v>12</v>
      </c>
      <c r="DI2" s="21">
        <v>1</v>
      </c>
      <c r="DJ2" s="21">
        <v>2</v>
      </c>
      <c r="DK2" s="21">
        <v>3</v>
      </c>
      <c r="DL2" s="21">
        <v>4</v>
      </c>
      <c r="DM2" s="21">
        <v>5</v>
      </c>
      <c r="DN2" s="21">
        <v>6</v>
      </c>
      <c r="DO2" s="21">
        <v>7</v>
      </c>
      <c r="DP2" s="21">
        <v>8</v>
      </c>
      <c r="DQ2" s="21">
        <v>9</v>
      </c>
      <c r="DR2" s="21">
        <v>10</v>
      </c>
      <c r="DS2" s="21">
        <v>11</v>
      </c>
      <c r="DT2" s="21">
        <v>12</v>
      </c>
      <c r="DU2" s="21">
        <v>1</v>
      </c>
      <c r="DV2" s="21">
        <v>2</v>
      </c>
      <c r="DW2" s="21">
        <v>3</v>
      </c>
      <c r="DX2" s="21">
        <v>4</v>
      </c>
      <c r="DY2" s="21">
        <v>5</v>
      </c>
      <c r="DZ2" s="21">
        <v>6</v>
      </c>
      <c r="EA2" s="21">
        <v>7</v>
      </c>
      <c r="EB2" s="21">
        <v>8</v>
      </c>
      <c r="EC2" s="21">
        <v>9</v>
      </c>
      <c r="ED2" s="21">
        <v>10</v>
      </c>
      <c r="EE2" s="21">
        <v>11</v>
      </c>
      <c r="EF2" s="21">
        <v>12</v>
      </c>
      <c r="EG2" s="21">
        <v>1</v>
      </c>
      <c r="EH2" s="21">
        <v>2</v>
      </c>
      <c r="EI2" s="21">
        <v>3</v>
      </c>
      <c r="EJ2" s="21">
        <v>4</v>
      </c>
      <c r="EK2" s="21">
        <v>5</v>
      </c>
      <c r="EL2" s="21">
        <v>6</v>
      </c>
      <c r="EM2" s="21">
        <v>7</v>
      </c>
      <c r="EN2" s="21">
        <v>8</v>
      </c>
      <c r="EO2" s="21">
        <v>9</v>
      </c>
      <c r="EP2" s="21">
        <v>10</v>
      </c>
      <c r="EQ2" s="21">
        <v>11</v>
      </c>
      <c r="ER2" s="21">
        <v>12</v>
      </c>
      <c r="ES2" s="21">
        <v>1</v>
      </c>
      <c r="ET2" s="21">
        <v>2</v>
      </c>
      <c r="EU2" s="21">
        <v>3</v>
      </c>
      <c r="EV2" s="21">
        <v>4</v>
      </c>
      <c r="EW2" s="21">
        <v>5</v>
      </c>
      <c r="EX2" s="21">
        <v>6</v>
      </c>
      <c r="EY2" s="21">
        <v>7</v>
      </c>
      <c r="EZ2" s="21">
        <v>8</v>
      </c>
      <c r="FA2" s="21">
        <v>9</v>
      </c>
      <c r="FB2" s="21">
        <v>10</v>
      </c>
      <c r="FC2" s="21">
        <v>11</v>
      </c>
      <c r="FD2" s="21">
        <v>12</v>
      </c>
      <c r="FE2" s="21">
        <v>1</v>
      </c>
      <c r="FF2" s="21">
        <v>2</v>
      </c>
      <c r="FG2" s="21">
        <v>3</v>
      </c>
      <c r="FH2" s="21">
        <v>4</v>
      </c>
      <c r="FI2" s="21">
        <v>5</v>
      </c>
      <c r="FJ2" s="21">
        <v>6</v>
      </c>
      <c r="FK2" s="21">
        <v>7</v>
      </c>
      <c r="FL2" s="21">
        <v>8</v>
      </c>
      <c r="FM2" s="21">
        <v>9</v>
      </c>
      <c r="FN2" s="21">
        <v>10</v>
      </c>
      <c r="FO2" s="21">
        <v>11</v>
      </c>
      <c r="FP2" s="21">
        <v>12</v>
      </c>
      <c r="FQ2" s="21">
        <v>1</v>
      </c>
      <c r="FR2" s="21">
        <v>2</v>
      </c>
      <c r="FS2" s="21">
        <v>3</v>
      </c>
      <c r="FT2" s="21">
        <v>4</v>
      </c>
      <c r="FU2" s="21">
        <v>5</v>
      </c>
      <c r="FV2" s="21">
        <v>6</v>
      </c>
      <c r="FW2" s="21">
        <v>7</v>
      </c>
      <c r="FX2" s="21">
        <v>8</v>
      </c>
      <c r="FY2" s="21">
        <v>9</v>
      </c>
      <c r="FZ2" s="21">
        <v>10</v>
      </c>
      <c r="GA2" s="21">
        <v>11</v>
      </c>
      <c r="GB2" s="21">
        <v>12</v>
      </c>
      <c r="GC2" s="21">
        <v>1</v>
      </c>
      <c r="GD2" s="21">
        <v>2</v>
      </c>
      <c r="GE2" s="21">
        <v>3</v>
      </c>
      <c r="GF2" s="21">
        <v>4</v>
      </c>
      <c r="GG2" s="21">
        <v>5</v>
      </c>
      <c r="GH2" s="21">
        <v>6</v>
      </c>
      <c r="GI2" s="21">
        <v>7</v>
      </c>
      <c r="GJ2" s="21">
        <v>8</v>
      </c>
      <c r="GK2" s="21">
        <v>9</v>
      </c>
      <c r="GL2" s="21">
        <v>10</v>
      </c>
      <c r="GM2" s="21">
        <v>11</v>
      </c>
      <c r="GN2" s="21">
        <v>12</v>
      </c>
      <c r="GO2" s="21">
        <v>1</v>
      </c>
      <c r="GP2" s="21">
        <v>2</v>
      </c>
      <c r="GQ2" s="21">
        <v>3</v>
      </c>
      <c r="GR2" s="21">
        <v>4</v>
      </c>
      <c r="GS2" s="21">
        <v>5</v>
      </c>
      <c r="GT2" s="21">
        <v>6</v>
      </c>
      <c r="GU2" s="21">
        <v>7</v>
      </c>
      <c r="GV2" s="21">
        <v>8</v>
      </c>
      <c r="GW2" s="21">
        <v>9</v>
      </c>
      <c r="GX2" s="21">
        <v>10</v>
      </c>
      <c r="GY2" s="21">
        <v>11</v>
      </c>
      <c r="GZ2" s="21">
        <v>12</v>
      </c>
      <c r="HA2" s="21">
        <v>1</v>
      </c>
      <c r="HB2" s="21">
        <v>2</v>
      </c>
      <c r="HC2" s="21">
        <v>3</v>
      </c>
      <c r="HD2" s="21">
        <v>4</v>
      </c>
      <c r="HE2" s="21">
        <v>5</v>
      </c>
      <c r="HF2" s="21">
        <v>6</v>
      </c>
      <c r="HG2" s="21">
        <v>7</v>
      </c>
      <c r="HH2" s="21">
        <v>8</v>
      </c>
      <c r="HI2" s="21">
        <v>9</v>
      </c>
      <c r="HJ2" s="21">
        <v>10</v>
      </c>
      <c r="HK2" s="21">
        <v>11</v>
      </c>
      <c r="HL2" s="21">
        <v>12</v>
      </c>
      <c r="HM2" s="21">
        <v>1</v>
      </c>
      <c r="HN2" s="21">
        <v>2</v>
      </c>
      <c r="HO2" s="21">
        <v>3</v>
      </c>
      <c r="HP2" s="21">
        <v>4</v>
      </c>
      <c r="HQ2" s="21">
        <v>5</v>
      </c>
      <c r="HR2" s="21">
        <v>6</v>
      </c>
      <c r="HS2" s="21">
        <v>7</v>
      </c>
      <c r="HT2" s="21">
        <v>8</v>
      </c>
      <c r="HU2" s="21">
        <v>9</v>
      </c>
      <c r="HV2" s="21">
        <v>10</v>
      </c>
      <c r="HW2" s="21">
        <v>11</v>
      </c>
      <c r="HX2" s="21">
        <v>12</v>
      </c>
      <c r="HY2" s="21">
        <v>1</v>
      </c>
      <c r="HZ2" s="21">
        <v>2</v>
      </c>
      <c r="IA2" s="21">
        <v>3</v>
      </c>
      <c r="IB2" s="21">
        <v>4</v>
      </c>
      <c r="IC2" s="21">
        <v>5</v>
      </c>
      <c r="ID2" s="21">
        <v>6</v>
      </c>
      <c r="IE2" s="21">
        <v>7</v>
      </c>
      <c r="IF2" s="21">
        <v>8</v>
      </c>
      <c r="IG2" s="21">
        <v>9</v>
      </c>
      <c r="IH2" s="21">
        <v>10</v>
      </c>
      <c r="II2" s="21">
        <v>11</v>
      </c>
      <c r="IJ2" s="21">
        <v>12</v>
      </c>
    </row>
    <row r="3" spans="1:245" x14ac:dyDescent="0.45">
      <c r="A3" s="67" t="s">
        <v>166</v>
      </c>
      <c r="B3" s="112"/>
      <c r="C3" s="67" t="s">
        <v>439</v>
      </c>
      <c r="D3" s="67" t="s">
        <v>440</v>
      </c>
      <c r="E3" s="47">
        <v>1</v>
      </c>
      <c r="F3" s="47">
        <v>2</v>
      </c>
      <c r="G3" s="47">
        <v>3</v>
      </c>
      <c r="H3" s="47">
        <v>4</v>
      </c>
      <c r="I3" s="47">
        <v>5</v>
      </c>
      <c r="J3" s="47">
        <v>6</v>
      </c>
      <c r="K3" s="47">
        <v>7</v>
      </c>
      <c r="L3" s="47">
        <v>8</v>
      </c>
      <c r="M3" s="47">
        <v>9</v>
      </c>
      <c r="N3" s="47">
        <v>10</v>
      </c>
      <c r="O3" s="47">
        <v>11</v>
      </c>
      <c r="P3" s="47">
        <v>12</v>
      </c>
      <c r="Q3" s="47">
        <v>13</v>
      </c>
      <c r="R3" s="47">
        <v>14</v>
      </c>
      <c r="S3" s="47">
        <v>15</v>
      </c>
      <c r="T3" s="47">
        <v>16</v>
      </c>
      <c r="U3" s="47">
        <v>17</v>
      </c>
      <c r="V3" s="47">
        <v>18</v>
      </c>
      <c r="W3" s="47">
        <v>19</v>
      </c>
      <c r="X3" s="47">
        <v>20</v>
      </c>
      <c r="Y3" s="47">
        <v>21</v>
      </c>
      <c r="Z3" s="47">
        <v>22</v>
      </c>
      <c r="AA3" s="47">
        <v>23</v>
      </c>
      <c r="AB3" s="47">
        <v>24</v>
      </c>
      <c r="AC3" s="47">
        <v>25</v>
      </c>
      <c r="AD3" s="47">
        <v>26</v>
      </c>
      <c r="AE3" s="47">
        <v>27</v>
      </c>
      <c r="AF3" s="47">
        <v>28</v>
      </c>
      <c r="AG3" s="47">
        <v>29</v>
      </c>
      <c r="AH3" s="47">
        <v>30</v>
      </c>
      <c r="AI3" s="47">
        <v>31</v>
      </c>
      <c r="AJ3" s="47">
        <v>32</v>
      </c>
      <c r="AK3" s="47">
        <v>33</v>
      </c>
      <c r="AL3" s="47">
        <v>34</v>
      </c>
      <c r="AM3" s="47">
        <v>35</v>
      </c>
      <c r="AN3" s="47">
        <v>36</v>
      </c>
      <c r="AO3" s="47">
        <v>37</v>
      </c>
      <c r="AP3" s="47">
        <v>38</v>
      </c>
      <c r="AQ3" s="47">
        <v>39</v>
      </c>
      <c r="AR3" s="47">
        <v>40</v>
      </c>
      <c r="AS3" s="47">
        <v>41</v>
      </c>
      <c r="AT3" s="47">
        <v>42</v>
      </c>
      <c r="AU3" s="47">
        <v>43</v>
      </c>
      <c r="AV3" s="47">
        <v>44</v>
      </c>
      <c r="AW3" s="47">
        <v>45</v>
      </c>
      <c r="AX3" s="47">
        <v>46</v>
      </c>
      <c r="AY3" s="47">
        <v>47</v>
      </c>
      <c r="AZ3" s="47">
        <v>48</v>
      </c>
      <c r="BA3" s="47">
        <v>49</v>
      </c>
      <c r="BB3" s="47">
        <v>50</v>
      </c>
      <c r="BC3" s="47">
        <v>51</v>
      </c>
      <c r="BD3" s="47">
        <v>52</v>
      </c>
      <c r="BE3" s="47">
        <v>53</v>
      </c>
      <c r="BF3" s="47">
        <v>54</v>
      </c>
      <c r="BG3" s="47">
        <v>55</v>
      </c>
      <c r="BH3" s="47">
        <v>56</v>
      </c>
      <c r="BI3" s="47">
        <v>57</v>
      </c>
      <c r="BJ3" s="47">
        <v>58</v>
      </c>
      <c r="BK3" s="47">
        <v>59</v>
      </c>
      <c r="BL3" s="47">
        <v>60</v>
      </c>
      <c r="BM3" s="47">
        <v>61</v>
      </c>
      <c r="BN3" s="47">
        <v>62</v>
      </c>
      <c r="BO3" s="47">
        <v>63</v>
      </c>
      <c r="BP3" s="47">
        <v>64</v>
      </c>
      <c r="BQ3" s="47">
        <v>65</v>
      </c>
      <c r="BR3" s="47">
        <v>66</v>
      </c>
      <c r="BS3" s="47">
        <v>67</v>
      </c>
      <c r="BT3" s="47">
        <v>68</v>
      </c>
      <c r="BU3" s="47">
        <v>69</v>
      </c>
      <c r="BV3" s="47">
        <v>70</v>
      </c>
      <c r="BW3" s="47">
        <v>71</v>
      </c>
      <c r="BX3" s="47">
        <v>72</v>
      </c>
      <c r="BY3" s="47">
        <v>73</v>
      </c>
      <c r="BZ3" s="47">
        <v>74</v>
      </c>
      <c r="CA3" s="47">
        <v>75</v>
      </c>
      <c r="CB3" s="47">
        <v>76</v>
      </c>
      <c r="CC3" s="47">
        <v>77</v>
      </c>
      <c r="CD3" s="47">
        <v>78</v>
      </c>
      <c r="CE3" s="47">
        <v>79</v>
      </c>
      <c r="CF3" s="47">
        <v>80</v>
      </c>
      <c r="CG3" s="47">
        <v>81</v>
      </c>
      <c r="CH3" s="47">
        <v>82</v>
      </c>
      <c r="CI3" s="47">
        <v>83</v>
      </c>
      <c r="CJ3" s="47">
        <v>84</v>
      </c>
      <c r="CK3" s="47">
        <v>85</v>
      </c>
      <c r="CL3" s="47">
        <v>86</v>
      </c>
      <c r="CM3" s="47">
        <v>87</v>
      </c>
      <c r="CN3" s="47">
        <v>88</v>
      </c>
      <c r="CO3" s="47">
        <v>89</v>
      </c>
      <c r="CP3" s="47">
        <v>90</v>
      </c>
      <c r="CQ3" s="47">
        <v>91</v>
      </c>
      <c r="CR3" s="47">
        <v>92</v>
      </c>
      <c r="CS3" s="47">
        <v>93</v>
      </c>
      <c r="CT3" s="47">
        <v>94</v>
      </c>
      <c r="CU3" s="47">
        <v>95</v>
      </c>
      <c r="CV3" s="47">
        <v>96</v>
      </c>
      <c r="CW3" s="47">
        <v>97</v>
      </c>
      <c r="CX3" s="47">
        <v>98</v>
      </c>
      <c r="CY3" s="47">
        <v>99</v>
      </c>
      <c r="CZ3" s="47">
        <v>100</v>
      </c>
      <c r="DA3" s="47">
        <v>101</v>
      </c>
      <c r="DB3" s="47">
        <v>102</v>
      </c>
      <c r="DC3" s="47">
        <v>103</v>
      </c>
      <c r="DD3" s="47">
        <v>104</v>
      </c>
      <c r="DE3" s="47">
        <v>105</v>
      </c>
      <c r="DF3" s="47">
        <v>106</v>
      </c>
      <c r="DG3" s="47">
        <v>107</v>
      </c>
      <c r="DH3" s="47">
        <v>108</v>
      </c>
      <c r="DI3" s="47">
        <v>109</v>
      </c>
      <c r="DJ3" s="47">
        <v>110</v>
      </c>
      <c r="DK3" s="47">
        <v>111</v>
      </c>
      <c r="DL3" s="47">
        <v>112</v>
      </c>
      <c r="DM3" s="47">
        <v>113</v>
      </c>
      <c r="DN3" s="47">
        <v>114</v>
      </c>
      <c r="DO3" s="47">
        <v>115</v>
      </c>
      <c r="DP3" s="47">
        <v>116</v>
      </c>
      <c r="DQ3" s="47">
        <v>117</v>
      </c>
      <c r="DR3" s="47">
        <v>118</v>
      </c>
      <c r="DS3" s="47">
        <v>119</v>
      </c>
      <c r="DT3" s="47">
        <v>120</v>
      </c>
      <c r="DU3" s="47">
        <v>121</v>
      </c>
      <c r="DV3" s="47">
        <v>122</v>
      </c>
      <c r="DW3" s="47">
        <v>123</v>
      </c>
      <c r="DX3" s="47">
        <v>124</v>
      </c>
      <c r="DY3" s="47">
        <v>125</v>
      </c>
      <c r="DZ3" s="47">
        <v>126</v>
      </c>
      <c r="EA3" s="47">
        <v>127</v>
      </c>
      <c r="EB3" s="47">
        <v>128</v>
      </c>
      <c r="EC3" s="47">
        <v>129</v>
      </c>
      <c r="ED3" s="47">
        <v>130</v>
      </c>
      <c r="EE3" s="47">
        <v>131</v>
      </c>
      <c r="EF3" s="47">
        <v>132</v>
      </c>
      <c r="EG3" s="47">
        <v>133</v>
      </c>
      <c r="EH3" s="47">
        <v>134</v>
      </c>
      <c r="EI3" s="47">
        <v>135</v>
      </c>
      <c r="EJ3" s="47">
        <v>136</v>
      </c>
      <c r="EK3" s="47">
        <v>137</v>
      </c>
      <c r="EL3" s="47">
        <v>138</v>
      </c>
      <c r="EM3" s="47">
        <v>139</v>
      </c>
      <c r="EN3" s="47">
        <v>140</v>
      </c>
      <c r="EO3" s="47">
        <v>141</v>
      </c>
      <c r="EP3" s="47">
        <v>142</v>
      </c>
      <c r="EQ3" s="47">
        <v>143</v>
      </c>
      <c r="ER3" s="47">
        <v>144</v>
      </c>
      <c r="ES3" s="47">
        <v>145</v>
      </c>
      <c r="ET3" s="47">
        <v>146</v>
      </c>
      <c r="EU3" s="47">
        <v>147</v>
      </c>
      <c r="EV3" s="47">
        <v>148</v>
      </c>
      <c r="EW3" s="47">
        <v>149</v>
      </c>
      <c r="EX3" s="47">
        <v>150</v>
      </c>
      <c r="EY3" s="47">
        <v>151</v>
      </c>
      <c r="EZ3" s="47">
        <v>152</v>
      </c>
      <c r="FA3" s="47">
        <v>153</v>
      </c>
      <c r="FB3" s="47">
        <v>154</v>
      </c>
      <c r="FC3" s="47">
        <v>155</v>
      </c>
      <c r="FD3" s="47">
        <v>156</v>
      </c>
      <c r="FE3" s="47">
        <v>157</v>
      </c>
      <c r="FF3" s="47">
        <v>158</v>
      </c>
      <c r="FG3" s="47">
        <v>159</v>
      </c>
      <c r="FH3" s="47">
        <v>160</v>
      </c>
      <c r="FI3" s="47">
        <v>161</v>
      </c>
      <c r="FJ3" s="47">
        <v>162</v>
      </c>
      <c r="FK3" s="47">
        <v>163</v>
      </c>
      <c r="FL3" s="47">
        <v>164</v>
      </c>
      <c r="FM3" s="47">
        <v>165</v>
      </c>
      <c r="FN3" s="47">
        <v>166</v>
      </c>
      <c r="FO3" s="47">
        <v>167</v>
      </c>
      <c r="FP3" s="47">
        <v>168</v>
      </c>
      <c r="FQ3" s="47">
        <v>169</v>
      </c>
      <c r="FR3" s="47">
        <v>170</v>
      </c>
      <c r="FS3" s="47">
        <v>171</v>
      </c>
      <c r="FT3" s="47">
        <v>172</v>
      </c>
      <c r="FU3" s="47">
        <v>173</v>
      </c>
      <c r="FV3" s="47">
        <v>174</v>
      </c>
      <c r="FW3" s="47">
        <v>175</v>
      </c>
      <c r="FX3" s="47">
        <v>176</v>
      </c>
      <c r="FY3" s="47">
        <v>177</v>
      </c>
      <c r="FZ3" s="47">
        <v>178</v>
      </c>
      <c r="GA3" s="47">
        <v>179</v>
      </c>
      <c r="GB3" s="47">
        <v>180</v>
      </c>
      <c r="GC3" s="47">
        <v>181</v>
      </c>
      <c r="GD3" s="47">
        <v>182</v>
      </c>
      <c r="GE3" s="47">
        <v>183</v>
      </c>
      <c r="GF3" s="47">
        <v>184</v>
      </c>
      <c r="GG3" s="47">
        <v>185</v>
      </c>
      <c r="GH3" s="47">
        <v>186</v>
      </c>
      <c r="GI3" s="47">
        <v>187</v>
      </c>
      <c r="GJ3" s="47">
        <v>188</v>
      </c>
      <c r="GK3" s="47">
        <v>189</v>
      </c>
      <c r="GL3" s="47">
        <v>190</v>
      </c>
      <c r="GM3" s="47">
        <v>191</v>
      </c>
      <c r="GN3" s="47">
        <v>192</v>
      </c>
      <c r="GO3" s="47">
        <v>193</v>
      </c>
      <c r="GP3" s="47">
        <v>194</v>
      </c>
      <c r="GQ3" s="47">
        <v>195</v>
      </c>
      <c r="GR3" s="47">
        <v>196</v>
      </c>
      <c r="GS3" s="47">
        <v>197</v>
      </c>
      <c r="GT3" s="47">
        <v>198</v>
      </c>
      <c r="GU3" s="47">
        <v>199</v>
      </c>
      <c r="GV3" s="47">
        <v>200</v>
      </c>
      <c r="GW3" s="47">
        <v>201</v>
      </c>
      <c r="GX3" s="47">
        <v>202</v>
      </c>
      <c r="GY3" s="47">
        <v>203</v>
      </c>
      <c r="GZ3" s="47">
        <v>204</v>
      </c>
      <c r="HA3" s="47">
        <v>205</v>
      </c>
      <c r="HB3" s="47">
        <v>206</v>
      </c>
      <c r="HC3" s="47">
        <v>207</v>
      </c>
      <c r="HD3" s="47">
        <v>208</v>
      </c>
      <c r="HE3" s="47">
        <v>209</v>
      </c>
      <c r="HF3" s="47">
        <v>210</v>
      </c>
      <c r="HG3" s="47">
        <v>211</v>
      </c>
      <c r="HH3" s="47">
        <v>212</v>
      </c>
      <c r="HI3" s="47">
        <v>213</v>
      </c>
      <c r="HJ3" s="47">
        <v>214</v>
      </c>
      <c r="HK3" s="47">
        <v>215</v>
      </c>
      <c r="HL3" s="47">
        <v>216</v>
      </c>
      <c r="HM3" s="47">
        <v>217</v>
      </c>
      <c r="HN3" s="47">
        <v>218</v>
      </c>
      <c r="HO3" s="47">
        <v>219</v>
      </c>
      <c r="HP3" s="47">
        <v>220</v>
      </c>
      <c r="HQ3" s="47">
        <v>221</v>
      </c>
      <c r="HR3" s="47">
        <v>222</v>
      </c>
      <c r="HS3" s="47">
        <v>223</v>
      </c>
      <c r="HT3" s="47">
        <v>224</v>
      </c>
      <c r="HU3" s="47">
        <v>225</v>
      </c>
      <c r="HV3" s="47">
        <v>226</v>
      </c>
      <c r="HW3" s="47">
        <v>227</v>
      </c>
      <c r="HX3" s="47">
        <v>228</v>
      </c>
      <c r="HY3" s="47">
        <v>229</v>
      </c>
      <c r="HZ3" s="47">
        <v>230</v>
      </c>
      <c r="IA3" s="47">
        <v>231</v>
      </c>
      <c r="IB3" s="47">
        <v>232</v>
      </c>
      <c r="IC3" s="47">
        <v>233</v>
      </c>
      <c r="ID3" s="47">
        <v>234</v>
      </c>
      <c r="IE3" s="47">
        <v>235</v>
      </c>
      <c r="IF3" s="47">
        <v>236</v>
      </c>
      <c r="IG3" s="47">
        <v>237</v>
      </c>
      <c r="IH3" s="47">
        <v>238</v>
      </c>
      <c r="II3" s="47">
        <v>239</v>
      </c>
      <c r="IJ3" s="47">
        <v>240</v>
      </c>
    </row>
    <row r="4" spans="1:245" x14ac:dyDescent="0.45">
      <c r="A4" s="67">
        <v>2015</v>
      </c>
      <c r="B4" s="112"/>
      <c r="C4" s="3">
        <f ca="1">INT(SUM(OFFSET('CAPEX Schedule'!$C$8,0,($A4-$A$4)*12):OFFSET('CAPEX Schedule'!$C$8,0,($A4-$A$4)*12+11)))</f>
        <v>452038486</v>
      </c>
      <c r="D4" s="3">
        <f ca="1">INT(SUM(OFFSET('CAPEX Schedule'!$C$13,0,($A4-$A$4)*12):OFFSET('CAPEX Schedule'!$C$13,0,($A4-$A$4)*12+11)))-C4</f>
        <v>1</v>
      </c>
      <c r="E4" s="130">
        <f t="shared" ref="E4:E23" si="0">IF(AND($A4-$A$4&gt;0,E$3&gt;($A4-$A$4)*12,E$3-($A4-$A$4)*12&lt;=CST_DEP_BLDG),VDB($C3,0,CST_DEP_BLDG, E$3-($A4-$A$4)*12-1,E$3-($A4-$A$4)*12),0) + IF(AND($A4-$A$4&gt;0,E$3&gt;($A4-$A$4)*12,E$3-($A4-$A$4)*12&lt;=CST_DEP_OTHER),VDB($D3,0,CST_DEP_OTHER, E$3-($A4-$A$4)*12-1,E$3-($A4-$A$4)*12),0)</f>
        <v>0</v>
      </c>
      <c r="F4" s="134">
        <f t="shared" ref="F4:F23" si="1">IF(AND($A4-$A$4&gt;0,F$3&gt;($A4-$A$4)*12,F$3-($A4-$A$4)*12&lt;=CST_DEP_BLDG),VDB($C3,0,CST_DEP_BLDG, F$3-($A4-$A$4)*12-1,F$3-($A4-$A$4)*12),0) + IF(AND($A4-$A$4&gt;0,F$3&gt;($A4-$A$4)*12,F$3-($A4-$A$4)*12&lt;=CST_DEP_OTHER),VDB($D3,0,CST_DEP_OTHER, F$3-($A4-$A$4)*12-1,F$3-($A4-$A$4)*12),0)</f>
        <v>0</v>
      </c>
      <c r="G4" s="134">
        <f t="shared" ref="G4:G23" si="2">IF(AND($A4-$A$4&gt;0,G$3&gt;($A4-$A$4)*12,G$3-($A4-$A$4)*12&lt;=CST_DEP_BLDG),VDB($C3,0,CST_DEP_BLDG, G$3-($A4-$A$4)*12-1,G$3-($A4-$A$4)*12),0) + IF(AND($A4-$A$4&gt;0,G$3&gt;($A4-$A$4)*12,G$3-($A4-$A$4)*12&lt;=CST_DEP_OTHER),VDB($D3,0,CST_DEP_OTHER, G$3-($A4-$A$4)*12-1,G$3-($A4-$A$4)*12),0)</f>
        <v>0</v>
      </c>
      <c r="H4" s="134">
        <f t="shared" ref="H4:H23" si="3">IF(AND($A4-$A$4&gt;0,H$3&gt;($A4-$A$4)*12,H$3-($A4-$A$4)*12&lt;=CST_DEP_BLDG),VDB($C3,0,CST_DEP_BLDG, H$3-($A4-$A$4)*12-1,H$3-($A4-$A$4)*12),0) + IF(AND($A4-$A$4&gt;0,H$3&gt;($A4-$A$4)*12,H$3-($A4-$A$4)*12&lt;=CST_DEP_OTHER),VDB($D3,0,CST_DEP_OTHER, H$3-($A4-$A$4)*12-1,H$3-($A4-$A$4)*12),0)</f>
        <v>0</v>
      </c>
      <c r="I4" s="134">
        <f t="shared" ref="I4:I23" si="4">IF(AND($A4-$A$4&gt;0,I$3&gt;($A4-$A$4)*12,I$3-($A4-$A$4)*12&lt;=CST_DEP_BLDG),VDB($C3,0,CST_DEP_BLDG, I$3-($A4-$A$4)*12-1,I$3-($A4-$A$4)*12),0) + IF(AND($A4-$A$4&gt;0,I$3&gt;($A4-$A$4)*12,I$3-($A4-$A$4)*12&lt;=CST_DEP_OTHER),VDB($D3,0,CST_DEP_OTHER, I$3-($A4-$A$4)*12-1,I$3-($A4-$A$4)*12),0)</f>
        <v>0</v>
      </c>
      <c r="J4" s="134">
        <f t="shared" ref="J4:J23" si="5">IF(AND($A4-$A$4&gt;0,J$3&gt;($A4-$A$4)*12,J$3-($A4-$A$4)*12&lt;=CST_DEP_BLDG),VDB($C3,0,CST_DEP_BLDG, J$3-($A4-$A$4)*12-1,J$3-($A4-$A$4)*12),0) + IF(AND($A4-$A$4&gt;0,J$3&gt;($A4-$A$4)*12,J$3-($A4-$A$4)*12&lt;=CST_DEP_OTHER),VDB($D3,0,CST_DEP_OTHER, J$3-($A4-$A$4)*12-1,J$3-($A4-$A$4)*12),0)</f>
        <v>0</v>
      </c>
      <c r="K4" s="134">
        <f t="shared" ref="K4:K23" si="6">IF(AND($A4-$A$4&gt;0,K$3&gt;($A4-$A$4)*12,K$3-($A4-$A$4)*12&lt;=CST_DEP_BLDG),VDB($C3,0,CST_DEP_BLDG, K$3-($A4-$A$4)*12-1,K$3-($A4-$A$4)*12),0) + IF(AND($A4-$A$4&gt;0,K$3&gt;($A4-$A$4)*12,K$3-($A4-$A$4)*12&lt;=CST_DEP_OTHER),VDB($D3,0,CST_DEP_OTHER, K$3-($A4-$A$4)*12-1,K$3-($A4-$A$4)*12),0)</f>
        <v>0</v>
      </c>
      <c r="L4" s="134">
        <f t="shared" ref="L4:L23" si="7">IF(AND($A4-$A$4&gt;0,L$3&gt;($A4-$A$4)*12,L$3-($A4-$A$4)*12&lt;=CST_DEP_BLDG),VDB($C3,0,CST_DEP_BLDG, L$3-($A4-$A$4)*12-1,L$3-($A4-$A$4)*12),0) + IF(AND($A4-$A$4&gt;0,L$3&gt;($A4-$A$4)*12,L$3-($A4-$A$4)*12&lt;=CST_DEP_OTHER),VDB($D3,0,CST_DEP_OTHER, L$3-($A4-$A$4)*12-1,L$3-($A4-$A$4)*12),0)</f>
        <v>0</v>
      </c>
      <c r="M4" s="134">
        <f t="shared" ref="M4:M23" si="8">IF(AND($A4-$A$4&gt;0,M$3&gt;($A4-$A$4)*12,M$3-($A4-$A$4)*12&lt;=CST_DEP_BLDG),VDB($C3,0,CST_DEP_BLDG, M$3-($A4-$A$4)*12-1,M$3-($A4-$A$4)*12),0) + IF(AND($A4-$A$4&gt;0,M$3&gt;($A4-$A$4)*12,M$3-($A4-$A$4)*12&lt;=CST_DEP_OTHER),VDB($D3,0,CST_DEP_OTHER, M$3-($A4-$A$4)*12-1,M$3-($A4-$A$4)*12),0)</f>
        <v>0</v>
      </c>
      <c r="N4" s="134">
        <f t="shared" ref="N4:N23" si="9">IF(AND($A4-$A$4&gt;0,N$3&gt;($A4-$A$4)*12,N$3-($A4-$A$4)*12&lt;=CST_DEP_BLDG),VDB($C3,0,CST_DEP_BLDG, N$3-($A4-$A$4)*12-1,N$3-($A4-$A$4)*12),0) + IF(AND($A4-$A$4&gt;0,N$3&gt;($A4-$A$4)*12,N$3-($A4-$A$4)*12&lt;=CST_DEP_OTHER),VDB($D3,0,CST_DEP_OTHER, N$3-($A4-$A$4)*12-1,N$3-($A4-$A$4)*12),0)</f>
        <v>0</v>
      </c>
      <c r="O4" s="134">
        <f t="shared" ref="O4:O23" si="10">IF(AND($A4-$A$4&gt;0,O$3&gt;($A4-$A$4)*12,O$3-($A4-$A$4)*12&lt;=CST_DEP_BLDG),VDB($C3,0,CST_DEP_BLDG, O$3-($A4-$A$4)*12-1,O$3-($A4-$A$4)*12),0) + IF(AND($A4-$A$4&gt;0,O$3&gt;($A4-$A$4)*12,O$3-($A4-$A$4)*12&lt;=CST_DEP_OTHER),VDB($D3,0,CST_DEP_OTHER, O$3-($A4-$A$4)*12-1,O$3-($A4-$A$4)*12),0)</f>
        <v>0</v>
      </c>
      <c r="P4" s="134">
        <f t="shared" ref="P4:P23" si="11">IF(AND($A4-$A$4&gt;0,P$3&gt;($A4-$A$4)*12,P$3-($A4-$A$4)*12&lt;=CST_DEP_BLDG),VDB($C3,0,CST_DEP_BLDG, P$3-($A4-$A$4)*12-1,P$3-($A4-$A$4)*12),0) + IF(AND($A4-$A$4&gt;0,P$3&gt;($A4-$A$4)*12,P$3-($A4-$A$4)*12&lt;=CST_DEP_OTHER),VDB($D3,0,CST_DEP_OTHER, P$3-($A4-$A$4)*12-1,P$3-($A4-$A$4)*12),0)</f>
        <v>0</v>
      </c>
      <c r="Q4" s="134">
        <f t="shared" ref="Q4:Q23" si="12">IF(AND($A4-$A$4&gt;0,Q$3&gt;($A4-$A$4)*12,Q$3-($A4-$A$4)*12&lt;=CST_DEP_BLDG),VDB($C3,0,CST_DEP_BLDG, Q$3-($A4-$A$4)*12-1,Q$3-($A4-$A$4)*12),0) + IF(AND($A4-$A$4&gt;0,Q$3&gt;($A4-$A$4)*12,Q$3-($A4-$A$4)*12&lt;=CST_DEP_OTHER),VDB($D3,0,CST_DEP_OTHER, Q$3-($A4-$A$4)*12-1,Q$3-($A4-$A$4)*12),0)</f>
        <v>0</v>
      </c>
      <c r="R4" s="134">
        <f t="shared" ref="R4:R23" si="13">IF(AND($A4-$A$4&gt;0,R$3&gt;($A4-$A$4)*12,R$3-($A4-$A$4)*12&lt;=CST_DEP_BLDG),VDB($C3,0,CST_DEP_BLDG, R$3-($A4-$A$4)*12-1,R$3-($A4-$A$4)*12),0) + IF(AND($A4-$A$4&gt;0,R$3&gt;($A4-$A$4)*12,R$3-($A4-$A$4)*12&lt;=CST_DEP_OTHER),VDB($D3,0,CST_DEP_OTHER, R$3-($A4-$A$4)*12-1,R$3-($A4-$A$4)*12),0)</f>
        <v>0</v>
      </c>
      <c r="S4" s="134">
        <f t="shared" ref="S4:S23" si="14">IF(AND($A4-$A$4&gt;0,S$3&gt;($A4-$A$4)*12,S$3-($A4-$A$4)*12&lt;=CST_DEP_BLDG),VDB($C3,0,CST_DEP_BLDG, S$3-($A4-$A$4)*12-1,S$3-($A4-$A$4)*12),0) + IF(AND($A4-$A$4&gt;0,S$3&gt;($A4-$A$4)*12,S$3-($A4-$A$4)*12&lt;=CST_DEP_OTHER),VDB($D3,0,CST_DEP_OTHER, S$3-($A4-$A$4)*12-1,S$3-($A4-$A$4)*12),0)</f>
        <v>0</v>
      </c>
      <c r="T4" s="134">
        <f t="shared" ref="T4:T23" si="15">IF(AND($A4-$A$4&gt;0,T$3&gt;($A4-$A$4)*12,T$3-($A4-$A$4)*12&lt;=CST_DEP_BLDG),VDB($C3,0,CST_DEP_BLDG, T$3-($A4-$A$4)*12-1,T$3-($A4-$A$4)*12),0) + IF(AND($A4-$A$4&gt;0,T$3&gt;($A4-$A$4)*12,T$3-($A4-$A$4)*12&lt;=CST_DEP_OTHER),VDB($D3,0,CST_DEP_OTHER, T$3-($A4-$A$4)*12-1,T$3-($A4-$A$4)*12),0)</f>
        <v>0</v>
      </c>
      <c r="U4" s="134">
        <f t="shared" ref="U4:U23" si="16">IF(AND($A4-$A$4&gt;0,U$3&gt;($A4-$A$4)*12,U$3-($A4-$A$4)*12&lt;=CST_DEP_BLDG),VDB($C3,0,CST_DEP_BLDG, U$3-($A4-$A$4)*12-1,U$3-($A4-$A$4)*12),0) + IF(AND($A4-$A$4&gt;0,U$3&gt;($A4-$A$4)*12,U$3-($A4-$A$4)*12&lt;=CST_DEP_OTHER),VDB($D3,0,CST_DEP_OTHER, U$3-($A4-$A$4)*12-1,U$3-($A4-$A$4)*12),0)</f>
        <v>0</v>
      </c>
      <c r="V4" s="134">
        <f t="shared" ref="V4:V23" si="17">IF(AND($A4-$A$4&gt;0,V$3&gt;($A4-$A$4)*12,V$3-($A4-$A$4)*12&lt;=CST_DEP_BLDG),VDB($C3,0,CST_DEP_BLDG, V$3-($A4-$A$4)*12-1,V$3-($A4-$A$4)*12),0) + IF(AND($A4-$A$4&gt;0,V$3&gt;($A4-$A$4)*12,V$3-($A4-$A$4)*12&lt;=CST_DEP_OTHER),VDB($D3,0,CST_DEP_OTHER, V$3-($A4-$A$4)*12-1,V$3-($A4-$A$4)*12),0)</f>
        <v>0</v>
      </c>
      <c r="W4" s="134">
        <f t="shared" ref="W4:W23" si="18">IF(AND($A4-$A$4&gt;0,W$3&gt;($A4-$A$4)*12,W$3-($A4-$A$4)*12&lt;=CST_DEP_BLDG),VDB($C3,0,CST_DEP_BLDG, W$3-($A4-$A$4)*12-1,W$3-($A4-$A$4)*12),0) + IF(AND($A4-$A$4&gt;0,W$3&gt;($A4-$A$4)*12,W$3-($A4-$A$4)*12&lt;=CST_DEP_OTHER),VDB($D3,0,CST_DEP_OTHER, W$3-($A4-$A$4)*12-1,W$3-($A4-$A$4)*12),0)</f>
        <v>0</v>
      </c>
      <c r="X4" s="134">
        <f t="shared" ref="X4:X23" si="19">IF(AND($A4-$A$4&gt;0,X$3&gt;($A4-$A$4)*12,X$3-($A4-$A$4)*12&lt;=CST_DEP_BLDG),VDB($C3,0,CST_DEP_BLDG, X$3-($A4-$A$4)*12-1,X$3-($A4-$A$4)*12),0) + IF(AND($A4-$A$4&gt;0,X$3&gt;($A4-$A$4)*12,X$3-($A4-$A$4)*12&lt;=CST_DEP_OTHER),VDB($D3,0,CST_DEP_OTHER, X$3-($A4-$A$4)*12-1,X$3-($A4-$A$4)*12),0)</f>
        <v>0</v>
      </c>
      <c r="Y4" s="134">
        <f t="shared" ref="Y4:Y23" si="20">IF(AND($A4-$A$4&gt;0,Y$3&gt;($A4-$A$4)*12,Y$3-($A4-$A$4)*12&lt;=CST_DEP_BLDG),VDB($C3,0,CST_DEP_BLDG, Y$3-($A4-$A$4)*12-1,Y$3-($A4-$A$4)*12),0) + IF(AND($A4-$A$4&gt;0,Y$3&gt;($A4-$A$4)*12,Y$3-($A4-$A$4)*12&lt;=CST_DEP_OTHER),VDB($D3,0,CST_DEP_OTHER, Y$3-($A4-$A$4)*12-1,Y$3-($A4-$A$4)*12),0)</f>
        <v>0</v>
      </c>
      <c r="Z4" s="134">
        <f t="shared" ref="Z4:Z23" si="21">IF(AND($A4-$A$4&gt;0,Z$3&gt;($A4-$A$4)*12,Z$3-($A4-$A$4)*12&lt;=CST_DEP_BLDG),VDB($C3,0,CST_DEP_BLDG, Z$3-($A4-$A$4)*12-1,Z$3-($A4-$A$4)*12),0) + IF(AND($A4-$A$4&gt;0,Z$3&gt;($A4-$A$4)*12,Z$3-($A4-$A$4)*12&lt;=CST_DEP_OTHER),VDB($D3,0,CST_DEP_OTHER, Z$3-($A4-$A$4)*12-1,Z$3-($A4-$A$4)*12),0)</f>
        <v>0</v>
      </c>
      <c r="AA4" s="134">
        <f t="shared" ref="AA4:AA23" si="22">IF(AND($A4-$A$4&gt;0,AA$3&gt;($A4-$A$4)*12,AA$3-($A4-$A$4)*12&lt;=CST_DEP_BLDG),VDB($C3,0,CST_DEP_BLDG, AA$3-($A4-$A$4)*12-1,AA$3-($A4-$A$4)*12),0) + IF(AND($A4-$A$4&gt;0,AA$3&gt;($A4-$A$4)*12,AA$3-($A4-$A$4)*12&lt;=CST_DEP_OTHER),VDB($D3,0,CST_DEP_OTHER, AA$3-($A4-$A$4)*12-1,AA$3-($A4-$A$4)*12),0)</f>
        <v>0</v>
      </c>
      <c r="AB4" s="134">
        <f t="shared" ref="AB4:AB23" si="23">IF(AND($A4-$A$4&gt;0,AB$3&gt;($A4-$A$4)*12,AB$3-($A4-$A$4)*12&lt;=CST_DEP_BLDG),VDB($C3,0,CST_DEP_BLDG, AB$3-($A4-$A$4)*12-1,AB$3-($A4-$A$4)*12),0) + IF(AND($A4-$A$4&gt;0,AB$3&gt;($A4-$A$4)*12,AB$3-($A4-$A$4)*12&lt;=CST_DEP_OTHER),VDB($D3,0,CST_DEP_OTHER, AB$3-($A4-$A$4)*12-1,AB$3-($A4-$A$4)*12),0)</f>
        <v>0</v>
      </c>
      <c r="AC4" s="134">
        <f t="shared" ref="AC4:AC23" si="24">IF(AND($A4-$A$4&gt;0,AC$3&gt;($A4-$A$4)*12,AC$3-($A4-$A$4)*12&lt;=CST_DEP_BLDG),VDB($C3,0,CST_DEP_BLDG, AC$3-($A4-$A$4)*12-1,AC$3-($A4-$A$4)*12),0) + IF(AND($A4-$A$4&gt;0,AC$3&gt;($A4-$A$4)*12,AC$3-($A4-$A$4)*12&lt;=CST_DEP_OTHER),VDB($D3,0,CST_DEP_OTHER, AC$3-($A4-$A$4)*12-1,AC$3-($A4-$A$4)*12),0)</f>
        <v>0</v>
      </c>
      <c r="AD4" s="134">
        <f t="shared" ref="AD4:AD23" si="25">IF(AND($A4-$A$4&gt;0,AD$3&gt;($A4-$A$4)*12,AD$3-($A4-$A$4)*12&lt;=CST_DEP_BLDG),VDB($C3,0,CST_DEP_BLDG, AD$3-($A4-$A$4)*12-1,AD$3-($A4-$A$4)*12),0) + IF(AND($A4-$A$4&gt;0,AD$3&gt;($A4-$A$4)*12,AD$3-($A4-$A$4)*12&lt;=CST_DEP_OTHER),VDB($D3,0,CST_DEP_OTHER, AD$3-($A4-$A$4)*12-1,AD$3-($A4-$A$4)*12),0)</f>
        <v>0</v>
      </c>
      <c r="AE4" s="134">
        <f t="shared" ref="AE4:AE23" si="26">IF(AND($A4-$A$4&gt;0,AE$3&gt;($A4-$A$4)*12,AE$3-($A4-$A$4)*12&lt;=CST_DEP_BLDG),VDB($C3,0,CST_DEP_BLDG, AE$3-($A4-$A$4)*12-1,AE$3-($A4-$A$4)*12),0) + IF(AND($A4-$A$4&gt;0,AE$3&gt;($A4-$A$4)*12,AE$3-($A4-$A$4)*12&lt;=CST_DEP_OTHER),VDB($D3,0,CST_DEP_OTHER, AE$3-($A4-$A$4)*12-1,AE$3-($A4-$A$4)*12),0)</f>
        <v>0</v>
      </c>
      <c r="AF4" s="134">
        <f t="shared" ref="AF4:AF23" si="27">IF(AND($A4-$A$4&gt;0,AF$3&gt;($A4-$A$4)*12,AF$3-($A4-$A$4)*12&lt;=CST_DEP_BLDG),VDB($C3,0,CST_DEP_BLDG, AF$3-($A4-$A$4)*12-1,AF$3-($A4-$A$4)*12),0) + IF(AND($A4-$A$4&gt;0,AF$3&gt;($A4-$A$4)*12,AF$3-($A4-$A$4)*12&lt;=CST_DEP_OTHER),VDB($D3,0,CST_DEP_OTHER, AF$3-($A4-$A$4)*12-1,AF$3-($A4-$A$4)*12),0)</f>
        <v>0</v>
      </c>
      <c r="AG4" s="134">
        <f t="shared" ref="AG4:AG23" si="28">IF(AND($A4-$A$4&gt;0,AG$3&gt;($A4-$A$4)*12,AG$3-($A4-$A$4)*12&lt;=CST_DEP_BLDG),VDB($C3,0,CST_DEP_BLDG, AG$3-($A4-$A$4)*12-1,AG$3-($A4-$A$4)*12),0) + IF(AND($A4-$A$4&gt;0,AG$3&gt;($A4-$A$4)*12,AG$3-($A4-$A$4)*12&lt;=CST_DEP_OTHER),VDB($D3,0,CST_DEP_OTHER, AG$3-($A4-$A$4)*12-1,AG$3-($A4-$A$4)*12),0)</f>
        <v>0</v>
      </c>
      <c r="AH4" s="134">
        <f t="shared" ref="AH4:AH23" si="29">IF(AND($A4-$A$4&gt;0,AH$3&gt;($A4-$A$4)*12,AH$3-($A4-$A$4)*12&lt;=CST_DEP_BLDG),VDB($C3,0,CST_DEP_BLDG, AH$3-($A4-$A$4)*12-1,AH$3-($A4-$A$4)*12),0) + IF(AND($A4-$A$4&gt;0,AH$3&gt;($A4-$A$4)*12,AH$3-($A4-$A$4)*12&lt;=CST_DEP_OTHER),VDB($D3,0,CST_DEP_OTHER, AH$3-($A4-$A$4)*12-1,AH$3-($A4-$A$4)*12),0)</f>
        <v>0</v>
      </c>
      <c r="AI4" s="134">
        <f t="shared" ref="AI4:AI23" si="30">IF(AND($A4-$A$4&gt;0,AI$3&gt;($A4-$A$4)*12,AI$3-($A4-$A$4)*12&lt;=CST_DEP_BLDG),VDB($C3,0,CST_DEP_BLDG, AI$3-($A4-$A$4)*12-1,AI$3-($A4-$A$4)*12),0) + IF(AND($A4-$A$4&gt;0,AI$3&gt;($A4-$A$4)*12,AI$3-($A4-$A$4)*12&lt;=CST_DEP_OTHER),VDB($D3,0,CST_DEP_OTHER, AI$3-($A4-$A$4)*12-1,AI$3-($A4-$A$4)*12),0)</f>
        <v>0</v>
      </c>
      <c r="AJ4" s="134">
        <f t="shared" ref="AJ4:AJ23" si="31">IF(AND($A4-$A$4&gt;0,AJ$3&gt;($A4-$A$4)*12,AJ$3-($A4-$A$4)*12&lt;=CST_DEP_BLDG),VDB($C3,0,CST_DEP_BLDG, AJ$3-($A4-$A$4)*12-1,AJ$3-($A4-$A$4)*12),0) + IF(AND($A4-$A$4&gt;0,AJ$3&gt;($A4-$A$4)*12,AJ$3-($A4-$A$4)*12&lt;=CST_DEP_OTHER),VDB($D3,0,CST_DEP_OTHER, AJ$3-($A4-$A$4)*12-1,AJ$3-($A4-$A$4)*12),0)</f>
        <v>0</v>
      </c>
      <c r="AK4" s="134">
        <f t="shared" ref="AK4:AK23" si="32">IF(AND($A4-$A$4&gt;0,AK$3&gt;($A4-$A$4)*12,AK$3-($A4-$A$4)*12&lt;=CST_DEP_BLDG),VDB($C3,0,CST_DEP_BLDG, AK$3-($A4-$A$4)*12-1,AK$3-($A4-$A$4)*12),0) + IF(AND($A4-$A$4&gt;0,AK$3&gt;($A4-$A$4)*12,AK$3-($A4-$A$4)*12&lt;=CST_DEP_OTHER),VDB($D3,0,CST_DEP_OTHER, AK$3-($A4-$A$4)*12-1,AK$3-($A4-$A$4)*12),0)</f>
        <v>0</v>
      </c>
      <c r="AL4" s="134">
        <f t="shared" ref="AL4:AL23" si="33">IF(AND($A4-$A$4&gt;0,AL$3&gt;($A4-$A$4)*12,AL$3-($A4-$A$4)*12&lt;=CST_DEP_BLDG),VDB($C3,0,CST_DEP_BLDG, AL$3-($A4-$A$4)*12-1,AL$3-($A4-$A$4)*12),0) + IF(AND($A4-$A$4&gt;0,AL$3&gt;($A4-$A$4)*12,AL$3-($A4-$A$4)*12&lt;=CST_DEP_OTHER),VDB($D3,0,CST_DEP_OTHER, AL$3-($A4-$A$4)*12-1,AL$3-($A4-$A$4)*12),0)</f>
        <v>0</v>
      </c>
      <c r="AM4" s="134">
        <f t="shared" ref="AM4:AM23" si="34">IF(AND($A4-$A$4&gt;0,AM$3&gt;($A4-$A$4)*12,AM$3-($A4-$A$4)*12&lt;=CST_DEP_BLDG),VDB($C3,0,CST_DEP_BLDG, AM$3-($A4-$A$4)*12-1,AM$3-($A4-$A$4)*12),0) + IF(AND($A4-$A$4&gt;0,AM$3&gt;($A4-$A$4)*12,AM$3-($A4-$A$4)*12&lt;=CST_DEP_OTHER),VDB($D3,0,CST_DEP_OTHER, AM$3-($A4-$A$4)*12-1,AM$3-($A4-$A$4)*12),0)</f>
        <v>0</v>
      </c>
      <c r="AN4" s="134">
        <f t="shared" ref="AN4:AN23" si="35">IF(AND($A4-$A$4&gt;0,AN$3&gt;($A4-$A$4)*12,AN$3-($A4-$A$4)*12&lt;=CST_DEP_BLDG),VDB($C3,0,CST_DEP_BLDG, AN$3-($A4-$A$4)*12-1,AN$3-($A4-$A$4)*12),0) + IF(AND($A4-$A$4&gt;0,AN$3&gt;($A4-$A$4)*12,AN$3-($A4-$A$4)*12&lt;=CST_DEP_OTHER),VDB($D3,0,CST_DEP_OTHER, AN$3-($A4-$A$4)*12-1,AN$3-($A4-$A$4)*12),0)</f>
        <v>0</v>
      </c>
      <c r="AO4" s="134">
        <f t="shared" ref="AO4:AO23" si="36">IF(AND($A4-$A$4&gt;0,AO$3&gt;($A4-$A$4)*12,AO$3-($A4-$A$4)*12&lt;=CST_DEP_BLDG),VDB($C3,0,CST_DEP_BLDG, AO$3-($A4-$A$4)*12-1,AO$3-($A4-$A$4)*12),0) + IF(AND($A4-$A$4&gt;0,AO$3&gt;($A4-$A$4)*12,AO$3-($A4-$A$4)*12&lt;=CST_DEP_OTHER),VDB($D3,0,CST_DEP_OTHER, AO$3-($A4-$A$4)*12-1,AO$3-($A4-$A$4)*12),0)</f>
        <v>0</v>
      </c>
      <c r="AP4" s="134">
        <f t="shared" ref="AP4:AP23" si="37">IF(AND($A4-$A$4&gt;0,AP$3&gt;($A4-$A$4)*12,AP$3-($A4-$A$4)*12&lt;=CST_DEP_BLDG),VDB($C3,0,CST_DEP_BLDG, AP$3-($A4-$A$4)*12-1,AP$3-($A4-$A$4)*12),0) + IF(AND($A4-$A$4&gt;0,AP$3&gt;($A4-$A$4)*12,AP$3-($A4-$A$4)*12&lt;=CST_DEP_OTHER),VDB($D3,0,CST_DEP_OTHER, AP$3-($A4-$A$4)*12-1,AP$3-($A4-$A$4)*12),0)</f>
        <v>0</v>
      </c>
      <c r="AQ4" s="134">
        <f t="shared" ref="AQ4:AQ23" si="38">IF(AND($A4-$A$4&gt;0,AQ$3&gt;($A4-$A$4)*12,AQ$3-($A4-$A$4)*12&lt;=CST_DEP_BLDG),VDB($C3,0,CST_DEP_BLDG, AQ$3-($A4-$A$4)*12-1,AQ$3-($A4-$A$4)*12),0) + IF(AND($A4-$A$4&gt;0,AQ$3&gt;($A4-$A$4)*12,AQ$3-($A4-$A$4)*12&lt;=CST_DEP_OTHER),VDB($D3,0,CST_DEP_OTHER, AQ$3-($A4-$A$4)*12-1,AQ$3-($A4-$A$4)*12),0)</f>
        <v>0</v>
      </c>
      <c r="AR4" s="134">
        <f t="shared" ref="AR4:AR23" si="39">IF(AND($A4-$A$4&gt;0,AR$3&gt;($A4-$A$4)*12,AR$3-($A4-$A$4)*12&lt;=CST_DEP_BLDG),VDB($C3,0,CST_DEP_BLDG, AR$3-($A4-$A$4)*12-1,AR$3-($A4-$A$4)*12),0) + IF(AND($A4-$A$4&gt;0,AR$3&gt;($A4-$A$4)*12,AR$3-($A4-$A$4)*12&lt;=CST_DEP_OTHER),VDB($D3,0,CST_DEP_OTHER, AR$3-($A4-$A$4)*12-1,AR$3-($A4-$A$4)*12),0)</f>
        <v>0</v>
      </c>
      <c r="AS4" s="134">
        <f t="shared" ref="AS4:AS23" si="40">IF(AND($A4-$A$4&gt;0,AS$3&gt;($A4-$A$4)*12,AS$3-($A4-$A$4)*12&lt;=CST_DEP_BLDG),VDB($C3,0,CST_DEP_BLDG, AS$3-($A4-$A$4)*12-1,AS$3-($A4-$A$4)*12),0) + IF(AND($A4-$A$4&gt;0,AS$3&gt;($A4-$A$4)*12,AS$3-($A4-$A$4)*12&lt;=CST_DEP_OTHER),VDB($D3,0,CST_DEP_OTHER, AS$3-($A4-$A$4)*12-1,AS$3-($A4-$A$4)*12),0)</f>
        <v>0</v>
      </c>
      <c r="AT4" s="134">
        <f t="shared" ref="AT4:AT23" si="41">IF(AND($A4-$A$4&gt;0,AT$3&gt;($A4-$A$4)*12,AT$3-($A4-$A$4)*12&lt;=CST_DEP_BLDG),VDB($C3,0,CST_DEP_BLDG, AT$3-($A4-$A$4)*12-1,AT$3-($A4-$A$4)*12),0) + IF(AND($A4-$A$4&gt;0,AT$3&gt;($A4-$A$4)*12,AT$3-($A4-$A$4)*12&lt;=CST_DEP_OTHER),VDB($D3,0,CST_DEP_OTHER, AT$3-($A4-$A$4)*12-1,AT$3-($A4-$A$4)*12),0)</f>
        <v>0</v>
      </c>
      <c r="AU4" s="134">
        <f t="shared" ref="AU4:AU23" si="42">IF(AND($A4-$A$4&gt;0,AU$3&gt;($A4-$A$4)*12,AU$3-($A4-$A$4)*12&lt;=CST_DEP_BLDG),VDB($C3,0,CST_DEP_BLDG, AU$3-($A4-$A$4)*12-1,AU$3-($A4-$A$4)*12),0) + IF(AND($A4-$A$4&gt;0,AU$3&gt;($A4-$A$4)*12,AU$3-($A4-$A$4)*12&lt;=CST_DEP_OTHER),VDB($D3,0,CST_DEP_OTHER, AU$3-($A4-$A$4)*12-1,AU$3-($A4-$A$4)*12),0)</f>
        <v>0</v>
      </c>
      <c r="AV4" s="134">
        <f t="shared" ref="AV4:AV23" si="43">IF(AND($A4-$A$4&gt;0,AV$3&gt;($A4-$A$4)*12,AV$3-($A4-$A$4)*12&lt;=CST_DEP_BLDG),VDB($C3,0,CST_DEP_BLDG, AV$3-($A4-$A$4)*12-1,AV$3-($A4-$A$4)*12),0) + IF(AND($A4-$A$4&gt;0,AV$3&gt;($A4-$A$4)*12,AV$3-($A4-$A$4)*12&lt;=CST_DEP_OTHER),VDB($D3,0,CST_DEP_OTHER, AV$3-($A4-$A$4)*12-1,AV$3-($A4-$A$4)*12),0)</f>
        <v>0</v>
      </c>
      <c r="AW4" s="134">
        <f t="shared" ref="AW4:AW23" si="44">IF(AND($A4-$A$4&gt;0,AW$3&gt;($A4-$A$4)*12,AW$3-($A4-$A$4)*12&lt;=CST_DEP_BLDG),VDB($C3,0,CST_DEP_BLDG, AW$3-($A4-$A$4)*12-1,AW$3-($A4-$A$4)*12),0) + IF(AND($A4-$A$4&gt;0,AW$3&gt;($A4-$A$4)*12,AW$3-($A4-$A$4)*12&lt;=CST_DEP_OTHER),VDB($D3,0,CST_DEP_OTHER, AW$3-($A4-$A$4)*12-1,AW$3-($A4-$A$4)*12),0)</f>
        <v>0</v>
      </c>
      <c r="AX4" s="134">
        <f t="shared" ref="AX4:AX23" si="45">IF(AND($A4-$A$4&gt;0,AX$3&gt;($A4-$A$4)*12,AX$3-($A4-$A$4)*12&lt;=CST_DEP_BLDG),VDB($C3,0,CST_DEP_BLDG, AX$3-($A4-$A$4)*12-1,AX$3-($A4-$A$4)*12),0) + IF(AND($A4-$A$4&gt;0,AX$3&gt;($A4-$A$4)*12,AX$3-($A4-$A$4)*12&lt;=CST_DEP_OTHER),VDB($D3,0,CST_DEP_OTHER, AX$3-($A4-$A$4)*12-1,AX$3-($A4-$A$4)*12),0)</f>
        <v>0</v>
      </c>
      <c r="AY4" s="134">
        <f t="shared" ref="AY4:AY23" si="46">IF(AND($A4-$A$4&gt;0,AY$3&gt;($A4-$A$4)*12,AY$3-($A4-$A$4)*12&lt;=CST_DEP_BLDG),VDB($C3,0,CST_DEP_BLDG, AY$3-($A4-$A$4)*12-1,AY$3-($A4-$A$4)*12),0) + IF(AND($A4-$A$4&gt;0,AY$3&gt;($A4-$A$4)*12,AY$3-($A4-$A$4)*12&lt;=CST_DEP_OTHER),VDB($D3,0,CST_DEP_OTHER, AY$3-($A4-$A$4)*12-1,AY$3-($A4-$A$4)*12),0)</f>
        <v>0</v>
      </c>
      <c r="AZ4" s="134">
        <f t="shared" ref="AZ4:AZ23" si="47">IF(AND($A4-$A$4&gt;0,AZ$3&gt;($A4-$A$4)*12,AZ$3-($A4-$A$4)*12&lt;=CST_DEP_BLDG),VDB($C3,0,CST_DEP_BLDG, AZ$3-($A4-$A$4)*12-1,AZ$3-($A4-$A$4)*12),0) + IF(AND($A4-$A$4&gt;0,AZ$3&gt;($A4-$A$4)*12,AZ$3-($A4-$A$4)*12&lt;=CST_DEP_OTHER),VDB($D3,0,CST_DEP_OTHER, AZ$3-($A4-$A$4)*12-1,AZ$3-($A4-$A$4)*12),0)</f>
        <v>0</v>
      </c>
      <c r="BA4" s="134">
        <f t="shared" ref="BA4:BA23" si="48">IF(AND($A4-$A$4&gt;0,BA$3&gt;($A4-$A$4)*12,BA$3-($A4-$A$4)*12&lt;=CST_DEP_BLDG),VDB($C3,0,CST_DEP_BLDG, BA$3-($A4-$A$4)*12-1,BA$3-($A4-$A$4)*12),0) + IF(AND($A4-$A$4&gt;0,BA$3&gt;($A4-$A$4)*12,BA$3-($A4-$A$4)*12&lt;=CST_DEP_OTHER),VDB($D3,0,CST_DEP_OTHER, BA$3-($A4-$A$4)*12-1,BA$3-($A4-$A$4)*12),0)</f>
        <v>0</v>
      </c>
      <c r="BB4" s="134">
        <f t="shared" ref="BB4:BB23" si="49">IF(AND($A4-$A$4&gt;0,BB$3&gt;($A4-$A$4)*12,BB$3-($A4-$A$4)*12&lt;=CST_DEP_BLDG),VDB($C3,0,CST_DEP_BLDG, BB$3-($A4-$A$4)*12-1,BB$3-($A4-$A$4)*12),0) + IF(AND($A4-$A$4&gt;0,BB$3&gt;($A4-$A$4)*12,BB$3-($A4-$A$4)*12&lt;=CST_DEP_OTHER),VDB($D3,0,CST_DEP_OTHER, BB$3-($A4-$A$4)*12-1,BB$3-($A4-$A$4)*12),0)</f>
        <v>0</v>
      </c>
      <c r="BC4" s="134">
        <f t="shared" ref="BC4:BC23" si="50">IF(AND($A4-$A$4&gt;0,BC$3&gt;($A4-$A$4)*12,BC$3-($A4-$A$4)*12&lt;=CST_DEP_BLDG),VDB($C3,0,CST_DEP_BLDG, BC$3-($A4-$A$4)*12-1,BC$3-($A4-$A$4)*12),0) + IF(AND($A4-$A$4&gt;0,BC$3&gt;($A4-$A$4)*12,BC$3-($A4-$A$4)*12&lt;=CST_DEP_OTHER),VDB($D3,0,CST_DEP_OTHER, BC$3-($A4-$A$4)*12-1,BC$3-($A4-$A$4)*12),0)</f>
        <v>0</v>
      </c>
      <c r="BD4" s="134">
        <f t="shared" ref="BD4:BD23" si="51">IF(AND($A4-$A$4&gt;0,BD$3&gt;($A4-$A$4)*12,BD$3-($A4-$A$4)*12&lt;=CST_DEP_BLDG),VDB($C3,0,CST_DEP_BLDG, BD$3-($A4-$A$4)*12-1,BD$3-($A4-$A$4)*12),0) + IF(AND($A4-$A$4&gt;0,BD$3&gt;($A4-$A$4)*12,BD$3-($A4-$A$4)*12&lt;=CST_DEP_OTHER),VDB($D3,0,CST_DEP_OTHER, BD$3-($A4-$A$4)*12-1,BD$3-($A4-$A$4)*12),0)</f>
        <v>0</v>
      </c>
      <c r="BE4" s="134">
        <f t="shared" ref="BE4:BE23" si="52">IF(AND($A4-$A$4&gt;0,BE$3&gt;($A4-$A$4)*12,BE$3-($A4-$A$4)*12&lt;=CST_DEP_BLDG),VDB($C3,0,CST_DEP_BLDG, BE$3-($A4-$A$4)*12-1,BE$3-($A4-$A$4)*12),0) + IF(AND($A4-$A$4&gt;0,BE$3&gt;($A4-$A$4)*12,BE$3-($A4-$A$4)*12&lt;=CST_DEP_OTHER),VDB($D3,0,CST_DEP_OTHER, BE$3-($A4-$A$4)*12-1,BE$3-($A4-$A$4)*12),0)</f>
        <v>0</v>
      </c>
      <c r="BF4" s="134">
        <f t="shared" ref="BF4:BF23" si="53">IF(AND($A4-$A$4&gt;0,BF$3&gt;($A4-$A$4)*12,BF$3-($A4-$A$4)*12&lt;=CST_DEP_BLDG),VDB($C3,0,CST_DEP_BLDG, BF$3-($A4-$A$4)*12-1,BF$3-($A4-$A$4)*12),0) + IF(AND($A4-$A$4&gt;0,BF$3&gt;($A4-$A$4)*12,BF$3-($A4-$A$4)*12&lt;=CST_DEP_OTHER),VDB($D3,0,CST_DEP_OTHER, BF$3-($A4-$A$4)*12-1,BF$3-($A4-$A$4)*12),0)</f>
        <v>0</v>
      </c>
      <c r="BG4" s="134">
        <f t="shared" ref="BG4:BG23" si="54">IF(AND($A4-$A$4&gt;0,BG$3&gt;($A4-$A$4)*12,BG$3-($A4-$A$4)*12&lt;=CST_DEP_BLDG),VDB($C3,0,CST_DEP_BLDG, BG$3-($A4-$A$4)*12-1,BG$3-($A4-$A$4)*12),0) + IF(AND($A4-$A$4&gt;0,BG$3&gt;($A4-$A$4)*12,BG$3-($A4-$A$4)*12&lt;=CST_DEP_OTHER),VDB($D3,0,CST_DEP_OTHER, BG$3-($A4-$A$4)*12-1,BG$3-($A4-$A$4)*12),0)</f>
        <v>0</v>
      </c>
      <c r="BH4" s="134">
        <f t="shared" ref="BH4:BH23" si="55">IF(AND($A4-$A$4&gt;0,BH$3&gt;($A4-$A$4)*12,BH$3-($A4-$A$4)*12&lt;=CST_DEP_BLDG),VDB($C3,0,CST_DEP_BLDG, BH$3-($A4-$A$4)*12-1,BH$3-($A4-$A$4)*12),0) + IF(AND($A4-$A$4&gt;0,BH$3&gt;($A4-$A$4)*12,BH$3-($A4-$A$4)*12&lt;=CST_DEP_OTHER),VDB($D3,0,CST_DEP_OTHER, BH$3-($A4-$A$4)*12-1,BH$3-($A4-$A$4)*12),0)</f>
        <v>0</v>
      </c>
      <c r="BI4" s="134">
        <f t="shared" ref="BI4:BI23" si="56">IF(AND($A4-$A$4&gt;0,BI$3&gt;($A4-$A$4)*12,BI$3-($A4-$A$4)*12&lt;=CST_DEP_BLDG),VDB($C3,0,CST_DEP_BLDG, BI$3-($A4-$A$4)*12-1,BI$3-($A4-$A$4)*12),0) + IF(AND($A4-$A$4&gt;0,BI$3&gt;($A4-$A$4)*12,BI$3-($A4-$A$4)*12&lt;=CST_DEP_OTHER),VDB($D3,0,CST_DEP_OTHER, BI$3-($A4-$A$4)*12-1,BI$3-($A4-$A$4)*12),0)</f>
        <v>0</v>
      </c>
      <c r="BJ4" s="134">
        <f t="shared" ref="BJ4:BJ23" si="57">IF(AND($A4-$A$4&gt;0,BJ$3&gt;($A4-$A$4)*12,BJ$3-($A4-$A$4)*12&lt;=CST_DEP_BLDG),VDB($C3,0,CST_DEP_BLDG, BJ$3-($A4-$A$4)*12-1,BJ$3-($A4-$A$4)*12),0) + IF(AND($A4-$A$4&gt;0,BJ$3&gt;($A4-$A$4)*12,BJ$3-($A4-$A$4)*12&lt;=CST_DEP_OTHER),VDB($D3,0,CST_DEP_OTHER, BJ$3-($A4-$A$4)*12-1,BJ$3-($A4-$A$4)*12),0)</f>
        <v>0</v>
      </c>
      <c r="BK4" s="134">
        <f t="shared" ref="BK4:BK23" si="58">IF(AND($A4-$A$4&gt;0,BK$3&gt;($A4-$A$4)*12,BK$3-($A4-$A$4)*12&lt;=CST_DEP_BLDG),VDB($C3,0,CST_DEP_BLDG, BK$3-($A4-$A$4)*12-1,BK$3-($A4-$A$4)*12),0) + IF(AND($A4-$A$4&gt;0,BK$3&gt;($A4-$A$4)*12,BK$3-($A4-$A$4)*12&lt;=CST_DEP_OTHER),VDB($D3,0,CST_DEP_OTHER, BK$3-($A4-$A$4)*12-1,BK$3-($A4-$A$4)*12),0)</f>
        <v>0</v>
      </c>
      <c r="BL4" s="134">
        <f t="shared" ref="BL4:BL23" si="59">IF(AND($A4-$A$4&gt;0,BL$3&gt;($A4-$A$4)*12,BL$3-($A4-$A$4)*12&lt;=CST_DEP_BLDG),VDB($C3,0,CST_DEP_BLDG, BL$3-($A4-$A$4)*12-1,BL$3-($A4-$A$4)*12),0) + IF(AND($A4-$A$4&gt;0,BL$3&gt;($A4-$A$4)*12,BL$3-($A4-$A$4)*12&lt;=CST_DEP_OTHER),VDB($D3,0,CST_DEP_OTHER, BL$3-($A4-$A$4)*12-1,BL$3-($A4-$A$4)*12),0)</f>
        <v>0</v>
      </c>
      <c r="BM4" s="134">
        <f t="shared" ref="BM4:BM23" si="60">IF(AND($A4-$A$4&gt;0,BM$3&gt;($A4-$A$4)*12,BM$3-($A4-$A$4)*12&lt;=CST_DEP_BLDG),VDB($C3,0,CST_DEP_BLDG, BM$3-($A4-$A$4)*12-1,BM$3-($A4-$A$4)*12),0) + IF(AND($A4-$A$4&gt;0,BM$3&gt;($A4-$A$4)*12,BM$3-($A4-$A$4)*12&lt;=CST_DEP_OTHER),VDB($D3,0,CST_DEP_OTHER, BM$3-($A4-$A$4)*12-1,BM$3-($A4-$A$4)*12),0)</f>
        <v>0</v>
      </c>
      <c r="BN4" s="134">
        <f t="shared" ref="BN4:BN23" si="61">IF(AND($A4-$A$4&gt;0,BN$3&gt;($A4-$A$4)*12,BN$3-($A4-$A$4)*12&lt;=CST_DEP_BLDG),VDB($C3,0,CST_DEP_BLDG, BN$3-($A4-$A$4)*12-1,BN$3-($A4-$A$4)*12),0) + IF(AND($A4-$A$4&gt;0,BN$3&gt;($A4-$A$4)*12,BN$3-($A4-$A$4)*12&lt;=CST_DEP_OTHER),VDB($D3,0,CST_DEP_OTHER, BN$3-($A4-$A$4)*12-1,BN$3-($A4-$A$4)*12),0)</f>
        <v>0</v>
      </c>
      <c r="BO4" s="134">
        <f t="shared" ref="BO4:BO23" si="62">IF(AND($A4-$A$4&gt;0,BO$3&gt;($A4-$A$4)*12,BO$3-($A4-$A$4)*12&lt;=CST_DEP_BLDG),VDB($C3,0,CST_DEP_BLDG, BO$3-($A4-$A$4)*12-1,BO$3-($A4-$A$4)*12),0) + IF(AND($A4-$A$4&gt;0,BO$3&gt;($A4-$A$4)*12,BO$3-($A4-$A$4)*12&lt;=CST_DEP_OTHER),VDB($D3,0,CST_DEP_OTHER, BO$3-($A4-$A$4)*12-1,BO$3-($A4-$A$4)*12),0)</f>
        <v>0</v>
      </c>
      <c r="BP4" s="134">
        <f t="shared" ref="BP4:BP23" si="63">IF(AND($A4-$A$4&gt;0,BP$3&gt;($A4-$A$4)*12,BP$3-($A4-$A$4)*12&lt;=CST_DEP_BLDG),VDB($C3,0,CST_DEP_BLDG, BP$3-($A4-$A$4)*12-1,BP$3-($A4-$A$4)*12),0) + IF(AND($A4-$A$4&gt;0,BP$3&gt;($A4-$A$4)*12,BP$3-($A4-$A$4)*12&lt;=CST_DEP_OTHER),VDB($D3,0,CST_DEP_OTHER, BP$3-($A4-$A$4)*12-1,BP$3-($A4-$A$4)*12),0)</f>
        <v>0</v>
      </c>
      <c r="BQ4" s="134">
        <f t="shared" ref="BQ4:BQ23" si="64">IF(AND($A4-$A$4&gt;0,BQ$3&gt;($A4-$A$4)*12,BQ$3-($A4-$A$4)*12&lt;=CST_DEP_BLDG),VDB($C3,0,CST_DEP_BLDG, BQ$3-($A4-$A$4)*12-1,BQ$3-($A4-$A$4)*12),0) + IF(AND($A4-$A$4&gt;0,BQ$3&gt;($A4-$A$4)*12,BQ$3-($A4-$A$4)*12&lt;=CST_DEP_OTHER),VDB($D3,0,CST_DEP_OTHER, BQ$3-($A4-$A$4)*12-1,BQ$3-($A4-$A$4)*12),0)</f>
        <v>0</v>
      </c>
      <c r="BR4" s="134">
        <f t="shared" ref="BR4:BR23" si="65">IF(AND($A4-$A$4&gt;0,BR$3&gt;($A4-$A$4)*12,BR$3-($A4-$A$4)*12&lt;=CST_DEP_BLDG),VDB($C3,0,CST_DEP_BLDG, BR$3-($A4-$A$4)*12-1,BR$3-($A4-$A$4)*12),0) + IF(AND($A4-$A$4&gt;0,BR$3&gt;($A4-$A$4)*12,BR$3-($A4-$A$4)*12&lt;=CST_DEP_OTHER),VDB($D3,0,CST_DEP_OTHER, BR$3-($A4-$A$4)*12-1,BR$3-($A4-$A$4)*12),0)</f>
        <v>0</v>
      </c>
      <c r="BS4" s="134">
        <f t="shared" ref="BS4:BS23" si="66">IF(AND($A4-$A$4&gt;0,BS$3&gt;($A4-$A$4)*12,BS$3-($A4-$A$4)*12&lt;=CST_DEP_BLDG),VDB($C3,0,CST_DEP_BLDG, BS$3-($A4-$A$4)*12-1,BS$3-($A4-$A$4)*12),0) + IF(AND($A4-$A$4&gt;0,BS$3&gt;($A4-$A$4)*12,BS$3-($A4-$A$4)*12&lt;=CST_DEP_OTHER),VDB($D3,0,CST_DEP_OTHER, BS$3-($A4-$A$4)*12-1,BS$3-($A4-$A$4)*12),0)</f>
        <v>0</v>
      </c>
      <c r="BT4" s="134">
        <f t="shared" ref="BT4:BT23" si="67">IF(AND($A4-$A$4&gt;0,BT$3&gt;($A4-$A$4)*12,BT$3-($A4-$A$4)*12&lt;=CST_DEP_BLDG),VDB($C3,0,CST_DEP_BLDG, BT$3-($A4-$A$4)*12-1,BT$3-($A4-$A$4)*12),0) + IF(AND($A4-$A$4&gt;0,BT$3&gt;($A4-$A$4)*12,BT$3-($A4-$A$4)*12&lt;=CST_DEP_OTHER),VDB($D3,0,CST_DEP_OTHER, BT$3-($A4-$A$4)*12-1,BT$3-($A4-$A$4)*12),0)</f>
        <v>0</v>
      </c>
      <c r="BU4" s="134">
        <f t="shared" ref="BU4:BU23" si="68">IF(AND($A4-$A$4&gt;0,BU$3&gt;($A4-$A$4)*12,BU$3-($A4-$A$4)*12&lt;=CST_DEP_BLDG),VDB($C3,0,CST_DEP_BLDG, BU$3-($A4-$A$4)*12-1,BU$3-($A4-$A$4)*12),0) + IF(AND($A4-$A$4&gt;0,BU$3&gt;($A4-$A$4)*12,BU$3-($A4-$A$4)*12&lt;=CST_DEP_OTHER),VDB($D3,0,CST_DEP_OTHER, BU$3-($A4-$A$4)*12-1,BU$3-($A4-$A$4)*12),0)</f>
        <v>0</v>
      </c>
      <c r="BV4" s="134">
        <f t="shared" ref="BV4:BV23" si="69">IF(AND($A4-$A$4&gt;0,BV$3&gt;($A4-$A$4)*12,BV$3-($A4-$A$4)*12&lt;=CST_DEP_BLDG),VDB($C3,0,CST_DEP_BLDG, BV$3-($A4-$A$4)*12-1,BV$3-($A4-$A$4)*12),0) + IF(AND($A4-$A$4&gt;0,BV$3&gt;($A4-$A$4)*12,BV$3-($A4-$A$4)*12&lt;=CST_DEP_OTHER),VDB($D3,0,CST_DEP_OTHER, BV$3-($A4-$A$4)*12-1,BV$3-($A4-$A$4)*12),0)</f>
        <v>0</v>
      </c>
      <c r="BW4" s="134">
        <f t="shared" ref="BW4:BW23" si="70">IF(AND($A4-$A$4&gt;0,BW$3&gt;($A4-$A$4)*12,BW$3-($A4-$A$4)*12&lt;=CST_DEP_BLDG),VDB($C3,0,CST_DEP_BLDG, BW$3-($A4-$A$4)*12-1,BW$3-($A4-$A$4)*12),0) + IF(AND($A4-$A$4&gt;0,BW$3&gt;($A4-$A$4)*12,BW$3-($A4-$A$4)*12&lt;=CST_DEP_OTHER),VDB($D3,0,CST_DEP_OTHER, BW$3-($A4-$A$4)*12-1,BW$3-($A4-$A$4)*12),0)</f>
        <v>0</v>
      </c>
      <c r="BX4" s="134">
        <f t="shared" ref="BX4:BX23" si="71">IF(AND($A4-$A$4&gt;0,BX$3&gt;($A4-$A$4)*12,BX$3-($A4-$A$4)*12&lt;=CST_DEP_BLDG),VDB($C3,0,CST_DEP_BLDG, BX$3-($A4-$A$4)*12-1,BX$3-($A4-$A$4)*12),0) + IF(AND($A4-$A$4&gt;0,BX$3&gt;($A4-$A$4)*12,BX$3-($A4-$A$4)*12&lt;=CST_DEP_OTHER),VDB($D3,0,CST_DEP_OTHER, BX$3-($A4-$A$4)*12-1,BX$3-($A4-$A$4)*12),0)</f>
        <v>0</v>
      </c>
      <c r="BY4" s="134">
        <f t="shared" ref="BY4:BY23" si="72">IF(AND($A4-$A$4&gt;0,BY$3&gt;($A4-$A$4)*12,BY$3-($A4-$A$4)*12&lt;=CST_DEP_BLDG),VDB($C3,0,CST_DEP_BLDG, BY$3-($A4-$A$4)*12-1,BY$3-($A4-$A$4)*12),0) + IF(AND($A4-$A$4&gt;0,BY$3&gt;($A4-$A$4)*12,BY$3-($A4-$A$4)*12&lt;=CST_DEP_OTHER),VDB($D3,0,CST_DEP_OTHER, BY$3-($A4-$A$4)*12-1,BY$3-($A4-$A$4)*12),0)</f>
        <v>0</v>
      </c>
      <c r="BZ4" s="134">
        <f t="shared" ref="BZ4:BZ23" si="73">IF(AND($A4-$A$4&gt;0,BZ$3&gt;($A4-$A$4)*12,BZ$3-($A4-$A$4)*12&lt;=CST_DEP_BLDG),VDB($C3,0,CST_DEP_BLDG, BZ$3-($A4-$A$4)*12-1,BZ$3-($A4-$A$4)*12),0) + IF(AND($A4-$A$4&gt;0,BZ$3&gt;($A4-$A$4)*12,BZ$3-($A4-$A$4)*12&lt;=CST_DEP_OTHER),VDB($D3,0,CST_DEP_OTHER, BZ$3-($A4-$A$4)*12-1,BZ$3-($A4-$A$4)*12),0)</f>
        <v>0</v>
      </c>
      <c r="CA4" s="134">
        <f t="shared" ref="CA4:CA23" si="74">IF(AND($A4-$A$4&gt;0,CA$3&gt;($A4-$A$4)*12,CA$3-($A4-$A$4)*12&lt;=CST_DEP_BLDG),VDB($C3,0,CST_DEP_BLDG, CA$3-($A4-$A$4)*12-1,CA$3-($A4-$A$4)*12),0) + IF(AND($A4-$A$4&gt;0,CA$3&gt;($A4-$A$4)*12,CA$3-($A4-$A$4)*12&lt;=CST_DEP_OTHER),VDB($D3,0,CST_DEP_OTHER, CA$3-($A4-$A$4)*12-1,CA$3-($A4-$A$4)*12),0)</f>
        <v>0</v>
      </c>
      <c r="CB4" s="134">
        <f t="shared" ref="CB4:CB23" si="75">IF(AND($A4-$A$4&gt;0,CB$3&gt;($A4-$A$4)*12,CB$3-($A4-$A$4)*12&lt;=CST_DEP_BLDG),VDB($C3,0,CST_DEP_BLDG, CB$3-($A4-$A$4)*12-1,CB$3-($A4-$A$4)*12),0) + IF(AND($A4-$A$4&gt;0,CB$3&gt;($A4-$A$4)*12,CB$3-($A4-$A$4)*12&lt;=CST_DEP_OTHER),VDB($D3,0,CST_DEP_OTHER, CB$3-($A4-$A$4)*12-1,CB$3-($A4-$A$4)*12),0)</f>
        <v>0</v>
      </c>
      <c r="CC4" s="134">
        <f t="shared" ref="CC4:CC23" si="76">IF(AND($A4-$A$4&gt;0,CC$3&gt;($A4-$A$4)*12,CC$3-($A4-$A$4)*12&lt;=CST_DEP_BLDG),VDB($C3,0,CST_DEP_BLDG, CC$3-($A4-$A$4)*12-1,CC$3-($A4-$A$4)*12),0) + IF(AND($A4-$A$4&gt;0,CC$3&gt;($A4-$A$4)*12,CC$3-($A4-$A$4)*12&lt;=CST_DEP_OTHER),VDB($D3,0,CST_DEP_OTHER, CC$3-($A4-$A$4)*12-1,CC$3-($A4-$A$4)*12),0)</f>
        <v>0</v>
      </c>
      <c r="CD4" s="134">
        <f t="shared" ref="CD4:CD23" si="77">IF(AND($A4-$A$4&gt;0,CD$3&gt;($A4-$A$4)*12,CD$3-($A4-$A$4)*12&lt;=CST_DEP_BLDG),VDB($C3,0,CST_DEP_BLDG, CD$3-($A4-$A$4)*12-1,CD$3-($A4-$A$4)*12),0) + IF(AND($A4-$A$4&gt;0,CD$3&gt;($A4-$A$4)*12,CD$3-($A4-$A$4)*12&lt;=CST_DEP_OTHER),VDB($D3,0,CST_DEP_OTHER, CD$3-($A4-$A$4)*12-1,CD$3-($A4-$A$4)*12),0)</f>
        <v>0</v>
      </c>
      <c r="CE4" s="134">
        <f t="shared" ref="CE4:CE23" si="78">IF(AND($A4-$A$4&gt;0,CE$3&gt;($A4-$A$4)*12,CE$3-($A4-$A$4)*12&lt;=CST_DEP_BLDG),VDB($C3,0,CST_DEP_BLDG, CE$3-($A4-$A$4)*12-1,CE$3-($A4-$A$4)*12),0) + IF(AND($A4-$A$4&gt;0,CE$3&gt;($A4-$A$4)*12,CE$3-($A4-$A$4)*12&lt;=CST_DEP_OTHER),VDB($D3,0,CST_DEP_OTHER, CE$3-($A4-$A$4)*12-1,CE$3-($A4-$A$4)*12),0)</f>
        <v>0</v>
      </c>
      <c r="CF4" s="134">
        <f t="shared" ref="CF4:CF23" si="79">IF(AND($A4-$A$4&gt;0,CF$3&gt;($A4-$A$4)*12,CF$3-($A4-$A$4)*12&lt;=CST_DEP_BLDG),VDB($C3,0,CST_DEP_BLDG, CF$3-($A4-$A$4)*12-1,CF$3-($A4-$A$4)*12),0) + IF(AND($A4-$A$4&gt;0,CF$3&gt;($A4-$A$4)*12,CF$3-($A4-$A$4)*12&lt;=CST_DEP_OTHER),VDB($D3,0,CST_DEP_OTHER, CF$3-($A4-$A$4)*12-1,CF$3-($A4-$A$4)*12),0)</f>
        <v>0</v>
      </c>
      <c r="CG4" s="134">
        <f t="shared" ref="CG4:CG23" si="80">IF(AND($A4-$A$4&gt;0,CG$3&gt;($A4-$A$4)*12,CG$3-($A4-$A$4)*12&lt;=CST_DEP_BLDG),VDB($C3,0,CST_DEP_BLDG, CG$3-($A4-$A$4)*12-1,CG$3-($A4-$A$4)*12),0) + IF(AND($A4-$A$4&gt;0,CG$3&gt;($A4-$A$4)*12,CG$3-($A4-$A$4)*12&lt;=CST_DEP_OTHER),VDB($D3,0,CST_DEP_OTHER, CG$3-($A4-$A$4)*12-1,CG$3-($A4-$A$4)*12),0)</f>
        <v>0</v>
      </c>
      <c r="CH4" s="134">
        <f t="shared" ref="CH4:CH23" si="81">IF(AND($A4-$A$4&gt;0,CH$3&gt;($A4-$A$4)*12,CH$3-($A4-$A$4)*12&lt;=CST_DEP_BLDG),VDB($C3,0,CST_DEP_BLDG, CH$3-($A4-$A$4)*12-1,CH$3-($A4-$A$4)*12),0) + IF(AND($A4-$A$4&gt;0,CH$3&gt;($A4-$A$4)*12,CH$3-($A4-$A$4)*12&lt;=CST_DEP_OTHER),VDB($D3,0,CST_DEP_OTHER, CH$3-($A4-$A$4)*12-1,CH$3-($A4-$A$4)*12),0)</f>
        <v>0</v>
      </c>
      <c r="CI4" s="134">
        <f t="shared" ref="CI4:CI23" si="82">IF(AND($A4-$A$4&gt;0,CI$3&gt;($A4-$A$4)*12,CI$3-($A4-$A$4)*12&lt;=CST_DEP_BLDG),VDB($C3,0,CST_DEP_BLDG, CI$3-($A4-$A$4)*12-1,CI$3-($A4-$A$4)*12),0) + IF(AND($A4-$A$4&gt;0,CI$3&gt;($A4-$A$4)*12,CI$3-($A4-$A$4)*12&lt;=CST_DEP_OTHER),VDB($D3,0,CST_DEP_OTHER, CI$3-($A4-$A$4)*12-1,CI$3-($A4-$A$4)*12),0)</f>
        <v>0</v>
      </c>
      <c r="CJ4" s="134">
        <f t="shared" ref="CJ4:CJ23" si="83">IF(AND($A4-$A$4&gt;0,CJ$3&gt;($A4-$A$4)*12,CJ$3-($A4-$A$4)*12&lt;=CST_DEP_BLDG),VDB($C3,0,CST_DEP_BLDG, CJ$3-($A4-$A$4)*12-1,CJ$3-($A4-$A$4)*12),0) + IF(AND($A4-$A$4&gt;0,CJ$3&gt;($A4-$A$4)*12,CJ$3-($A4-$A$4)*12&lt;=CST_DEP_OTHER),VDB($D3,0,CST_DEP_OTHER, CJ$3-($A4-$A$4)*12-1,CJ$3-($A4-$A$4)*12),0)</f>
        <v>0</v>
      </c>
      <c r="CK4" s="134">
        <f t="shared" ref="CK4:CK23" si="84">IF(AND($A4-$A$4&gt;0,CK$3&gt;($A4-$A$4)*12,CK$3-($A4-$A$4)*12&lt;=CST_DEP_BLDG),VDB($C3,0,CST_DEP_BLDG, CK$3-($A4-$A$4)*12-1,CK$3-($A4-$A$4)*12),0) + IF(AND($A4-$A$4&gt;0,CK$3&gt;($A4-$A$4)*12,CK$3-($A4-$A$4)*12&lt;=CST_DEP_OTHER),VDB($D3,0,CST_DEP_OTHER, CK$3-($A4-$A$4)*12-1,CK$3-($A4-$A$4)*12),0)</f>
        <v>0</v>
      </c>
      <c r="CL4" s="134">
        <f t="shared" ref="CL4:CL23" si="85">IF(AND($A4-$A$4&gt;0,CL$3&gt;($A4-$A$4)*12,CL$3-($A4-$A$4)*12&lt;=CST_DEP_BLDG),VDB($C3,0,CST_DEP_BLDG, CL$3-($A4-$A$4)*12-1,CL$3-($A4-$A$4)*12),0) + IF(AND($A4-$A$4&gt;0,CL$3&gt;($A4-$A$4)*12,CL$3-($A4-$A$4)*12&lt;=CST_DEP_OTHER),VDB($D3,0,CST_DEP_OTHER, CL$3-($A4-$A$4)*12-1,CL$3-($A4-$A$4)*12),0)</f>
        <v>0</v>
      </c>
      <c r="CM4" s="134">
        <f t="shared" ref="CM4:CM23" si="86">IF(AND($A4-$A$4&gt;0,CM$3&gt;($A4-$A$4)*12,CM$3-($A4-$A$4)*12&lt;=CST_DEP_BLDG),VDB($C3,0,CST_DEP_BLDG, CM$3-($A4-$A$4)*12-1,CM$3-($A4-$A$4)*12),0) + IF(AND($A4-$A$4&gt;0,CM$3&gt;($A4-$A$4)*12,CM$3-($A4-$A$4)*12&lt;=CST_DEP_OTHER),VDB($D3,0,CST_DEP_OTHER, CM$3-($A4-$A$4)*12-1,CM$3-($A4-$A$4)*12),0)</f>
        <v>0</v>
      </c>
      <c r="CN4" s="134">
        <f t="shared" ref="CN4:CN23" si="87">IF(AND($A4-$A$4&gt;0,CN$3&gt;($A4-$A$4)*12,CN$3-($A4-$A$4)*12&lt;=CST_DEP_BLDG),VDB($C3,0,CST_DEP_BLDG, CN$3-($A4-$A$4)*12-1,CN$3-($A4-$A$4)*12),0) + IF(AND($A4-$A$4&gt;0,CN$3&gt;($A4-$A$4)*12,CN$3-($A4-$A$4)*12&lt;=CST_DEP_OTHER),VDB($D3,0,CST_DEP_OTHER, CN$3-($A4-$A$4)*12-1,CN$3-($A4-$A$4)*12),0)</f>
        <v>0</v>
      </c>
      <c r="CO4" s="134">
        <f t="shared" ref="CO4:CO23" si="88">IF(AND($A4-$A$4&gt;0,CO$3&gt;($A4-$A$4)*12,CO$3-($A4-$A$4)*12&lt;=CST_DEP_BLDG),VDB($C3,0,CST_DEP_BLDG, CO$3-($A4-$A$4)*12-1,CO$3-($A4-$A$4)*12),0) + IF(AND($A4-$A$4&gt;0,CO$3&gt;($A4-$A$4)*12,CO$3-($A4-$A$4)*12&lt;=CST_DEP_OTHER),VDB($D3,0,CST_DEP_OTHER, CO$3-($A4-$A$4)*12-1,CO$3-($A4-$A$4)*12),0)</f>
        <v>0</v>
      </c>
      <c r="CP4" s="134">
        <f t="shared" ref="CP4:CP23" si="89">IF(AND($A4-$A$4&gt;0,CP$3&gt;($A4-$A$4)*12,CP$3-($A4-$A$4)*12&lt;=CST_DEP_BLDG),VDB($C3,0,CST_DEP_BLDG, CP$3-($A4-$A$4)*12-1,CP$3-($A4-$A$4)*12),0) + IF(AND($A4-$A$4&gt;0,CP$3&gt;($A4-$A$4)*12,CP$3-($A4-$A$4)*12&lt;=CST_DEP_OTHER),VDB($D3,0,CST_DEP_OTHER, CP$3-($A4-$A$4)*12-1,CP$3-($A4-$A$4)*12),0)</f>
        <v>0</v>
      </c>
      <c r="CQ4" s="134">
        <f t="shared" ref="CQ4:CQ23" si="90">IF(AND($A4-$A$4&gt;0,CQ$3&gt;($A4-$A$4)*12,CQ$3-($A4-$A$4)*12&lt;=CST_DEP_BLDG),VDB($C3,0,CST_DEP_BLDG, CQ$3-($A4-$A$4)*12-1,CQ$3-($A4-$A$4)*12),0) + IF(AND($A4-$A$4&gt;0,CQ$3&gt;($A4-$A$4)*12,CQ$3-($A4-$A$4)*12&lt;=CST_DEP_OTHER),VDB($D3,0,CST_DEP_OTHER, CQ$3-($A4-$A$4)*12-1,CQ$3-($A4-$A$4)*12),0)</f>
        <v>0</v>
      </c>
      <c r="CR4" s="134">
        <f t="shared" ref="CR4:CR23" si="91">IF(AND($A4-$A$4&gt;0,CR$3&gt;($A4-$A$4)*12,CR$3-($A4-$A$4)*12&lt;=CST_DEP_BLDG),VDB($C3,0,CST_DEP_BLDG, CR$3-($A4-$A$4)*12-1,CR$3-($A4-$A$4)*12),0) + IF(AND($A4-$A$4&gt;0,CR$3&gt;($A4-$A$4)*12,CR$3-($A4-$A$4)*12&lt;=CST_DEP_OTHER),VDB($D3,0,CST_DEP_OTHER, CR$3-($A4-$A$4)*12-1,CR$3-($A4-$A$4)*12),0)</f>
        <v>0</v>
      </c>
      <c r="CS4" s="134">
        <f t="shared" ref="CS4:CS23" si="92">IF(AND($A4-$A$4&gt;0,CS$3&gt;($A4-$A$4)*12,CS$3-($A4-$A$4)*12&lt;=CST_DEP_BLDG),VDB($C3,0,CST_DEP_BLDG, CS$3-($A4-$A$4)*12-1,CS$3-($A4-$A$4)*12),0) + IF(AND($A4-$A$4&gt;0,CS$3&gt;($A4-$A$4)*12,CS$3-($A4-$A$4)*12&lt;=CST_DEP_OTHER),VDB($D3,0,CST_DEP_OTHER, CS$3-($A4-$A$4)*12-1,CS$3-($A4-$A$4)*12),0)</f>
        <v>0</v>
      </c>
      <c r="CT4" s="134">
        <f t="shared" ref="CT4:CT23" si="93">IF(AND($A4-$A$4&gt;0,CT$3&gt;($A4-$A$4)*12,CT$3-($A4-$A$4)*12&lt;=CST_DEP_BLDG),VDB($C3,0,CST_DEP_BLDG, CT$3-($A4-$A$4)*12-1,CT$3-($A4-$A$4)*12),0) + IF(AND($A4-$A$4&gt;0,CT$3&gt;($A4-$A$4)*12,CT$3-($A4-$A$4)*12&lt;=CST_DEP_OTHER),VDB($D3,0,CST_DEP_OTHER, CT$3-($A4-$A$4)*12-1,CT$3-($A4-$A$4)*12),0)</f>
        <v>0</v>
      </c>
      <c r="CU4" s="134">
        <f t="shared" ref="CU4:CU23" si="94">IF(AND($A4-$A$4&gt;0,CU$3&gt;($A4-$A$4)*12,CU$3-($A4-$A$4)*12&lt;=CST_DEP_BLDG),VDB($C3,0,CST_DEP_BLDG, CU$3-($A4-$A$4)*12-1,CU$3-($A4-$A$4)*12),0) + IF(AND($A4-$A$4&gt;0,CU$3&gt;($A4-$A$4)*12,CU$3-($A4-$A$4)*12&lt;=CST_DEP_OTHER),VDB($D3,0,CST_DEP_OTHER, CU$3-($A4-$A$4)*12-1,CU$3-($A4-$A$4)*12),0)</f>
        <v>0</v>
      </c>
      <c r="CV4" s="134">
        <f t="shared" ref="CV4:CV23" si="95">IF(AND($A4-$A$4&gt;0,CV$3&gt;($A4-$A$4)*12,CV$3-($A4-$A$4)*12&lt;=CST_DEP_BLDG),VDB($C3,0,CST_DEP_BLDG, CV$3-($A4-$A$4)*12-1,CV$3-($A4-$A$4)*12),0) + IF(AND($A4-$A$4&gt;0,CV$3&gt;($A4-$A$4)*12,CV$3-($A4-$A$4)*12&lt;=CST_DEP_OTHER),VDB($D3,0,CST_DEP_OTHER, CV$3-($A4-$A$4)*12-1,CV$3-($A4-$A$4)*12),0)</f>
        <v>0</v>
      </c>
      <c r="CW4" s="134">
        <f t="shared" ref="CW4:CW23" si="96">IF(AND($A4-$A$4&gt;0,CW$3&gt;($A4-$A$4)*12,CW$3-($A4-$A$4)*12&lt;=CST_DEP_BLDG),VDB($C3,0,CST_DEP_BLDG, CW$3-($A4-$A$4)*12-1,CW$3-($A4-$A$4)*12),0) + IF(AND($A4-$A$4&gt;0,CW$3&gt;($A4-$A$4)*12,CW$3-($A4-$A$4)*12&lt;=CST_DEP_OTHER),VDB($D3,0,CST_DEP_OTHER, CW$3-($A4-$A$4)*12-1,CW$3-($A4-$A$4)*12),0)</f>
        <v>0</v>
      </c>
      <c r="CX4" s="134">
        <f t="shared" ref="CX4:CX23" si="97">IF(AND($A4-$A$4&gt;0,CX$3&gt;($A4-$A$4)*12,CX$3-($A4-$A$4)*12&lt;=CST_DEP_BLDG),VDB($C3,0,CST_DEP_BLDG, CX$3-($A4-$A$4)*12-1,CX$3-($A4-$A$4)*12),0) + IF(AND($A4-$A$4&gt;0,CX$3&gt;($A4-$A$4)*12,CX$3-($A4-$A$4)*12&lt;=CST_DEP_OTHER),VDB($D3,0,CST_DEP_OTHER, CX$3-($A4-$A$4)*12-1,CX$3-($A4-$A$4)*12),0)</f>
        <v>0</v>
      </c>
      <c r="CY4" s="134">
        <f t="shared" ref="CY4:CY23" si="98">IF(AND($A4-$A$4&gt;0,CY$3&gt;($A4-$A$4)*12,CY$3-($A4-$A$4)*12&lt;=CST_DEP_BLDG),VDB($C3,0,CST_DEP_BLDG, CY$3-($A4-$A$4)*12-1,CY$3-($A4-$A$4)*12),0) + IF(AND($A4-$A$4&gt;0,CY$3&gt;($A4-$A$4)*12,CY$3-($A4-$A$4)*12&lt;=CST_DEP_OTHER),VDB($D3,0,CST_DEP_OTHER, CY$3-($A4-$A$4)*12-1,CY$3-($A4-$A$4)*12),0)</f>
        <v>0</v>
      </c>
      <c r="CZ4" s="134">
        <f t="shared" ref="CZ4:CZ23" si="99">IF(AND($A4-$A$4&gt;0,CZ$3&gt;($A4-$A$4)*12,CZ$3-($A4-$A$4)*12&lt;=CST_DEP_BLDG),VDB($C3,0,CST_DEP_BLDG, CZ$3-($A4-$A$4)*12-1,CZ$3-($A4-$A$4)*12),0) + IF(AND($A4-$A$4&gt;0,CZ$3&gt;($A4-$A$4)*12,CZ$3-($A4-$A$4)*12&lt;=CST_DEP_OTHER),VDB($D3,0,CST_DEP_OTHER, CZ$3-($A4-$A$4)*12-1,CZ$3-($A4-$A$4)*12),0)</f>
        <v>0</v>
      </c>
      <c r="DA4" s="134">
        <f t="shared" ref="DA4:DA23" si="100">IF(AND($A4-$A$4&gt;0,DA$3&gt;($A4-$A$4)*12,DA$3-($A4-$A$4)*12&lt;=CST_DEP_BLDG),VDB($C3,0,CST_DEP_BLDG, DA$3-($A4-$A$4)*12-1,DA$3-($A4-$A$4)*12),0) + IF(AND($A4-$A$4&gt;0,DA$3&gt;($A4-$A$4)*12,DA$3-($A4-$A$4)*12&lt;=CST_DEP_OTHER),VDB($D3,0,CST_DEP_OTHER, DA$3-($A4-$A$4)*12-1,DA$3-($A4-$A$4)*12),0)</f>
        <v>0</v>
      </c>
      <c r="DB4" s="134">
        <f t="shared" ref="DB4:DB23" si="101">IF(AND($A4-$A$4&gt;0,DB$3&gt;($A4-$A$4)*12,DB$3-($A4-$A$4)*12&lt;=CST_DEP_BLDG),VDB($C3,0,CST_DEP_BLDG, DB$3-($A4-$A$4)*12-1,DB$3-($A4-$A$4)*12),0) + IF(AND($A4-$A$4&gt;0,DB$3&gt;($A4-$A$4)*12,DB$3-($A4-$A$4)*12&lt;=CST_DEP_OTHER),VDB($D3,0,CST_DEP_OTHER, DB$3-($A4-$A$4)*12-1,DB$3-($A4-$A$4)*12),0)</f>
        <v>0</v>
      </c>
      <c r="DC4" s="134">
        <f t="shared" ref="DC4:DC23" si="102">IF(AND($A4-$A$4&gt;0,DC$3&gt;($A4-$A$4)*12,DC$3-($A4-$A$4)*12&lt;=CST_DEP_BLDG),VDB($C3,0,CST_DEP_BLDG, DC$3-($A4-$A$4)*12-1,DC$3-($A4-$A$4)*12),0) + IF(AND($A4-$A$4&gt;0,DC$3&gt;($A4-$A$4)*12,DC$3-($A4-$A$4)*12&lt;=CST_DEP_OTHER),VDB($D3,0,CST_DEP_OTHER, DC$3-($A4-$A$4)*12-1,DC$3-($A4-$A$4)*12),0)</f>
        <v>0</v>
      </c>
      <c r="DD4" s="134">
        <f t="shared" ref="DD4:DD23" si="103">IF(AND($A4-$A$4&gt;0,DD$3&gt;($A4-$A$4)*12,DD$3-($A4-$A$4)*12&lt;=CST_DEP_BLDG),VDB($C3,0,CST_DEP_BLDG, DD$3-($A4-$A$4)*12-1,DD$3-($A4-$A$4)*12),0) + IF(AND($A4-$A$4&gt;0,DD$3&gt;($A4-$A$4)*12,DD$3-($A4-$A$4)*12&lt;=CST_DEP_OTHER),VDB($D3,0,CST_DEP_OTHER, DD$3-($A4-$A$4)*12-1,DD$3-($A4-$A$4)*12),0)</f>
        <v>0</v>
      </c>
      <c r="DE4" s="134">
        <f t="shared" ref="DE4:DE23" si="104">IF(AND($A4-$A$4&gt;0,DE$3&gt;($A4-$A$4)*12,DE$3-($A4-$A$4)*12&lt;=CST_DEP_BLDG),VDB($C3,0,CST_DEP_BLDG, DE$3-($A4-$A$4)*12-1,DE$3-($A4-$A$4)*12),0) + IF(AND($A4-$A$4&gt;0,DE$3&gt;($A4-$A$4)*12,DE$3-($A4-$A$4)*12&lt;=CST_DEP_OTHER),VDB($D3,0,CST_DEP_OTHER, DE$3-($A4-$A$4)*12-1,DE$3-($A4-$A$4)*12),0)</f>
        <v>0</v>
      </c>
      <c r="DF4" s="134">
        <f t="shared" ref="DF4:DF23" si="105">IF(AND($A4-$A$4&gt;0,DF$3&gt;($A4-$A$4)*12,DF$3-($A4-$A$4)*12&lt;=CST_DEP_BLDG),VDB($C3,0,CST_DEP_BLDG, DF$3-($A4-$A$4)*12-1,DF$3-($A4-$A$4)*12),0) + IF(AND($A4-$A$4&gt;0,DF$3&gt;($A4-$A$4)*12,DF$3-($A4-$A$4)*12&lt;=CST_DEP_OTHER),VDB($D3,0,CST_DEP_OTHER, DF$3-($A4-$A$4)*12-1,DF$3-($A4-$A$4)*12),0)</f>
        <v>0</v>
      </c>
      <c r="DG4" s="134">
        <f t="shared" ref="DG4:DG23" si="106">IF(AND($A4-$A$4&gt;0,DG$3&gt;($A4-$A$4)*12,DG$3-($A4-$A$4)*12&lt;=CST_DEP_BLDG),VDB($C3,0,CST_DEP_BLDG, DG$3-($A4-$A$4)*12-1,DG$3-($A4-$A$4)*12),0) + IF(AND($A4-$A$4&gt;0,DG$3&gt;($A4-$A$4)*12,DG$3-($A4-$A$4)*12&lt;=CST_DEP_OTHER),VDB($D3,0,CST_DEP_OTHER, DG$3-($A4-$A$4)*12-1,DG$3-($A4-$A$4)*12),0)</f>
        <v>0</v>
      </c>
      <c r="DH4" s="134">
        <f t="shared" ref="DH4:DH23" si="107">IF(AND($A4-$A$4&gt;0,DH$3&gt;($A4-$A$4)*12,DH$3-($A4-$A$4)*12&lt;=CST_DEP_BLDG),VDB($C3,0,CST_DEP_BLDG, DH$3-($A4-$A$4)*12-1,DH$3-($A4-$A$4)*12),0) + IF(AND($A4-$A$4&gt;0,DH$3&gt;($A4-$A$4)*12,DH$3-($A4-$A$4)*12&lt;=CST_DEP_OTHER),VDB($D3,0,CST_DEP_OTHER, DH$3-($A4-$A$4)*12-1,DH$3-($A4-$A$4)*12),0)</f>
        <v>0</v>
      </c>
      <c r="DI4" s="134">
        <f t="shared" ref="DI4:DI23" si="108">IF(AND($A4-$A$4&gt;0,DI$3&gt;($A4-$A$4)*12,DI$3-($A4-$A$4)*12&lt;=CST_DEP_BLDG),VDB($C3,0,CST_DEP_BLDG, DI$3-($A4-$A$4)*12-1,DI$3-($A4-$A$4)*12),0) + IF(AND($A4-$A$4&gt;0,DI$3&gt;($A4-$A$4)*12,DI$3-($A4-$A$4)*12&lt;=CST_DEP_OTHER),VDB($D3,0,CST_DEP_OTHER, DI$3-($A4-$A$4)*12-1,DI$3-($A4-$A$4)*12),0)</f>
        <v>0</v>
      </c>
      <c r="DJ4" s="134">
        <f t="shared" ref="DJ4:DJ23" si="109">IF(AND($A4-$A$4&gt;0,DJ$3&gt;($A4-$A$4)*12,DJ$3-($A4-$A$4)*12&lt;=CST_DEP_BLDG),VDB($C3,0,CST_DEP_BLDG, DJ$3-($A4-$A$4)*12-1,DJ$3-($A4-$A$4)*12),0) + IF(AND($A4-$A$4&gt;0,DJ$3&gt;($A4-$A$4)*12,DJ$3-($A4-$A$4)*12&lt;=CST_DEP_OTHER),VDB($D3,0,CST_DEP_OTHER, DJ$3-($A4-$A$4)*12-1,DJ$3-($A4-$A$4)*12),0)</f>
        <v>0</v>
      </c>
      <c r="DK4" s="134">
        <f t="shared" ref="DK4:DK23" si="110">IF(AND($A4-$A$4&gt;0,DK$3&gt;($A4-$A$4)*12,DK$3-($A4-$A$4)*12&lt;=CST_DEP_BLDG),VDB($C3,0,CST_DEP_BLDG, DK$3-($A4-$A$4)*12-1,DK$3-($A4-$A$4)*12),0) + IF(AND($A4-$A$4&gt;0,DK$3&gt;($A4-$A$4)*12,DK$3-($A4-$A$4)*12&lt;=CST_DEP_OTHER),VDB($D3,0,CST_DEP_OTHER, DK$3-($A4-$A$4)*12-1,DK$3-($A4-$A$4)*12),0)</f>
        <v>0</v>
      </c>
      <c r="DL4" s="134">
        <f t="shared" ref="DL4:DL23" si="111">IF(AND($A4-$A$4&gt;0,DL$3&gt;($A4-$A$4)*12,DL$3-($A4-$A$4)*12&lt;=CST_DEP_BLDG),VDB($C3,0,CST_DEP_BLDG, DL$3-($A4-$A$4)*12-1,DL$3-($A4-$A$4)*12),0) + IF(AND($A4-$A$4&gt;0,DL$3&gt;($A4-$A$4)*12,DL$3-($A4-$A$4)*12&lt;=CST_DEP_OTHER),VDB($D3,0,CST_DEP_OTHER, DL$3-($A4-$A$4)*12-1,DL$3-($A4-$A$4)*12),0)</f>
        <v>0</v>
      </c>
      <c r="DM4" s="134">
        <f t="shared" ref="DM4:DM23" si="112">IF(AND($A4-$A$4&gt;0,DM$3&gt;($A4-$A$4)*12,DM$3-($A4-$A$4)*12&lt;=CST_DEP_BLDG),VDB($C3,0,CST_DEP_BLDG, DM$3-($A4-$A$4)*12-1,DM$3-($A4-$A$4)*12),0) + IF(AND($A4-$A$4&gt;0,DM$3&gt;($A4-$A$4)*12,DM$3-($A4-$A$4)*12&lt;=CST_DEP_OTHER),VDB($D3,0,CST_DEP_OTHER, DM$3-($A4-$A$4)*12-1,DM$3-($A4-$A$4)*12),0)</f>
        <v>0</v>
      </c>
      <c r="DN4" s="134">
        <f t="shared" ref="DN4:DN23" si="113">IF(AND($A4-$A$4&gt;0,DN$3&gt;($A4-$A$4)*12,DN$3-($A4-$A$4)*12&lt;=CST_DEP_BLDG),VDB($C3,0,CST_DEP_BLDG, DN$3-($A4-$A$4)*12-1,DN$3-($A4-$A$4)*12),0) + IF(AND($A4-$A$4&gt;0,DN$3&gt;($A4-$A$4)*12,DN$3-($A4-$A$4)*12&lt;=CST_DEP_OTHER),VDB($D3,0,CST_DEP_OTHER, DN$3-($A4-$A$4)*12-1,DN$3-($A4-$A$4)*12),0)</f>
        <v>0</v>
      </c>
      <c r="DO4" s="134">
        <f t="shared" ref="DO4:DO23" si="114">IF(AND($A4-$A$4&gt;0,DO$3&gt;($A4-$A$4)*12,DO$3-($A4-$A$4)*12&lt;=CST_DEP_BLDG),VDB($C3,0,CST_DEP_BLDG, DO$3-($A4-$A$4)*12-1,DO$3-($A4-$A$4)*12),0) + IF(AND($A4-$A$4&gt;0,DO$3&gt;($A4-$A$4)*12,DO$3-($A4-$A$4)*12&lt;=CST_DEP_OTHER),VDB($D3,0,CST_DEP_OTHER, DO$3-($A4-$A$4)*12-1,DO$3-($A4-$A$4)*12),0)</f>
        <v>0</v>
      </c>
      <c r="DP4" s="134">
        <f t="shared" ref="DP4:DP23" si="115">IF(AND($A4-$A$4&gt;0,DP$3&gt;($A4-$A$4)*12,DP$3-($A4-$A$4)*12&lt;=CST_DEP_BLDG),VDB($C3,0,CST_DEP_BLDG, DP$3-($A4-$A$4)*12-1,DP$3-($A4-$A$4)*12),0) + IF(AND($A4-$A$4&gt;0,DP$3&gt;($A4-$A$4)*12,DP$3-($A4-$A$4)*12&lt;=CST_DEP_OTHER),VDB($D3,0,CST_DEP_OTHER, DP$3-($A4-$A$4)*12-1,DP$3-($A4-$A$4)*12),0)</f>
        <v>0</v>
      </c>
      <c r="DQ4" s="134">
        <f t="shared" ref="DQ4:DQ23" si="116">IF(AND($A4-$A$4&gt;0,DQ$3&gt;($A4-$A$4)*12,DQ$3-($A4-$A$4)*12&lt;=CST_DEP_BLDG),VDB($C3,0,CST_DEP_BLDG, DQ$3-($A4-$A$4)*12-1,DQ$3-($A4-$A$4)*12),0) + IF(AND($A4-$A$4&gt;0,DQ$3&gt;($A4-$A$4)*12,DQ$3-($A4-$A$4)*12&lt;=CST_DEP_OTHER),VDB($D3,0,CST_DEP_OTHER, DQ$3-($A4-$A$4)*12-1,DQ$3-($A4-$A$4)*12),0)</f>
        <v>0</v>
      </c>
      <c r="DR4" s="134">
        <f t="shared" ref="DR4:DR23" si="117">IF(AND($A4-$A$4&gt;0,DR$3&gt;($A4-$A$4)*12,DR$3-($A4-$A$4)*12&lt;=CST_DEP_BLDG),VDB($C3,0,CST_DEP_BLDG, DR$3-($A4-$A$4)*12-1,DR$3-($A4-$A$4)*12),0) + IF(AND($A4-$A$4&gt;0,DR$3&gt;($A4-$A$4)*12,DR$3-($A4-$A$4)*12&lt;=CST_DEP_OTHER),VDB($D3,0,CST_DEP_OTHER, DR$3-($A4-$A$4)*12-1,DR$3-($A4-$A$4)*12),0)</f>
        <v>0</v>
      </c>
      <c r="DS4" s="134">
        <f t="shared" ref="DS4:DS23" si="118">IF(AND($A4-$A$4&gt;0,DS$3&gt;($A4-$A$4)*12,DS$3-($A4-$A$4)*12&lt;=CST_DEP_BLDG),VDB($C3,0,CST_DEP_BLDG, DS$3-($A4-$A$4)*12-1,DS$3-($A4-$A$4)*12),0) + IF(AND($A4-$A$4&gt;0,DS$3&gt;($A4-$A$4)*12,DS$3-($A4-$A$4)*12&lt;=CST_DEP_OTHER),VDB($D3,0,CST_DEP_OTHER, DS$3-($A4-$A$4)*12-1,DS$3-($A4-$A$4)*12),0)</f>
        <v>0</v>
      </c>
      <c r="DT4" s="134">
        <f t="shared" ref="DT4:DT23" si="119">IF(AND($A4-$A$4&gt;0,DT$3&gt;($A4-$A$4)*12,DT$3-($A4-$A$4)*12&lt;=CST_DEP_BLDG),VDB($C3,0,CST_DEP_BLDG, DT$3-($A4-$A$4)*12-1,DT$3-($A4-$A$4)*12),0) + IF(AND($A4-$A$4&gt;0,DT$3&gt;($A4-$A$4)*12,DT$3-($A4-$A$4)*12&lt;=CST_DEP_OTHER),VDB($D3,0,CST_DEP_OTHER, DT$3-($A4-$A$4)*12-1,DT$3-($A4-$A$4)*12),0)</f>
        <v>0</v>
      </c>
      <c r="DU4" s="134">
        <f t="shared" ref="DU4:DU23" si="120">IF(AND($A4-$A$4&gt;0,DU$3&gt;($A4-$A$4)*12,DU$3-($A4-$A$4)*12&lt;=CST_DEP_BLDG),VDB($C3,0,CST_DEP_BLDG, DU$3-($A4-$A$4)*12-1,DU$3-($A4-$A$4)*12),0) + IF(AND($A4-$A$4&gt;0,DU$3&gt;($A4-$A$4)*12,DU$3-($A4-$A$4)*12&lt;=CST_DEP_OTHER),VDB($D3,0,CST_DEP_OTHER, DU$3-($A4-$A$4)*12-1,DU$3-($A4-$A$4)*12),0)</f>
        <v>0</v>
      </c>
      <c r="DV4" s="134">
        <f t="shared" ref="DV4:DV23" si="121">IF(AND($A4-$A$4&gt;0,DV$3&gt;($A4-$A$4)*12,DV$3-($A4-$A$4)*12&lt;=CST_DEP_BLDG),VDB($C3,0,CST_DEP_BLDG, DV$3-($A4-$A$4)*12-1,DV$3-($A4-$A$4)*12),0) + IF(AND($A4-$A$4&gt;0,DV$3&gt;($A4-$A$4)*12,DV$3-($A4-$A$4)*12&lt;=CST_DEP_OTHER),VDB($D3,0,CST_DEP_OTHER, DV$3-($A4-$A$4)*12-1,DV$3-($A4-$A$4)*12),0)</f>
        <v>0</v>
      </c>
      <c r="DW4" s="134">
        <f t="shared" ref="DW4:DW23" si="122">IF(AND($A4-$A$4&gt;0,DW$3&gt;($A4-$A$4)*12,DW$3-($A4-$A$4)*12&lt;=CST_DEP_BLDG),VDB($C3,0,CST_DEP_BLDG, DW$3-($A4-$A$4)*12-1,DW$3-($A4-$A$4)*12),0) + IF(AND($A4-$A$4&gt;0,DW$3&gt;($A4-$A$4)*12,DW$3-($A4-$A$4)*12&lt;=CST_DEP_OTHER),VDB($D3,0,CST_DEP_OTHER, DW$3-($A4-$A$4)*12-1,DW$3-($A4-$A$4)*12),0)</f>
        <v>0</v>
      </c>
      <c r="DX4" s="134">
        <f t="shared" ref="DX4:DX23" si="123">IF(AND($A4-$A$4&gt;0,DX$3&gt;($A4-$A$4)*12,DX$3-($A4-$A$4)*12&lt;=CST_DEP_BLDG),VDB($C3,0,CST_DEP_BLDG, DX$3-($A4-$A$4)*12-1,DX$3-($A4-$A$4)*12),0) + IF(AND($A4-$A$4&gt;0,DX$3&gt;($A4-$A$4)*12,DX$3-($A4-$A$4)*12&lt;=CST_DEP_OTHER),VDB($D3,0,CST_DEP_OTHER, DX$3-($A4-$A$4)*12-1,DX$3-($A4-$A$4)*12),0)</f>
        <v>0</v>
      </c>
      <c r="DY4" s="134">
        <f t="shared" ref="DY4:DY23" si="124">IF(AND($A4-$A$4&gt;0,DY$3&gt;($A4-$A$4)*12,DY$3-($A4-$A$4)*12&lt;=CST_DEP_BLDG),VDB($C3,0,CST_DEP_BLDG, DY$3-($A4-$A$4)*12-1,DY$3-($A4-$A$4)*12),0) + IF(AND($A4-$A$4&gt;0,DY$3&gt;($A4-$A$4)*12,DY$3-($A4-$A$4)*12&lt;=CST_DEP_OTHER),VDB($D3,0,CST_DEP_OTHER, DY$3-($A4-$A$4)*12-1,DY$3-($A4-$A$4)*12),0)</f>
        <v>0</v>
      </c>
      <c r="DZ4" s="134">
        <f t="shared" ref="DZ4:DZ23" si="125">IF(AND($A4-$A$4&gt;0,DZ$3&gt;($A4-$A$4)*12,DZ$3-($A4-$A$4)*12&lt;=CST_DEP_BLDG),VDB($C3,0,CST_DEP_BLDG, DZ$3-($A4-$A$4)*12-1,DZ$3-($A4-$A$4)*12),0) + IF(AND($A4-$A$4&gt;0,DZ$3&gt;($A4-$A$4)*12,DZ$3-($A4-$A$4)*12&lt;=CST_DEP_OTHER),VDB($D3,0,CST_DEP_OTHER, DZ$3-($A4-$A$4)*12-1,DZ$3-($A4-$A$4)*12),0)</f>
        <v>0</v>
      </c>
      <c r="EA4" s="134">
        <f t="shared" ref="EA4:EA23" si="126">IF(AND($A4-$A$4&gt;0,EA$3&gt;($A4-$A$4)*12,EA$3-($A4-$A$4)*12&lt;=CST_DEP_BLDG),VDB($C3,0,CST_DEP_BLDG, EA$3-($A4-$A$4)*12-1,EA$3-($A4-$A$4)*12),0) + IF(AND($A4-$A$4&gt;0,EA$3&gt;($A4-$A$4)*12,EA$3-($A4-$A$4)*12&lt;=CST_DEP_OTHER),VDB($D3,0,CST_DEP_OTHER, EA$3-($A4-$A$4)*12-1,EA$3-($A4-$A$4)*12),0)</f>
        <v>0</v>
      </c>
      <c r="EB4" s="134">
        <f t="shared" ref="EB4:EB23" si="127">IF(AND($A4-$A$4&gt;0,EB$3&gt;($A4-$A$4)*12,EB$3-($A4-$A$4)*12&lt;=CST_DEP_BLDG),VDB($C3,0,CST_DEP_BLDG, EB$3-($A4-$A$4)*12-1,EB$3-($A4-$A$4)*12),0) + IF(AND($A4-$A$4&gt;0,EB$3&gt;($A4-$A$4)*12,EB$3-($A4-$A$4)*12&lt;=CST_DEP_OTHER),VDB($D3,0,CST_DEP_OTHER, EB$3-($A4-$A$4)*12-1,EB$3-($A4-$A$4)*12),0)</f>
        <v>0</v>
      </c>
      <c r="EC4" s="134">
        <f t="shared" ref="EC4:EC23" si="128">IF(AND($A4-$A$4&gt;0,EC$3&gt;($A4-$A$4)*12,EC$3-($A4-$A$4)*12&lt;=CST_DEP_BLDG),VDB($C3,0,CST_DEP_BLDG, EC$3-($A4-$A$4)*12-1,EC$3-($A4-$A$4)*12),0) + IF(AND($A4-$A$4&gt;0,EC$3&gt;($A4-$A$4)*12,EC$3-($A4-$A$4)*12&lt;=CST_DEP_OTHER),VDB($D3,0,CST_DEP_OTHER, EC$3-($A4-$A$4)*12-1,EC$3-($A4-$A$4)*12),0)</f>
        <v>0</v>
      </c>
      <c r="ED4" s="134">
        <f t="shared" ref="ED4:ED23" si="129">IF(AND($A4-$A$4&gt;0,ED$3&gt;($A4-$A$4)*12,ED$3-($A4-$A$4)*12&lt;=CST_DEP_BLDG),VDB($C3,0,CST_DEP_BLDG, ED$3-($A4-$A$4)*12-1,ED$3-($A4-$A$4)*12),0) + IF(AND($A4-$A$4&gt;0,ED$3&gt;($A4-$A$4)*12,ED$3-($A4-$A$4)*12&lt;=CST_DEP_OTHER),VDB($D3,0,CST_DEP_OTHER, ED$3-($A4-$A$4)*12-1,ED$3-($A4-$A$4)*12),0)</f>
        <v>0</v>
      </c>
      <c r="EE4" s="134">
        <f t="shared" ref="EE4:EE23" si="130">IF(AND($A4-$A$4&gt;0,EE$3&gt;($A4-$A$4)*12,EE$3-($A4-$A$4)*12&lt;=CST_DEP_BLDG),VDB($C3,0,CST_DEP_BLDG, EE$3-($A4-$A$4)*12-1,EE$3-($A4-$A$4)*12),0) + IF(AND($A4-$A$4&gt;0,EE$3&gt;($A4-$A$4)*12,EE$3-($A4-$A$4)*12&lt;=CST_DEP_OTHER),VDB($D3,0,CST_DEP_OTHER, EE$3-($A4-$A$4)*12-1,EE$3-($A4-$A$4)*12),0)</f>
        <v>0</v>
      </c>
      <c r="EF4" s="134">
        <f t="shared" ref="EF4:EF23" si="131">IF(AND($A4-$A$4&gt;0,EF$3&gt;($A4-$A$4)*12,EF$3-($A4-$A$4)*12&lt;=CST_DEP_BLDG),VDB($C3,0,CST_DEP_BLDG, EF$3-($A4-$A$4)*12-1,EF$3-($A4-$A$4)*12),0) + IF(AND($A4-$A$4&gt;0,EF$3&gt;($A4-$A$4)*12,EF$3-($A4-$A$4)*12&lt;=CST_DEP_OTHER),VDB($D3,0,CST_DEP_OTHER, EF$3-($A4-$A$4)*12-1,EF$3-($A4-$A$4)*12),0)</f>
        <v>0</v>
      </c>
      <c r="EG4" s="134">
        <f t="shared" ref="EG4:EG23" si="132">IF(AND($A4-$A$4&gt;0,EG$3&gt;($A4-$A$4)*12,EG$3-($A4-$A$4)*12&lt;=CST_DEP_BLDG),VDB($C3,0,CST_DEP_BLDG, EG$3-($A4-$A$4)*12-1,EG$3-($A4-$A$4)*12),0) + IF(AND($A4-$A$4&gt;0,EG$3&gt;($A4-$A$4)*12,EG$3-($A4-$A$4)*12&lt;=CST_DEP_OTHER),VDB($D3,0,CST_DEP_OTHER, EG$3-($A4-$A$4)*12-1,EG$3-($A4-$A$4)*12),0)</f>
        <v>0</v>
      </c>
      <c r="EH4" s="134">
        <f t="shared" ref="EH4:EH23" si="133">IF(AND($A4-$A$4&gt;0,EH$3&gt;($A4-$A$4)*12,EH$3-($A4-$A$4)*12&lt;=CST_DEP_BLDG),VDB($C3,0,CST_DEP_BLDG, EH$3-($A4-$A$4)*12-1,EH$3-($A4-$A$4)*12),0) + IF(AND($A4-$A$4&gt;0,EH$3&gt;($A4-$A$4)*12,EH$3-($A4-$A$4)*12&lt;=CST_DEP_OTHER),VDB($D3,0,CST_DEP_OTHER, EH$3-($A4-$A$4)*12-1,EH$3-($A4-$A$4)*12),0)</f>
        <v>0</v>
      </c>
      <c r="EI4" s="134">
        <f t="shared" ref="EI4:EI23" si="134">IF(AND($A4-$A$4&gt;0,EI$3&gt;($A4-$A$4)*12,EI$3-($A4-$A$4)*12&lt;=CST_DEP_BLDG),VDB($C3,0,CST_DEP_BLDG, EI$3-($A4-$A$4)*12-1,EI$3-($A4-$A$4)*12),0) + IF(AND($A4-$A$4&gt;0,EI$3&gt;($A4-$A$4)*12,EI$3-($A4-$A$4)*12&lt;=CST_DEP_OTHER),VDB($D3,0,CST_DEP_OTHER, EI$3-($A4-$A$4)*12-1,EI$3-($A4-$A$4)*12),0)</f>
        <v>0</v>
      </c>
      <c r="EJ4" s="134">
        <f t="shared" ref="EJ4:EJ23" si="135">IF(AND($A4-$A$4&gt;0,EJ$3&gt;($A4-$A$4)*12,EJ$3-($A4-$A$4)*12&lt;=CST_DEP_BLDG),VDB($C3,0,CST_DEP_BLDG, EJ$3-($A4-$A$4)*12-1,EJ$3-($A4-$A$4)*12),0) + IF(AND($A4-$A$4&gt;0,EJ$3&gt;($A4-$A$4)*12,EJ$3-($A4-$A$4)*12&lt;=CST_DEP_OTHER),VDB($D3,0,CST_DEP_OTHER, EJ$3-($A4-$A$4)*12-1,EJ$3-($A4-$A$4)*12),0)</f>
        <v>0</v>
      </c>
      <c r="EK4" s="134">
        <f t="shared" ref="EK4:EK23" si="136">IF(AND($A4-$A$4&gt;0,EK$3&gt;($A4-$A$4)*12,EK$3-($A4-$A$4)*12&lt;=CST_DEP_BLDG),VDB($C3,0,CST_DEP_BLDG, EK$3-($A4-$A$4)*12-1,EK$3-($A4-$A$4)*12),0) + IF(AND($A4-$A$4&gt;0,EK$3&gt;($A4-$A$4)*12,EK$3-($A4-$A$4)*12&lt;=CST_DEP_OTHER),VDB($D3,0,CST_DEP_OTHER, EK$3-($A4-$A$4)*12-1,EK$3-($A4-$A$4)*12),0)</f>
        <v>0</v>
      </c>
      <c r="EL4" s="134">
        <f t="shared" ref="EL4:EL23" si="137">IF(AND($A4-$A$4&gt;0,EL$3&gt;($A4-$A$4)*12,EL$3-($A4-$A$4)*12&lt;=CST_DEP_BLDG),VDB($C3,0,CST_DEP_BLDG, EL$3-($A4-$A$4)*12-1,EL$3-($A4-$A$4)*12),0) + IF(AND($A4-$A$4&gt;0,EL$3&gt;($A4-$A$4)*12,EL$3-($A4-$A$4)*12&lt;=CST_DEP_OTHER),VDB($D3,0,CST_DEP_OTHER, EL$3-($A4-$A$4)*12-1,EL$3-($A4-$A$4)*12),0)</f>
        <v>0</v>
      </c>
      <c r="EM4" s="134">
        <f t="shared" ref="EM4:EM23" si="138">IF(AND($A4-$A$4&gt;0,EM$3&gt;($A4-$A$4)*12,EM$3-($A4-$A$4)*12&lt;=CST_DEP_BLDG),VDB($C3,0,CST_DEP_BLDG, EM$3-($A4-$A$4)*12-1,EM$3-($A4-$A$4)*12),0) + IF(AND($A4-$A$4&gt;0,EM$3&gt;($A4-$A$4)*12,EM$3-($A4-$A$4)*12&lt;=CST_DEP_OTHER),VDB($D3,0,CST_DEP_OTHER, EM$3-($A4-$A$4)*12-1,EM$3-($A4-$A$4)*12),0)</f>
        <v>0</v>
      </c>
      <c r="EN4" s="134">
        <f t="shared" ref="EN4:EN23" si="139">IF(AND($A4-$A$4&gt;0,EN$3&gt;($A4-$A$4)*12,EN$3-($A4-$A$4)*12&lt;=CST_DEP_BLDG),VDB($C3,0,CST_DEP_BLDG, EN$3-($A4-$A$4)*12-1,EN$3-($A4-$A$4)*12),0) + IF(AND($A4-$A$4&gt;0,EN$3&gt;($A4-$A$4)*12,EN$3-($A4-$A$4)*12&lt;=CST_DEP_OTHER),VDB($D3,0,CST_DEP_OTHER, EN$3-($A4-$A$4)*12-1,EN$3-($A4-$A$4)*12),0)</f>
        <v>0</v>
      </c>
      <c r="EO4" s="134">
        <f t="shared" ref="EO4:EO23" si="140">IF(AND($A4-$A$4&gt;0,EO$3&gt;($A4-$A$4)*12,EO$3-($A4-$A$4)*12&lt;=CST_DEP_BLDG),VDB($C3,0,CST_DEP_BLDG, EO$3-($A4-$A$4)*12-1,EO$3-($A4-$A$4)*12),0) + IF(AND($A4-$A$4&gt;0,EO$3&gt;($A4-$A$4)*12,EO$3-($A4-$A$4)*12&lt;=CST_DEP_OTHER),VDB($D3,0,CST_DEP_OTHER, EO$3-($A4-$A$4)*12-1,EO$3-($A4-$A$4)*12),0)</f>
        <v>0</v>
      </c>
      <c r="EP4" s="134">
        <f t="shared" ref="EP4:EP23" si="141">IF(AND($A4-$A$4&gt;0,EP$3&gt;($A4-$A$4)*12,EP$3-($A4-$A$4)*12&lt;=CST_DEP_BLDG),VDB($C3,0,CST_DEP_BLDG, EP$3-($A4-$A$4)*12-1,EP$3-($A4-$A$4)*12),0) + IF(AND($A4-$A$4&gt;0,EP$3&gt;($A4-$A$4)*12,EP$3-($A4-$A$4)*12&lt;=CST_DEP_OTHER),VDB($D3,0,CST_DEP_OTHER, EP$3-($A4-$A$4)*12-1,EP$3-($A4-$A$4)*12),0)</f>
        <v>0</v>
      </c>
      <c r="EQ4" s="134">
        <f t="shared" ref="EQ4:EQ23" si="142">IF(AND($A4-$A$4&gt;0,EQ$3&gt;($A4-$A$4)*12,EQ$3-($A4-$A$4)*12&lt;=CST_DEP_BLDG),VDB($C3,0,CST_DEP_BLDG, EQ$3-($A4-$A$4)*12-1,EQ$3-($A4-$A$4)*12),0) + IF(AND($A4-$A$4&gt;0,EQ$3&gt;($A4-$A$4)*12,EQ$3-($A4-$A$4)*12&lt;=CST_DEP_OTHER),VDB($D3,0,CST_DEP_OTHER, EQ$3-($A4-$A$4)*12-1,EQ$3-($A4-$A$4)*12),0)</f>
        <v>0</v>
      </c>
      <c r="ER4" s="134">
        <f t="shared" ref="ER4:ER23" si="143">IF(AND($A4-$A$4&gt;0,ER$3&gt;($A4-$A$4)*12,ER$3-($A4-$A$4)*12&lt;=CST_DEP_BLDG),VDB($C3,0,CST_DEP_BLDG, ER$3-($A4-$A$4)*12-1,ER$3-($A4-$A$4)*12),0) + IF(AND($A4-$A$4&gt;0,ER$3&gt;($A4-$A$4)*12,ER$3-($A4-$A$4)*12&lt;=CST_DEP_OTHER),VDB($D3,0,CST_DEP_OTHER, ER$3-($A4-$A$4)*12-1,ER$3-($A4-$A$4)*12),0)</f>
        <v>0</v>
      </c>
      <c r="ES4" s="134">
        <f t="shared" ref="ES4:ES23" si="144">IF(AND($A4-$A$4&gt;0,ES$3&gt;($A4-$A$4)*12,ES$3-($A4-$A$4)*12&lt;=CST_DEP_BLDG),VDB($C3,0,CST_DEP_BLDG, ES$3-($A4-$A$4)*12-1,ES$3-($A4-$A$4)*12),0) + IF(AND($A4-$A$4&gt;0,ES$3&gt;($A4-$A$4)*12,ES$3-($A4-$A$4)*12&lt;=CST_DEP_OTHER),VDB($D3,0,CST_DEP_OTHER, ES$3-($A4-$A$4)*12-1,ES$3-($A4-$A$4)*12),0)</f>
        <v>0</v>
      </c>
      <c r="ET4" s="134">
        <f t="shared" ref="ET4:ET23" si="145">IF(AND($A4-$A$4&gt;0,ET$3&gt;($A4-$A$4)*12,ET$3-($A4-$A$4)*12&lt;=CST_DEP_BLDG),VDB($C3,0,CST_DEP_BLDG, ET$3-($A4-$A$4)*12-1,ET$3-($A4-$A$4)*12),0) + IF(AND($A4-$A$4&gt;0,ET$3&gt;($A4-$A$4)*12,ET$3-($A4-$A$4)*12&lt;=CST_DEP_OTHER),VDB($D3,0,CST_DEP_OTHER, ET$3-($A4-$A$4)*12-1,ET$3-($A4-$A$4)*12),0)</f>
        <v>0</v>
      </c>
      <c r="EU4" s="134">
        <f t="shared" ref="EU4:EU23" si="146">IF(AND($A4-$A$4&gt;0,EU$3&gt;($A4-$A$4)*12,EU$3-($A4-$A$4)*12&lt;=CST_DEP_BLDG),VDB($C3,0,CST_DEP_BLDG, EU$3-($A4-$A$4)*12-1,EU$3-($A4-$A$4)*12),0) + IF(AND($A4-$A$4&gt;0,EU$3&gt;($A4-$A$4)*12,EU$3-($A4-$A$4)*12&lt;=CST_DEP_OTHER),VDB($D3,0,CST_DEP_OTHER, EU$3-($A4-$A$4)*12-1,EU$3-($A4-$A$4)*12),0)</f>
        <v>0</v>
      </c>
      <c r="EV4" s="134">
        <f t="shared" ref="EV4:EV23" si="147">IF(AND($A4-$A$4&gt;0,EV$3&gt;($A4-$A$4)*12,EV$3-($A4-$A$4)*12&lt;=CST_DEP_BLDG),VDB($C3,0,CST_DEP_BLDG, EV$3-($A4-$A$4)*12-1,EV$3-($A4-$A$4)*12),0) + IF(AND($A4-$A$4&gt;0,EV$3&gt;($A4-$A$4)*12,EV$3-($A4-$A$4)*12&lt;=CST_DEP_OTHER),VDB($D3,0,CST_DEP_OTHER, EV$3-($A4-$A$4)*12-1,EV$3-($A4-$A$4)*12),0)</f>
        <v>0</v>
      </c>
      <c r="EW4" s="134">
        <f t="shared" ref="EW4:EW23" si="148">IF(AND($A4-$A$4&gt;0,EW$3&gt;($A4-$A$4)*12,EW$3-($A4-$A$4)*12&lt;=CST_DEP_BLDG),VDB($C3,0,CST_DEP_BLDG, EW$3-($A4-$A$4)*12-1,EW$3-($A4-$A$4)*12),0) + IF(AND($A4-$A$4&gt;0,EW$3&gt;($A4-$A$4)*12,EW$3-($A4-$A$4)*12&lt;=CST_DEP_OTHER),VDB($D3,0,CST_DEP_OTHER, EW$3-($A4-$A$4)*12-1,EW$3-($A4-$A$4)*12),0)</f>
        <v>0</v>
      </c>
      <c r="EX4" s="134">
        <f t="shared" ref="EX4:EX23" si="149">IF(AND($A4-$A$4&gt;0,EX$3&gt;($A4-$A$4)*12,EX$3-($A4-$A$4)*12&lt;=CST_DEP_BLDG),VDB($C3,0,CST_DEP_BLDG, EX$3-($A4-$A$4)*12-1,EX$3-($A4-$A$4)*12),0) + IF(AND($A4-$A$4&gt;0,EX$3&gt;($A4-$A$4)*12,EX$3-($A4-$A$4)*12&lt;=CST_DEP_OTHER),VDB($D3,0,CST_DEP_OTHER, EX$3-($A4-$A$4)*12-1,EX$3-($A4-$A$4)*12),0)</f>
        <v>0</v>
      </c>
      <c r="EY4" s="134">
        <f t="shared" ref="EY4:EY23" si="150">IF(AND($A4-$A$4&gt;0,EY$3&gt;($A4-$A$4)*12,EY$3-($A4-$A$4)*12&lt;=CST_DEP_BLDG),VDB($C3,0,CST_DEP_BLDG, EY$3-($A4-$A$4)*12-1,EY$3-($A4-$A$4)*12),0) + IF(AND($A4-$A$4&gt;0,EY$3&gt;($A4-$A$4)*12,EY$3-($A4-$A$4)*12&lt;=CST_DEP_OTHER),VDB($D3,0,CST_DEP_OTHER, EY$3-($A4-$A$4)*12-1,EY$3-($A4-$A$4)*12),0)</f>
        <v>0</v>
      </c>
      <c r="EZ4" s="134">
        <f t="shared" ref="EZ4:EZ23" si="151">IF(AND($A4-$A$4&gt;0,EZ$3&gt;($A4-$A$4)*12,EZ$3-($A4-$A$4)*12&lt;=CST_DEP_BLDG),VDB($C3,0,CST_DEP_BLDG, EZ$3-($A4-$A$4)*12-1,EZ$3-($A4-$A$4)*12),0) + IF(AND($A4-$A$4&gt;0,EZ$3&gt;($A4-$A$4)*12,EZ$3-($A4-$A$4)*12&lt;=CST_DEP_OTHER),VDB($D3,0,CST_DEP_OTHER, EZ$3-($A4-$A$4)*12-1,EZ$3-($A4-$A$4)*12),0)</f>
        <v>0</v>
      </c>
      <c r="FA4" s="134">
        <f t="shared" ref="FA4:FA23" si="152">IF(AND($A4-$A$4&gt;0,FA$3&gt;($A4-$A$4)*12,FA$3-($A4-$A$4)*12&lt;=CST_DEP_BLDG),VDB($C3,0,CST_DEP_BLDG, FA$3-($A4-$A$4)*12-1,FA$3-($A4-$A$4)*12),0) + IF(AND($A4-$A$4&gt;0,FA$3&gt;($A4-$A$4)*12,FA$3-($A4-$A$4)*12&lt;=CST_DEP_OTHER),VDB($D3,0,CST_DEP_OTHER, FA$3-($A4-$A$4)*12-1,FA$3-($A4-$A$4)*12),0)</f>
        <v>0</v>
      </c>
      <c r="FB4" s="134">
        <f t="shared" ref="FB4:FB23" si="153">IF(AND($A4-$A$4&gt;0,FB$3&gt;($A4-$A$4)*12,FB$3-($A4-$A$4)*12&lt;=CST_DEP_BLDG),VDB($C3,0,CST_DEP_BLDG, FB$3-($A4-$A$4)*12-1,FB$3-($A4-$A$4)*12),0) + IF(AND($A4-$A$4&gt;0,FB$3&gt;($A4-$A$4)*12,FB$3-($A4-$A$4)*12&lt;=CST_DEP_OTHER),VDB($D3,0,CST_DEP_OTHER, FB$3-($A4-$A$4)*12-1,FB$3-($A4-$A$4)*12),0)</f>
        <v>0</v>
      </c>
      <c r="FC4" s="134">
        <f t="shared" ref="FC4:FC23" si="154">IF(AND($A4-$A$4&gt;0,FC$3&gt;($A4-$A$4)*12,FC$3-($A4-$A$4)*12&lt;=CST_DEP_BLDG),VDB($C3,0,CST_DEP_BLDG, FC$3-($A4-$A$4)*12-1,FC$3-($A4-$A$4)*12),0) + IF(AND($A4-$A$4&gt;0,FC$3&gt;($A4-$A$4)*12,FC$3-($A4-$A$4)*12&lt;=CST_DEP_OTHER),VDB($D3,0,CST_DEP_OTHER, FC$3-($A4-$A$4)*12-1,FC$3-($A4-$A$4)*12),0)</f>
        <v>0</v>
      </c>
      <c r="FD4" s="134">
        <f t="shared" ref="FD4:FD23" si="155">IF(AND($A4-$A$4&gt;0,FD$3&gt;($A4-$A$4)*12,FD$3-($A4-$A$4)*12&lt;=CST_DEP_BLDG),VDB($C3,0,CST_DEP_BLDG, FD$3-($A4-$A$4)*12-1,FD$3-($A4-$A$4)*12),0) + IF(AND($A4-$A$4&gt;0,FD$3&gt;($A4-$A$4)*12,FD$3-($A4-$A$4)*12&lt;=CST_DEP_OTHER),VDB($D3,0,CST_DEP_OTHER, FD$3-($A4-$A$4)*12-1,FD$3-($A4-$A$4)*12),0)</f>
        <v>0</v>
      </c>
      <c r="FE4" s="134">
        <f t="shared" ref="FE4:FE23" si="156">IF(AND($A4-$A$4&gt;0,FE$3&gt;($A4-$A$4)*12,FE$3-($A4-$A$4)*12&lt;=CST_DEP_BLDG),VDB($C3,0,CST_DEP_BLDG, FE$3-($A4-$A$4)*12-1,FE$3-($A4-$A$4)*12),0) + IF(AND($A4-$A$4&gt;0,FE$3&gt;($A4-$A$4)*12,FE$3-($A4-$A$4)*12&lt;=CST_DEP_OTHER),VDB($D3,0,CST_DEP_OTHER, FE$3-($A4-$A$4)*12-1,FE$3-($A4-$A$4)*12),0)</f>
        <v>0</v>
      </c>
      <c r="FF4" s="134">
        <f t="shared" ref="FF4:FF23" si="157">IF(AND($A4-$A$4&gt;0,FF$3&gt;($A4-$A$4)*12,FF$3-($A4-$A$4)*12&lt;=CST_DEP_BLDG),VDB($C3,0,CST_DEP_BLDG, FF$3-($A4-$A$4)*12-1,FF$3-($A4-$A$4)*12),0) + IF(AND($A4-$A$4&gt;0,FF$3&gt;($A4-$A$4)*12,FF$3-($A4-$A$4)*12&lt;=CST_DEP_OTHER),VDB($D3,0,CST_DEP_OTHER, FF$3-($A4-$A$4)*12-1,FF$3-($A4-$A$4)*12),0)</f>
        <v>0</v>
      </c>
      <c r="FG4" s="134">
        <f t="shared" ref="FG4:FG23" si="158">IF(AND($A4-$A$4&gt;0,FG$3&gt;($A4-$A$4)*12,FG$3-($A4-$A$4)*12&lt;=CST_DEP_BLDG),VDB($C3,0,CST_DEP_BLDG, FG$3-($A4-$A$4)*12-1,FG$3-($A4-$A$4)*12),0) + IF(AND($A4-$A$4&gt;0,FG$3&gt;($A4-$A$4)*12,FG$3-($A4-$A$4)*12&lt;=CST_DEP_OTHER),VDB($D3,0,CST_DEP_OTHER, FG$3-($A4-$A$4)*12-1,FG$3-($A4-$A$4)*12),0)</f>
        <v>0</v>
      </c>
      <c r="FH4" s="134">
        <f t="shared" ref="FH4:FH23" si="159">IF(AND($A4-$A$4&gt;0,FH$3&gt;($A4-$A$4)*12,FH$3-($A4-$A$4)*12&lt;=CST_DEP_BLDG),VDB($C3,0,CST_DEP_BLDG, FH$3-($A4-$A$4)*12-1,FH$3-($A4-$A$4)*12),0) + IF(AND($A4-$A$4&gt;0,FH$3&gt;($A4-$A$4)*12,FH$3-($A4-$A$4)*12&lt;=CST_DEP_OTHER),VDB($D3,0,CST_DEP_OTHER, FH$3-($A4-$A$4)*12-1,FH$3-($A4-$A$4)*12),0)</f>
        <v>0</v>
      </c>
      <c r="FI4" s="134">
        <f t="shared" ref="FI4:FI23" si="160">IF(AND($A4-$A$4&gt;0,FI$3&gt;($A4-$A$4)*12,FI$3-($A4-$A$4)*12&lt;=CST_DEP_BLDG),VDB($C3,0,CST_DEP_BLDG, FI$3-($A4-$A$4)*12-1,FI$3-($A4-$A$4)*12),0) + IF(AND($A4-$A$4&gt;0,FI$3&gt;($A4-$A$4)*12,FI$3-($A4-$A$4)*12&lt;=CST_DEP_OTHER),VDB($D3,0,CST_DEP_OTHER, FI$3-($A4-$A$4)*12-1,FI$3-($A4-$A$4)*12),0)</f>
        <v>0</v>
      </c>
      <c r="FJ4" s="134">
        <f t="shared" ref="FJ4:FJ23" si="161">IF(AND($A4-$A$4&gt;0,FJ$3&gt;($A4-$A$4)*12,FJ$3-($A4-$A$4)*12&lt;=CST_DEP_BLDG),VDB($C3,0,CST_DEP_BLDG, FJ$3-($A4-$A$4)*12-1,FJ$3-($A4-$A$4)*12),0) + IF(AND($A4-$A$4&gt;0,FJ$3&gt;($A4-$A$4)*12,FJ$3-($A4-$A$4)*12&lt;=CST_DEP_OTHER),VDB($D3,0,CST_DEP_OTHER, FJ$3-($A4-$A$4)*12-1,FJ$3-($A4-$A$4)*12),0)</f>
        <v>0</v>
      </c>
      <c r="FK4" s="134">
        <f t="shared" ref="FK4:FK23" si="162">IF(AND($A4-$A$4&gt;0,FK$3&gt;($A4-$A$4)*12,FK$3-($A4-$A$4)*12&lt;=CST_DEP_BLDG),VDB($C3,0,CST_DEP_BLDG, FK$3-($A4-$A$4)*12-1,FK$3-($A4-$A$4)*12),0) + IF(AND($A4-$A$4&gt;0,FK$3&gt;($A4-$A$4)*12,FK$3-($A4-$A$4)*12&lt;=CST_DEP_OTHER),VDB($D3,0,CST_DEP_OTHER, FK$3-($A4-$A$4)*12-1,FK$3-($A4-$A$4)*12),0)</f>
        <v>0</v>
      </c>
      <c r="FL4" s="134">
        <f t="shared" ref="FL4:FL23" si="163">IF(AND($A4-$A$4&gt;0,FL$3&gt;($A4-$A$4)*12,FL$3-($A4-$A$4)*12&lt;=CST_DEP_BLDG),VDB($C3,0,CST_DEP_BLDG, FL$3-($A4-$A$4)*12-1,FL$3-($A4-$A$4)*12),0) + IF(AND($A4-$A$4&gt;0,FL$3&gt;($A4-$A$4)*12,FL$3-($A4-$A$4)*12&lt;=CST_DEP_OTHER),VDB($D3,0,CST_DEP_OTHER, FL$3-($A4-$A$4)*12-1,FL$3-($A4-$A$4)*12),0)</f>
        <v>0</v>
      </c>
      <c r="FM4" s="134">
        <f t="shared" ref="FM4:FM23" si="164">IF(AND($A4-$A$4&gt;0,FM$3&gt;($A4-$A$4)*12,FM$3-($A4-$A$4)*12&lt;=CST_DEP_BLDG),VDB($C3,0,CST_DEP_BLDG, FM$3-($A4-$A$4)*12-1,FM$3-($A4-$A$4)*12),0) + IF(AND($A4-$A$4&gt;0,FM$3&gt;($A4-$A$4)*12,FM$3-($A4-$A$4)*12&lt;=CST_DEP_OTHER),VDB($D3,0,CST_DEP_OTHER, FM$3-($A4-$A$4)*12-1,FM$3-($A4-$A$4)*12),0)</f>
        <v>0</v>
      </c>
      <c r="FN4" s="134">
        <f t="shared" ref="FN4:FN23" si="165">IF(AND($A4-$A$4&gt;0,FN$3&gt;($A4-$A$4)*12,FN$3-($A4-$A$4)*12&lt;=CST_DEP_BLDG),VDB($C3,0,CST_DEP_BLDG, FN$3-($A4-$A$4)*12-1,FN$3-($A4-$A$4)*12),0) + IF(AND($A4-$A$4&gt;0,FN$3&gt;($A4-$A$4)*12,FN$3-($A4-$A$4)*12&lt;=CST_DEP_OTHER),VDB($D3,0,CST_DEP_OTHER, FN$3-($A4-$A$4)*12-1,FN$3-($A4-$A$4)*12),0)</f>
        <v>0</v>
      </c>
      <c r="FO4" s="134">
        <f t="shared" ref="FO4:FO23" si="166">IF(AND($A4-$A$4&gt;0,FO$3&gt;($A4-$A$4)*12,FO$3-($A4-$A$4)*12&lt;=CST_DEP_BLDG),VDB($C3,0,CST_DEP_BLDG, FO$3-($A4-$A$4)*12-1,FO$3-($A4-$A$4)*12),0) + IF(AND($A4-$A$4&gt;0,FO$3&gt;($A4-$A$4)*12,FO$3-($A4-$A$4)*12&lt;=CST_DEP_OTHER),VDB($D3,0,CST_DEP_OTHER, FO$3-($A4-$A$4)*12-1,FO$3-($A4-$A$4)*12),0)</f>
        <v>0</v>
      </c>
      <c r="FP4" s="134">
        <f t="shared" ref="FP4:FP23" si="167">IF(AND($A4-$A$4&gt;0,FP$3&gt;($A4-$A$4)*12,FP$3-($A4-$A$4)*12&lt;=CST_DEP_BLDG),VDB($C3,0,CST_DEP_BLDG, FP$3-($A4-$A$4)*12-1,FP$3-($A4-$A$4)*12),0) + IF(AND($A4-$A$4&gt;0,FP$3&gt;($A4-$A$4)*12,FP$3-($A4-$A$4)*12&lt;=CST_DEP_OTHER),VDB($D3,0,CST_DEP_OTHER, FP$3-($A4-$A$4)*12-1,FP$3-($A4-$A$4)*12),0)</f>
        <v>0</v>
      </c>
      <c r="FQ4" s="134">
        <f t="shared" ref="FQ4:FQ23" si="168">IF(AND($A4-$A$4&gt;0,FQ$3&gt;($A4-$A$4)*12,FQ$3-($A4-$A$4)*12&lt;=CST_DEP_BLDG),VDB($C3,0,CST_DEP_BLDG, FQ$3-($A4-$A$4)*12-1,FQ$3-($A4-$A$4)*12),0) + IF(AND($A4-$A$4&gt;0,FQ$3&gt;($A4-$A$4)*12,FQ$3-($A4-$A$4)*12&lt;=CST_DEP_OTHER),VDB($D3,0,CST_DEP_OTHER, FQ$3-($A4-$A$4)*12-1,FQ$3-($A4-$A$4)*12),0)</f>
        <v>0</v>
      </c>
      <c r="FR4" s="134">
        <f t="shared" ref="FR4:FR23" si="169">IF(AND($A4-$A$4&gt;0,FR$3&gt;($A4-$A$4)*12,FR$3-($A4-$A$4)*12&lt;=CST_DEP_BLDG),VDB($C3,0,CST_DEP_BLDG, FR$3-($A4-$A$4)*12-1,FR$3-($A4-$A$4)*12),0) + IF(AND($A4-$A$4&gt;0,FR$3&gt;($A4-$A$4)*12,FR$3-($A4-$A$4)*12&lt;=CST_DEP_OTHER),VDB($D3,0,CST_DEP_OTHER, FR$3-($A4-$A$4)*12-1,FR$3-($A4-$A$4)*12),0)</f>
        <v>0</v>
      </c>
      <c r="FS4" s="134">
        <f t="shared" ref="FS4:FS23" si="170">IF(AND($A4-$A$4&gt;0,FS$3&gt;($A4-$A$4)*12,FS$3-($A4-$A$4)*12&lt;=CST_DEP_BLDG),VDB($C3,0,CST_DEP_BLDG, FS$3-($A4-$A$4)*12-1,FS$3-($A4-$A$4)*12),0) + IF(AND($A4-$A$4&gt;0,FS$3&gt;($A4-$A$4)*12,FS$3-($A4-$A$4)*12&lt;=CST_DEP_OTHER),VDB($D3,0,CST_DEP_OTHER, FS$3-($A4-$A$4)*12-1,FS$3-($A4-$A$4)*12),0)</f>
        <v>0</v>
      </c>
      <c r="FT4" s="134">
        <f t="shared" ref="FT4:FT23" si="171">IF(AND($A4-$A$4&gt;0,FT$3&gt;($A4-$A$4)*12,FT$3-($A4-$A$4)*12&lt;=CST_DEP_BLDG),VDB($C3,0,CST_DEP_BLDG, FT$3-($A4-$A$4)*12-1,FT$3-($A4-$A$4)*12),0) + IF(AND($A4-$A$4&gt;0,FT$3&gt;($A4-$A$4)*12,FT$3-($A4-$A$4)*12&lt;=CST_DEP_OTHER),VDB($D3,0,CST_DEP_OTHER, FT$3-($A4-$A$4)*12-1,FT$3-($A4-$A$4)*12),0)</f>
        <v>0</v>
      </c>
      <c r="FU4" s="134">
        <f t="shared" ref="FU4:FU23" si="172">IF(AND($A4-$A$4&gt;0,FU$3&gt;($A4-$A$4)*12,FU$3-($A4-$A$4)*12&lt;=CST_DEP_BLDG),VDB($C3,0,CST_DEP_BLDG, FU$3-($A4-$A$4)*12-1,FU$3-($A4-$A$4)*12),0) + IF(AND($A4-$A$4&gt;0,FU$3&gt;($A4-$A$4)*12,FU$3-($A4-$A$4)*12&lt;=CST_DEP_OTHER),VDB($D3,0,CST_DEP_OTHER, FU$3-($A4-$A$4)*12-1,FU$3-($A4-$A$4)*12),0)</f>
        <v>0</v>
      </c>
      <c r="FV4" s="134">
        <f t="shared" ref="FV4:FV23" si="173">IF(AND($A4-$A$4&gt;0,FV$3&gt;($A4-$A$4)*12,FV$3-($A4-$A$4)*12&lt;=CST_DEP_BLDG),VDB($C3,0,CST_DEP_BLDG, FV$3-($A4-$A$4)*12-1,FV$3-($A4-$A$4)*12),0) + IF(AND($A4-$A$4&gt;0,FV$3&gt;($A4-$A$4)*12,FV$3-($A4-$A$4)*12&lt;=CST_DEP_OTHER),VDB($D3,0,CST_DEP_OTHER, FV$3-($A4-$A$4)*12-1,FV$3-($A4-$A$4)*12),0)</f>
        <v>0</v>
      </c>
      <c r="FW4" s="134">
        <f t="shared" ref="FW4:FW23" si="174">IF(AND($A4-$A$4&gt;0,FW$3&gt;($A4-$A$4)*12,FW$3-($A4-$A$4)*12&lt;=CST_DEP_BLDG),VDB($C3,0,CST_DEP_BLDG, FW$3-($A4-$A$4)*12-1,FW$3-($A4-$A$4)*12),0) + IF(AND($A4-$A$4&gt;0,FW$3&gt;($A4-$A$4)*12,FW$3-($A4-$A$4)*12&lt;=CST_DEP_OTHER),VDB($D3,0,CST_DEP_OTHER, FW$3-($A4-$A$4)*12-1,FW$3-($A4-$A$4)*12),0)</f>
        <v>0</v>
      </c>
      <c r="FX4" s="134">
        <f t="shared" ref="FX4:FX23" si="175">IF(AND($A4-$A$4&gt;0,FX$3&gt;($A4-$A$4)*12,FX$3-($A4-$A$4)*12&lt;=CST_DEP_BLDG),VDB($C3,0,CST_DEP_BLDG, FX$3-($A4-$A$4)*12-1,FX$3-($A4-$A$4)*12),0) + IF(AND($A4-$A$4&gt;0,FX$3&gt;($A4-$A$4)*12,FX$3-($A4-$A$4)*12&lt;=CST_DEP_OTHER),VDB($D3,0,CST_DEP_OTHER, FX$3-($A4-$A$4)*12-1,FX$3-($A4-$A$4)*12),0)</f>
        <v>0</v>
      </c>
      <c r="FY4" s="134">
        <f t="shared" ref="FY4:FY23" si="176">IF(AND($A4-$A$4&gt;0,FY$3&gt;($A4-$A$4)*12,FY$3-($A4-$A$4)*12&lt;=CST_DEP_BLDG),VDB($C3,0,CST_DEP_BLDG, FY$3-($A4-$A$4)*12-1,FY$3-($A4-$A$4)*12),0) + IF(AND($A4-$A$4&gt;0,FY$3&gt;($A4-$A$4)*12,FY$3-($A4-$A$4)*12&lt;=CST_DEP_OTHER),VDB($D3,0,CST_DEP_OTHER, FY$3-($A4-$A$4)*12-1,FY$3-($A4-$A$4)*12),0)</f>
        <v>0</v>
      </c>
      <c r="FZ4" s="134">
        <f t="shared" ref="FZ4:FZ23" si="177">IF(AND($A4-$A$4&gt;0,FZ$3&gt;($A4-$A$4)*12,FZ$3-($A4-$A$4)*12&lt;=CST_DEP_BLDG),VDB($C3,0,CST_DEP_BLDG, FZ$3-($A4-$A$4)*12-1,FZ$3-($A4-$A$4)*12),0) + IF(AND($A4-$A$4&gt;0,FZ$3&gt;($A4-$A$4)*12,FZ$3-($A4-$A$4)*12&lt;=CST_DEP_OTHER),VDB($D3,0,CST_DEP_OTHER, FZ$3-($A4-$A$4)*12-1,FZ$3-($A4-$A$4)*12),0)</f>
        <v>0</v>
      </c>
      <c r="GA4" s="134">
        <f t="shared" ref="GA4:GA23" si="178">IF(AND($A4-$A$4&gt;0,GA$3&gt;($A4-$A$4)*12,GA$3-($A4-$A$4)*12&lt;=CST_DEP_BLDG),VDB($C3,0,CST_DEP_BLDG, GA$3-($A4-$A$4)*12-1,GA$3-($A4-$A$4)*12),0) + IF(AND($A4-$A$4&gt;0,GA$3&gt;($A4-$A$4)*12,GA$3-($A4-$A$4)*12&lt;=CST_DEP_OTHER),VDB($D3,0,CST_DEP_OTHER, GA$3-($A4-$A$4)*12-1,GA$3-($A4-$A$4)*12),0)</f>
        <v>0</v>
      </c>
      <c r="GB4" s="134">
        <f t="shared" ref="GB4:GB23" si="179">IF(AND($A4-$A$4&gt;0,GB$3&gt;($A4-$A$4)*12,GB$3-($A4-$A$4)*12&lt;=CST_DEP_BLDG),VDB($C3,0,CST_DEP_BLDG, GB$3-($A4-$A$4)*12-1,GB$3-($A4-$A$4)*12),0) + IF(AND($A4-$A$4&gt;0,GB$3&gt;($A4-$A$4)*12,GB$3-($A4-$A$4)*12&lt;=CST_DEP_OTHER),VDB($D3,0,CST_DEP_OTHER, GB$3-($A4-$A$4)*12-1,GB$3-($A4-$A$4)*12),0)</f>
        <v>0</v>
      </c>
      <c r="GC4" s="134">
        <f t="shared" ref="GC4:GC23" si="180">IF(AND($A4-$A$4&gt;0,GC$3&gt;($A4-$A$4)*12,GC$3-($A4-$A$4)*12&lt;=CST_DEP_BLDG),VDB($C3,0,CST_DEP_BLDG, GC$3-($A4-$A$4)*12-1,GC$3-($A4-$A$4)*12),0) + IF(AND($A4-$A$4&gt;0,GC$3&gt;($A4-$A$4)*12,GC$3-($A4-$A$4)*12&lt;=CST_DEP_OTHER),VDB($D3,0,CST_DEP_OTHER, GC$3-($A4-$A$4)*12-1,GC$3-($A4-$A$4)*12),0)</f>
        <v>0</v>
      </c>
      <c r="GD4" s="134">
        <f t="shared" ref="GD4:GD23" si="181">IF(AND($A4-$A$4&gt;0,GD$3&gt;($A4-$A$4)*12,GD$3-($A4-$A$4)*12&lt;=CST_DEP_BLDG),VDB($C3,0,CST_DEP_BLDG, GD$3-($A4-$A$4)*12-1,GD$3-($A4-$A$4)*12),0) + IF(AND($A4-$A$4&gt;0,GD$3&gt;($A4-$A$4)*12,GD$3-($A4-$A$4)*12&lt;=CST_DEP_OTHER),VDB($D3,0,CST_DEP_OTHER, GD$3-($A4-$A$4)*12-1,GD$3-($A4-$A$4)*12),0)</f>
        <v>0</v>
      </c>
      <c r="GE4" s="134">
        <f t="shared" ref="GE4:GE23" si="182">IF(AND($A4-$A$4&gt;0,GE$3&gt;($A4-$A$4)*12,GE$3-($A4-$A$4)*12&lt;=CST_DEP_BLDG),VDB($C3,0,CST_DEP_BLDG, GE$3-($A4-$A$4)*12-1,GE$3-($A4-$A$4)*12),0) + IF(AND($A4-$A$4&gt;0,GE$3&gt;($A4-$A$4)*12,GE$3-($A4-$A$4)*12&lt;=CST_DEP_OTHER),VDB($D3,0,CST_DEP_OTHER, GE$3-($A4-$A$4)*12-1,GE$3-($A4-$A$4)*12),0)</f>
        <v>0</v>
      </c>
      <c r="GF4" s="134">
        <f t="shared" ref="GF4:GF23" si="183">IF(AND($A4-$A$4&gt;0,GF$3&gt;($A4-$A$4)*12,GF$3-($A4-$A$4)*12&lt;=CST_DEP_BLDG),VDB($C3,0,CST_DEP_BLDG, GF$3-($A4-$A$4)*12-1,GF$3-($A4-$A$4)*12),0) + IF(AND($A4-$A$4&gt;0,GF$3&gt;($A4-$A$4)*12,GF$3-($A4-$A$4)*12&lt;=CST_DEP_OTHER),VDB($D3,0,CST_DEP_OTHER, GF$3-($A4-$A$4)*12-1,GF$3-($A4-$A$4)*12),0)</f>
        <v>0</v>
      </c>
      <c r="GG4" s="134">
        <f t="shared" ref="GG4:GG23" si="184">IF(AND($A4-$A$4&gt;0,GG$3&gt;($A4-$A$4)*12,GG$3-($A4-$A$4)*12&lt;=CST_DEP_BLDG),VDB($C3,0,CST_DEP_BLDG, GG$3-($A4-$A$4)*12-1,GG$3-($A4-$A$4)*12),0) + IF(AND($A4-$A$4&gt;0,GG$3&gt;($A4-$A$4)*12,GG$3-($A4-$A$4)*12&lt;=CST_DEP_OTHER),VDB($D3,0,CST_DEP_OTHER, GG$3-($A4-$A$4)*12-1,GG$3-($A4-$A$4)*12),0)</f>
        <v>0</v>
      </c>
      <c r="GH4" s="134">
        <f t="shared" ref="GH4:GH23" si="185">IF(AND($A4-$A$4&gt;0,GH$3&gt;($A4-$A$4)*12,GH$3-($A4-$A$4)*12&lt;=CST_DEP_BLDG),VDB($C3,0,CST_DEP_BLDG, GH$3-($A4-$A$4)*12-1,GH$3-($A4-$A$4)*12),0) + IF(AND($A4-$A$4&gt;0,GH$3&gt;($A4-$A$4)*12,GH$3-($A4-$A$4)*12&lt;=CST_DEP_OTHER),VDB($D3,0,CST_DEP_OTHER, GH$3-($A4-$A$4)*12-1,GH$3-($A4-$A$4)*12),0)</f>
        <v>0</v>
      </c>
      <c r="GI4" s="134">
        <f t="shared" ref="GI4:GI23" si="186">IF(AND($A4-$A$4&gt;0,GI$3&gt;($A4-$A$4)*12,GI$3-($A4-$A$4)*12&lt;=CST_DEP_BLDG),VDB($C3,0,CST_DEP_BLDG, GI$3-($A4-$A$4)*12-1,GI$3-($A4-$A$4)*12),0) + IF(AND($A4-$A$4&gt;0,GI$3&gt;($A4-$A$4)*12,GI$3-($A4-$A$4)*12&lt;=CST_DEP_OTHER),VDB($D3,0,CST_DEP_OTHER, GI$3-($A4-$A$4)*12-1,GI$3-($A4-$A$4)*12),0)</f>
        <v>0</v>
      </c>
      <c r="GJ4" s="134">
        <f t="shared" ref="GJ4:GJ23" si="187">IF(AND($A4-$A$4&gt;0,GJ$3&gt;($A4-$A$4)*12,GJ$3-($A4-$A$4)*12&lt;=CST_DEP_BLDG),VDB($C3,0,CST_DEP_BLDG, GJ$3-($A4-$A$4)*12-1,GJ$3-($A4-$A$4)*12),0) + IF(AND($A4-$A$4&gt;0,GJ$3&gt;($A4-$A$4)*12,GJ$3-($A4-$A$4)*12&lt;=CST_DEP_OTHER),VDB($D3,0,CST_DEP_OTHER, GJ$3-($A4-$A$4)*12-1,GJ$3-($A4-$A$4)*12),0)</f>
        <v>0</v>
      </c>
      <c r="GK4" s="134">
        <f t="shared" ref="GK4:GK23" si="188">IF(AND($A4-$A$4&gt;0,GK$3&gt;($A4-$A$4)*12,GK$3-($A4-$A$4)*12&lt;=CST_DEP_BLDG),VDB($C3,0,CST_DEP_BLDG, GK$3-($A4-$A$4)*12-1,GK$3-($A4-$A$4)*12),0) + IF(AND($A4-$A$4&gt;0,GK$3&gt;($A4-$A$4)*12,GK$3-($A4-$A$4)*12&lt;=CST_DEP_OTHER),VDB($D3,0,CST_DEP_OTHER, GK$3-($A4-$A$4)*12-1,GK$3-($A4-$A$4)*12),0)</f>
        <v>0</v>
      </c>
      <c r="GL4" s="134">
        <f t="shared" ref="GL4:GL23" si="189">IF(AND($A4-$A$4&gt;0,GL$3&gt;($A4-$A$4)*12,GL$3-($A4-$A$4)*12&lt;=CST_DEP_BLDG),VDB($C3,0,CST_DEP_BLDG, GL$3-($A4-$A$4)*12-1,GL$3-($A4-$A$4)*12),0) + IF(AND($A4-$A$4&gt;0,GL$3&gt;($A4-$A$4)*12,GL$3-($A4-$A$4)*12&lt;=CST_DEP_OTHER),VDB($D3,0,CST_DEP_OTHER, GL$3-($A4-$A$4)*12-1,GL$3-($A4-$A$4)*12),0)</f>
        <v>0</v>
      </c>
      <c r="GM4" s="134">
        <f t="shared" ref="GM4:GM23" si="190">IF(AND($A4-$A$4&gt;0,GM$3&gt;($A4-$A$4)*12,GM$3-($A4-$A$4)*12&lt;=CST_DEP_BLDG),VDB($C3,0,CST_DEP_BLDG, GM$3-($A4-$A$4)*12-1,GM$3-($A4-$A$4)*12),0) + IF(AND($A4-$A$4&gt;0,GM$3&gt;($A4-$A$4)*12,GM$3-($A4-$A$4)*12&lt;=CST_DEP_OTHER),VDB($D3,0,CST_DEP_OTHER, GM$3-($A4-$A$4)*12-1,GM$3-($A4-$A$4)*12),0)</f>
        <v>0</v>
      </c>
      <c r="GN4" s="134">
        <f t="shared" ref="GN4:GN23" si="191">IF(AND($A4-$A$4&gt;0,GN$3&gt;($A4-$A$4)*12,GN$3-($A4-$A$4)*12&lt;=CST_DEP_BLDG),VDB($C3,0,CST_DEP_BLDG, GN$3-($A4-$A$4)*12-1,GN$3-($A4-$A$4)*12),0) + IF(AND($A4-$A$4&gt;0,GN$3&gt;($A4-$A$4)*12,GN$3-($A4-$A$4)*12&lt;=CST_DEP_OTHER),VDB($D3,0,CST_DEP_OTHER, GN$3-($A4-$A$4)*12-1,GN$3-($A4-$A$4)*12),0)</f>
        <v>0</v>
      </c>
      <c r="GO4" s="134">
        <f t="shared" ref="GO4:GO23" si="192">IF(AND($A4-$A$4&gt;0,GO$3&gt;($A4-$A$4)*12,GO$3-($A4-$A$4)*12&lt;=CST_DEP_BLDG),VDB($C3,0,CST_DEP_BLDG, GO$3-($A4-$A$4)*12-1,GO$3-($A4-$A$4)*12),0) + IF(AND($A4-$A$4&gt;0,GO$3&gt;($A4-$A$4)*12,GO$3-($A4-$A$4)*12&lt;=CST_DEP_OTHER),VDB($D3,0,CST_DEP_OTHER, GO$3-($A4-$A$4)*12-1,GO$3-($A4-$A$4)*12),0)</f>
        <v>0</v>
      </c>
      <c r="GP4" s="134">
        <f t="shared" ref="GP4:GP23" si="193">IF(AND($A4-$A$4&gt;0,GP$3&gt;($A4-$A$4)*12,GP$3-($A4-$A$4)*12&lt;=CST_DEP_BLDG),VDB($C3,0,CST_DEP_BLDG, GP$3-($A4-$A$4)*12-1,GP$3-($A4-$A$4)*12),0) + IF(AND($A4-$A$4&gt;0,GP$3&gt;($A4-$A$4)*12,GP$3-($A4-$A$4)*12&lt;=CST_DEP_OTHER),VDB($D3,0,CST_DEP_OTHER, GP$3-($A4-$A$4)*12-1,GP$3-($A4-$A$4)*12),0)</f>
        <v>0</v>
      </c>
      <c r="GQ4" s="134">
        <f t="shared" ref="GQ4:GQ23" si="194">IF(AND($A4-$A$4&gt;0,GQ$3&gt;($A4-$A$4)*12,GQ$3-($A4-$A$4)*12&lt;=CST_DEP_BLDG),VDB($C3,0,CST_DEP_BLDG, GQ$3-($A4-$A$4)*12-1,GQ$3-($A4-$A$4)*12),0) + IF(AND($A4-$A$4&gt;0,GQ$3&gt;($A4-$A$4)*12,GQ$3-($A4-$A$4)*12&lt;=CST_DEP_OTHER),VDB($D3,0,CST_DEP_OTHER, GQ$3-($A4-$A$4)*12-1,GQ$3-($A4-$A$4)*12),0)</f>
        <v>0</v>
      </c>
      <c r="GR4" s="134">
        <f t="shared" ref="GR4:GR23" si="195">IF(AND($A4-$A$4&gt;0,GR$3&gt;($A4-$A$4)*12,GR$3-($A4-$A$4)*12&lt;=CST_DEP_BLDG),VDB($C3,0,CST_DEP_BLDG, GR$3-($A4-$A$4)*12-1,GR$3-($A4-$A$4)*12),0) + IF(AND($A4-$A$4&gt;0,GR$3&gt;($A4-$A$4)*12,GR$3-($A4-$A$4)*12&lt;=CST_DEP_OTHER),VDB($D3,0,CST_DEP_OTHER, GR$3-($A4-$A$4)*12-1,GR$3-($A4-$A$4)*12),0)</f>
        <v>0</v>
      </c>
      <c r="GS4" s="134">
        <f t="shared" ref="GS4:GS23" si="196">IF(AND($A4-$A$4&gt;0,GS$3&gt;($A4-$A$4)*12,GS$3-($A4-$A$4)*12&lt;=CST_DEP_BLDG),VDB($C3,0,CST_DEP_BLDG, GS$3-($A4-$A$4)*12-1,GS$3-($A4-$A$4)*12),0) + IF(AND($A4-$A$4&gt;0,GS$3&gt;($A4-$A$4)*12,GS$3-($A4-$A$4)*12&lt;=CST_DEP_OTHER),VDB($D3,0,CST_DEP_OTHER, GS$3-($A4-$A$4)*12-1,GS$3-($A4-$A$4)*12),0)</f>
        <v>0</v>
      </c>
      <c r="GT4" s="134">
        <f t="shared" ref="GT4:GT23" si="197">IF(AND($A4-$A$4&gt;0,GT$3&gt;($A4-$A$4)*12,GT$3-($A4-$A$4)*12&lt;=CST_DEP_BLDG),VDB($C3,0,CST_DEP_BLDG, GT$3-($A4-$A$4)*12-1,GT$3-($A4-$A$4)*12),0) + IF(AND($A4-$A$4&gt;0,GT$3&gt;($A4-$A$4)*12,GT$3-($A4-$A$4)*12&lt;=CST_DEP_OTHER),VDB($D3,0,CST_DEP_OTHER, GT$3-($A4-$A$4)*12-1,GT$3-($A4-$A$4)*12),0)</f>
        <v>0</v>
      </c>
      <c r="GU4" s="134">
        <f t="shared" ref="GU4:GU23" si="198">IF(AND($A4-$A$4&gt;0,GU$3&gt;($A4-$A$4)*12,GU$3-($A4-$A$4)*12&lt;=CST_DEP_BLDG),VDB($C3,0,CST_DEP_BLDG, GU$3-($A4-$A$4)*12-1,GU$3-($A4-$A$4)*12),0) + IF(AND($A4-$A$4&gt;0,GU$3&gt;($A4-$A$4)*12,GU$3-($A4-$A$4)*12&lt;=CST_DEP_OTHER),VDB($D3,0,CST_DEP_OTHER, GU$3-($A4-$A$4)*12-1,GU$3-($A4-$A$4)*12),0)</f>
        <v>0</v>
      </c>
      <c r="GV4" s="134">
        <f t="shared" ref="GV4:GV23" si="199">IF(AND($A4-$A$4&gt;0,GV$3&gt;($A4-$A$4)*12,GV$3-($A4-$A$4)*12&lt;=CST_DEP_BLDG),VDB($C3,0,CST_DEP_BLDG, GV$3-($A4-$A$4)*12-1,GV$3-($A4-$A$4)*12),0) + IF(AND($A4-$A$4&gt;0,GV$3&gt;($A4-$A$4)*12,GV$3-($A4-$A$4)*12&lt;=CST_DEP_OTHER),VDB($D3,0,CST_DEP_OTHER, GV$3-($A4-$A$4)*12-1,GV$3-($A4-$A$4)*12),0)</f>
        <v>0</v>
      </c>
      <c r="GW4" s="134">
        <f t="shared" ref="GW4:GW23" si="200">IF(AND($A4-$A$4&gt;0,GW$3&gt;($A4-$A$4)*12,GW$3-($A4-$A$4)*12&lt;=CST_DEP_BLDG),VDB($C3,0,CST_DEP_BLDG, GW$3-($A4-$A$4)*12-1,GW$3-($A4-$A$4)*12),0) + IF(AND($A4-$A$4&gt;0,GW$3&gt;($A4-$A$4)*12,GW$3-($A4-$A$4)*12&lt;=CST_DEP_OTHER),VDB($D3,0,CST_DEP_OTHER, GW$3-($A4-$A$4)*12-1,GW$3-($A4-$A$4)*12),0)</f>
        <v>0</v>
      </c>
      <c r="GX4" s="134">
        <f t="shared" ref="GX4:GX23" si="201">IF(AND($A4-$A$4&gt;0,GX$3&gt;($A4-$A$4)*12,GX$3-($A4-$A$4)*12&lt;=CST_DEP_BLDG),VDB($C3,0,CST_DEP_BLDG, GX$3-($A4-$A$4)*12-1,GX$3-($A4-$A$4)*12),0) + IF(AND($A4-$A$4&gt;0,GX$3&gt;($A4-$A$4)*12,GX$3-($A4-$A$4)*12&lt;=CST_DEP_OTHER),VDB($D3,0,CST_DEP_OTHER, GX$3-($A4-$A$4)*12-1,GX$3-($A4-$A$4)*12),0)</f>
        <v>0</v>
      </c>
      <c r="GY4" s="134">
        <f t="shared" ref="GY4:GY23" si="202">IF(AND($A4-$A$4&gt;0,GY$3&gt;($A4-$A$4)*12,GY$3-($A4-$A$4)*12&lt;=CST_DEP_BLDG),VDB($C3,0,CST_DEP_BLDG, GY$3-($A4-$A$4)*12-1,GY$3-($A4-$A$4)*12),0) + IF(AND($A4-$A$4&gt;0,GY$3&gt;($A4-$A$4)*12,GY$3-($A4-$A$4)*12&lt;=CST_DEP_OTHER),VDB($D3,0,CST_DEP_OTHER, GY$3-($A4-$A$4)*12-1,GY$3-($A4-$A$4)*12),0)</f>
        <v>0</v>
      </c>
      <c r="GZ4" s="134">
        <f t="shared" ref="GZ4:GZ23" si="203">IF(AND($A4-$A$4&gt;0,GZ$3&gt;($A4-$A$4)*12,GZ$3-($A4-$A$4)*12&lt;=CST_DEP_BLDG),VDB($C3,0,CST_DEP_BLDG, GZ$3-($A4-$A$4)*12-1,GZ$3-($A4-$A$4)*12),0) + IF(AND($A4-$A$4&gt;0,GZ$3&gt;($A4-$A$4)*12,GZ$3-($A4-$A$4)*12&lt;=CST_DEP_OTHER),VDB($D3,0,CST_DEP_OTHER, GZ$3-($A4-$A$4)*12-1,GZ$3-($A4-$A$4)*12),0)</f>
        <v>0</v>
      </c>
      <c r="HA4" s="134">
        <f t="shared" ref="HA4:HA23" si="204">IF(AND($A4-$A$4&gt;0,HA$3&gt;($A4-$A$4)*12,HA$3-($A4-$A$4)*12&lt;=CST_DEP_BLDG),VDB($C3,0,CST_DEP_BLDG, HA$3-($A4-$A$4)*12-1,HA$3-($A4-$A$4)*12),0) + IF(AND($A4-$A$4&gt;0,HA$3&gt;($A4-$A$4)*12,HA$3-($A4-$A$4)*12&lt;=CST_DEP_OTHER),VDB($D3,0,CST_DEP_OTHER, HA$3-($A4-$A$4)*12-1,HA$3-($A4-$A$4)*12),0)</f>
        <v>0</v>
      </c>
      <c r="HB4" s="134">
        <f t="shared" ref="HB4:HB23" si="205">IF(AND($A4-$A$4&gt;0,HB$3&gt;($A4-$A$4)*12,HB$3-($A4-$A$4)*12&lt;=CST_DEP_BLDG),VDB($C3,0,CST_DEP_BLDG, HB$3-($A4-$A$4)*12-1,HB$3-($A4-$A$4)*12),0) + IF(AND($A4-$A$4&gt;0,HB$3&gt;($A4-$A$4)*12,HB$3-($A4-$A$4)*12&lt;=CST_DEP_OTHER),VDB($D3,0,CST_DEP_OTHER, HB$3-($A4-$A$4)*12-1,HB$3-($A4-$A$4)*12),0)</f>
        <v>0</v>
      </c>
      <c r="HC4" s="134">
        <f t="shared" ref="HC4:HC23" si="206">IF(AND($A4-$A$4&gt;0,HC$3&gt;($A4-$A$4)*12,HC$3-($A4-$A$4)*12&lt;=CST_DEP_BLDG),VDB($C3,0,CST_DEP_BLDG, HC$3-($A4-$A$4)*12-1,HC$3-($A4-$A$4)*12),0) + IF(AND($A4-$A$4&gt;0,HC$3&gt;($A4-$A$4)*12,HC$3-($A4-$A$4)*12&lt;=CST_DEP_OTHER),VDB($D3,0,CST_DEP_OTHER, HC$3-($A4-$A$4)*12-1,HC$3-($A4-$A$4)*12),0)</f>
        <v>0</v>
      </c>
      <c r="HD4" s="134">
        <f t="shared" ref="HD4:HD23" si="207">IF(AND($A4-$A$4&gt;0,HD$3&gt;($A4-$A$4)*12,HD$3-($A4-$A$4)*12&lt;=CST_DEP_BLDG),VDB($C3,0,CST_DEP_BLDG, HD$3-($A4-$A$4)*12-1,HD$3-($A4-$A$4)*12),0) + IF(AND($A4-$A$4&gt;0,HD$3&gt;($A4-$A$4)*12,HD$3-($A4-$A$4)*12&lt;=CST_DEP_OTHER),VDB($D3,0,CST_DEP_OTHER, HD$3-($A4-$A$4)*12-1,HD$3-($A4-$A$4)*12),0)</f>
        <v>0</v>
      </c>
      <c r="HE4" s="134">
        <f t="shared" ref="HE4:HE23" si="208">IF(AND($A4-$A$4&gt;0,HE$3&gt;($A4-$A$4)*12,HE$3-($A4-$A$4)*12&lt;=CST_DEP_BLDG),VDB($C3,0,CST_DEP_BLDG, HE$3-($A4-$A$4)*12-1,HE$3-($A4-$A$4)*12),0) + IF(AND($A4-$A$4&gt;0,HE$3&gt;($A4-$A$4)*12,HE$3-($A4-$A$4)*12&lt;=CST_DEP_OTHER),VDB($D3,0,CST_DEP_OTHER, HE$3-($A4-$A$4)*12-1,HE$3-($A4-$A$4)*12),0)</f>
        <v>0</v>
      </c>
      <c r="HF4" s="134">
        <f t="shared" ref="HF4:HF23" si="209">IF(AND($A4-$A$4&gt;0,HF$3&gt;($A4-$A$4)*12,HF$3-($A4-$A$4)*12&lt;=CST_DEP_BLDG),VDB($C3,0,CST_DEP_BLDG, HF$3-($A4-$A$4)*12-1,HF$3-($A4-$A$4)*12),0) + IF(AND($A4-$A$4&gt;0,HF$3&gt;($A4-$A$4)*12,HF$3-($A4-$A$4)*12&lt;=CST_DEP_OTHER),VDB($D3,0,CST_DEP_OTHER, HF$3-($A4-$A$4)*12-1,HF$3-($A4-$A$4)*12),0)</f>
        <v>0</v>
      </c>
      <c r="HG4" s="134">
        <f t="shared" ref="HG4:HG23" si="210">IF(AND($A4-$A$4&gt;0,HG$3&gt;($A4-$A$4)*12,HG$3-($A4-$A$4)*12&lt;=CST_DEP_BLDG),VDB($C3,0,CST_DEP_BLDG, HG$3-($A4-$A$4)*12-1,HG$3-($A4-$A$4)*12),0) + IF(AND($A4-$A$4&gt;0,HG$3&gt;($A4-$A$4)*12,HG$3-($A4-$A$4)*12&lt;=CST_DEP_OTHER),VDB($D3,0,CST_DEP_OTHER, HG$3-($A4-$A$4)*12-1,HG$3-($A4-$A$4)*12),0)</f>
        <v>0</v>
      </c>
      <c r="HH4" s="134">
        <f t="shared" ref="HH4:HH23" si="211">IF(AND($A4-$A$4&gt;0,HH$3&gt;($A4-$A$4)*12,HH$3-($A4-$A$4)*12&lt;=CST_DEP_BLDG),VDB($C3,0,CST_DEP_BLDG, HH$3-($A4-$A$4)*12-1,HH$3-($A4-$A$4)*12),0) + IF(AND($A4-$A$4&gt;0,HH$3&gt;($A4-$A$4)*12,HH$3-($A4-$A$4)*12&lt;=CST_DEP_OTHER),VDB($D3,0,CST_DEP_OTHER, HH$3-($A4-$A$4)*12-1,HH$3-($A4-$A$4)*12),0)</f>
        <v>0</v>
      </c>
      <c r="HI4" s="134">
        <f t="shared" ref="HI4:HI23" si="212">IF(AND($A4-$A$4&gt;0,HI$3&gt;($A4-$A$4)*12,HI$3-($A4-$A$4)*12&lt;=CST_DEP_BLDG),VDB($C3,0,CST_DEP_BLDG, HI$3-($A4-$A$4)*12-1,HI$3-($A4-$A$4)*12),0) + IF(AND($A4-$A$4&gt;0,HI$3&gt;($A4-$A$4)*12,HI$3-($A4-$A$4)*12&lt;=CST_DEP_OTHER),VDB($D3,0,CST_DEP_OTHER, HI$3-($A4-$A$4)*12-1,HI$3-($A4-$A$4)*12),0)</f>
        <v>0</v>
      </c>
      <c r="HJ4" s="134">
        <f t="shared" ref="HJ4:HJ23" si="213">IF(AND($A4-$A$4&gt;0,HJ$3&gt;($A4-$A$4)*12,HJ$3-($A4-$A$4)*12&lt;=CST_DEP_BLDG),VDB($C3,0,CST_DEP_BLDG, HJ$3-($A4-$A$4)*12-1,HJ$3-($A4-$A$4)*12),0) + IF(AND($A4-$A$4&gt;0,HJ$3&gt;($A4-$A$4)*12,HJ$3-($A4-$A$4)*12&lt;=CST_DEP_OTHER),VDB($D3,0,CST_DEP_OTHER, HJ$3-($A4-$A$4)*12-1,HJ$3-($A4-$A$4)*12),0)</f>
        <v>0</v>
      </c>
      <c r="HK4" s="134">
        <f t="shared" ref="HK4:HK23" si="214">IF(AND($A4-$A$4&gt;0,HK$3&gt;($A4-$A$4)*12,HK$3-($A4-$A$4)*12&lt;=CST_DEP_BLDG),VDB($C3,0,CST_DEP_BLDG, HK$3-($A4-$A$4)*12-1,HK$3-($A4-$A$4)*12),0) + IF(AND($A4-$A$4&gt;0,HK$3&gt;($A4-$A$4)*12,HK$3-($A4-$A$4)*12&lt;=CST_DEP_OTHER),VDB($D3,0,CST_DEP_OTHER, HK$3-($A4-$A$4)*12-1,HK$3-($A4-$A$4)*12),0)</f>
        <v>0</v>
      </c>
      <c r="HL4" s="134">
        <f t="shared" ref="HL4:HL23" si="215">IF(AND($A4-$A$4&gt;0,HL$3&gt;($A4-$A$4)*12,HL$3-($A4-$A$4)*12&lt;=CST_DEP_BLDG),VDB($C3,0,CST_DEP_BLDG, HL$3-($A4-$A$4)*12-1,HL$3-($A4-$A$4)*12),0) + IF(AND($A4-$A$4&gt;0,HL$3&gt;($A4-$A$4)*12,HL$3-($A4-$A$4)*12&lt;=CST_DEP_OTHER),VDB($D3,0,CST_DEP_OTHER, HL$3-($A4-$A$4)*12-1,HL$3-($A4-$A$4)*12),0)</f>
        <v>0</v>
      </c>
      <c r="HM4" s="134">
        <f t="shared" ref="HM4:HM23" si="216">IF(AND($A4-$A$4&gt;0,HM$3&gt;($A4-$A$4)*12,HM$3-($A4-$A$4)*12&lt;=CST_DEP_BLDG),VDB($C3,0,CST_DEP_BLDG, HM$3-($A4-$A$4)*12-1,HM$3-($A4-$A$4)*12),0) + IF(AND($A4-$A$4&gt;0,HM$3&gt;($A4-$A$4)*12,HM$3-($A4-$A$4)*12&lt;=CST_DEP_OTHER),VDB($D3,0,CST_DEP_OTHER, HM$3-($A4-$A$4)*12-1,HM$3-($A4-$A$4)*12),0)</f>
        <v>0</v>
      </c>
      <c r="HN4" s="134">
        <f t="shared" ref="HN4:HN23" si="217">IF(AND($A4-$A$4&gt;0,HN$3&gt;($A4-$A$4)*12,HN$3-($A4-$A$4)*12&lt;=CST_DEP_BLDG),VDB($C3,0,CST_DEP_BLDG, HN$3-($A4-$A$4)*12-1,HN$3-($A4-$A$4)*12),0) + IF(AND($A4-$A$4&gt;0,HN$3&gt;($A4-$A$4)*12,HN$3-($A4-$A$4)*12&lt;=CST_DEP_OTHER),VDB($D3,0,CST_DEP_OTHER, HN$3-($A4-$A$4)*12-1,HN$3-($A4-$A$4)*12),0)</f>
        <v>0</v>
      </c>
      <c r="HO4" s="134">
        <f t="shared" ref="HO4:HO23" si="218">IF(AND($A4-$A$4&gt;0,HO$3&gt;($A4-$A$4)*12,HO$3-($A4-$A$4)*12&lt;=CST_DEP_BLDG),VDB($C3,0,CST_DEP_BLDG, HO$3-($A4-$A$4)*12-1,HO$3-($A4-$A$4)*12),0) + IF(AND($A4-$A$4&gt;0,HO$3&gt;($A4-$A$4)*12,HO$3-($A4-$A$4)*12&lt;=CST_DEP_OTHER),VDB($D3,0,CST_DEP_OTHER, HO$3-($A4-$A$4)*12-1,HO$3-($A4-$A$4)*12),0)</f>
        <v>0</v>
      </c>
      <c r="HP4" s="134">
        <f t="shared" ref="HP4:HP23" si="219">IF(AND($A4-$A$4&gt;0,HP$3&gt;($A4-$A$4)*12,HP$3-($A4-$A$4)*12&lt;=CST_DEP_BLDG),VDB($C3,0,CST_DEP_BLDG, HP$3-($A4-$A$4)*12-1,HP$3-($A4-$A$4)*12),0) + IF(AND($A4-$A$4&gt;0,HP$3&gt;($A4-$A$4)*12,HP$3-($A4-$A$4)*12&lt;=CST_DEP_OTHER),VDB($D3,0,CST_DEP_OTHER, HP$3-($A4-$A$4)*12-1,HP$3-($A4-$A$4)*12),0)</f>
        <v>0</v>
      </c>
      <c r="HQ4" s="134">
        <f t="shared" ref="HQ4:HQ23" si="220">IF(AND($A4-$A$4&gt;0,HQ$3&gt;($A4-$A$4)*12,HQ$3-($A4-$A$4)*12&lt;=CST_DEP_BLDG),VDB($C3,0,CST_DEP_BLDG, HQ$3-($A4-$A$4)*12-1,HQ$3-($A4-$A$4)*12),0) + IF(AND($A4-$A$4&gt;0,HQ$3&gt;($A4-$A$4)*12,HQ$3-($A4-$A$4)*12&lt;=CST_DEP_OTHER),VDB($D3,0,CST_DEP_OTHER, HQ$3-($A4-$A$4)*12-1,HQ$3-($A4-$A$4)*12),0)</f>
        <v>0</v>
      </c>
      <c r="HR4" s="134">
        <f t="shared" ref="HR4:HR23" si="221">IF(AND($A4-$A$4&gt;0,HR$3&gt;($A4-$A$4)*12,HR$3-($A4-$A$4)*12&lt;=CST_DEP_BLDG),VDB($C3,0,CST_DEP_BLDG, HR$3-($A4-$A$4)*12-1,HR$3-($A4-$A$4)*12),0) + IF(AND($A4-$A$4&gt;0,HR$3&gt;($A4-$A$4)*12,HR$3-($A4-$A$4)*12&lt;=CST_DEP_OTHER),VDB($D3,0,CST_DEP_OTHER, HR$3-($A4-$A$4)*12-1,HR$3-($A4-$A$4)*12),0)</f>
        <v>0</v>
      </c>
      <c r="HS4" s="134">
        <f t="shared" ref="HS4:HS23" si="222">IF(AND($A4-$A$4&gt;0,HS$3&gt;($A4-$A$4)*12,HS$3-($A4-$A$4)*12&lt;=CST_DEP_BLDG),VDB($C3,0,CST_DEP_BLDG, HS$3-($A4-$A$4)*12-1,HS$3-($A4-$A$4)*12),0) + IF(AND($A4-$A$4&gt;0,HS$3&gt;($A4-$A$4)*12,HS$3-($A4-$A$4)*12&lt;=CST_DEP_OTHER),VDB($D3,0,CST_DEP_OTHER, HS$3-($A4-$A$4)*12-1,HS$3-($A4-$A$4)*12),0)</f>
        <v>0</v>
      </c>
      <c r="HT4" s="134">
        <f t="shared" ref="HT4:HT23" si="223">IF(AND($A4-$A$4&gt;0,HT$3&gt;($A4-$A$4)*12,HT$3-($A4-$A$4)*12&lt;=CST_DEP_BLDG),VDB($C3,0,CST_DEP_BLDG, HT$3-($A4-$A$4)*12-1,HT$3-($A4-$A$4)*12),0) + IF(AND($A4-$A$4&gt;0,HT$3&gt;($A4-$A$4)*12,HT$3-($A4-$A$4)*12&lt;=CST_DEP_OTHER),VDB($D3,0,CST_DEP_OTHER, HT$3-($A4-$A$4)*12-1,HT$3-($A4-$A$4)*12),0)</f>
        <v>0</v>
      </c>
      <c r="HU4" s="134">
        <f t="shared" ref="HU4:HU23" si="224">IF(AND($A4-$A$4&gt;0,HU$3&gt;($A4-$A$4)*12,HU$3-($A4-$A$4)*12&lt;=CST_DEP_BLDG),VDB($C3,0,CST_DEP_BLDG, HU$3-($A4-$A$4)*12-1,HU$3-($A4-$A$4)*12),0) + IF(AND($A4-$A$4&gt;0,HU$3&gt;($A4-$A$4)*12,HU$3-($A4-$A$4)*12&lt;=CST_DEP_OTHER),VDB($D3,0,CST_DEP_OTHER, HU$3-($A4-$A$4)*12-1,HU$3-($A4-$A$4)*12),0)</f>
        <v>0</v>
      </c>
      <c r="HV4" s="134">
        <f t="shared" ref="HV4:HV23" si="225">IF(AND($A4-$A$4&gt;0,HV$3&gt;($A4-$A$4)*12,HV$3-($A4-$A$4)*12&lt;=CST_DEP_BLDG),VDB($C3,0,CST_DEP_BLDG, HV$3-($A4-$A$4)*12-1,HV$3-($A4-$A$4)*12),0) + IF(AND($A4-$A$4&gt;0,HV$3&gt;($A4-$A$4)*12,HV$3-($A4-$A$4)*12&lt;=CST_DEP_OTHER),VDB($D3,0,CST_DEP_OTHER, HV$3-($A4-$A$4)*12-1,HV$3-($A4-$A$4)*12),0)</f>
        <v>0</v>
      </c>
      <c r="HW4" s="134">
        <f t="shared" ref="HW4:HW23" si="226">IF(AND($A4-$A$4&gt;0,HW$3&gt;($A4-$A$4)*12,HW$3-($A4-$A$4)*12&lt;=CST_DEP_BLDG),VDB($C3,0,CST_DEP_BLDG, HW$3-($A4-$A$4)*12-1,HW$3-($A4-$A$4)*12),0) + IF(AND($A4-$A$4&gt;0,HW$3&gt;($A4-$A$4)*12,HW$3-($A4-$A$4)*12&lt;=CST_DEP_OTHER),VDB($D3,0,CST_DEP_OTHER, HW$3-($A4-$A$4)*12-1,HW$3-($A4-$A$4)*12),0)</f>
        <v>0</v>
      </c>
      <c r="HX4" s="134">
        <f t="shared" ref="HX4:HX23" si="227">IF(AND($A4-$A$4&gt;0,HX$3&gt;($A4-$A$4)*12,HX$3-($A4-$A$4)*12&lt;=CST_DEP_BLDG),VDB($C3,0,CST_DEP_BLDG, HX$3-($A4-$A$4)*12-1,HX$3-($A4-$A$4)*12),0) + IF(AND($A4-$A$4&gt;0,HX$3&gt;($A4-$A$4)*12,HX$3-($A4-$A$4)*12&lt;=CST_DEP_OTHER),VDB($D3,0,CST_DEP_OTHER, HX$3-($A4-$A$4)*12-1,HX$3-($A4-$A$4)*12),0)</f>
        <v>0</v>
      </c>
      <c r="HY4" s="134">
        <f t="shared" ref="HY4:HY23" si="228">IF(AND($A4-$A$4&gt;0,HY$3&gt;($A4-$A$4)*12,HY$3-($A4-$A$4)*12&lt;=CST_DEP_BLDG),VDB($C3,0,CST_DEP_BLDG, HY$3-($A4-$A$4)*12-1,HY$3-($A4-$A$4)*12),0) + IF(AND($A4-$A$4&gt;0,HY$3&gt;($A4-$A$4)*12,HY$3-($A4-$A$4)*12&lt;=CST_DEP_OTHER),VDB($D3,0,CST_DEP_OTHER, HY$3-($A4-$A$4)*12-1,HY$3-($A4-$A$4)*12),0)</f>
        <v>0</v>
      </c>
      <c r="HZ4" s="134">
        <f t="shared" ref="HZ4:HZ23" si="229">IF(AND($A4-$A$4&gt;0,HZ$3&gt;($A4-$A$4)*12,HZ$3-($A4-$A$4)*12&lt;=CST_DEP_BLDG),VDB($C3,0,CST_DEP_BLDG, HZ$3-($A4-$A$4)*12-1,HZ$3-($A4-$A$4)*12),0) + IF(AND($A4-$A$4&gt;0,HZ$3&gt;($A4-$A$4)*12,HZ$3-($A4-$A$4)*12&lt;=CST_DEP_OTHER),VDB($D3,0,CST_DEP_OTHER, HZ$3-($A4-$A$4)*12-1,HZ$3-($A4-$A$4)*12),0)</f>
        <v>0</v>
      </c>
      <c r="IA4" s="134">
        <f t="shared" ref="IA4:IA23" si="230">IF(AND($A4-$A$4&gt;0,IA$3&gt;($A4-$A$4)*12,IA$3-($A4-$A$4)*12&lt;=CST_DEP_BLDG),VDB($C3,0,CST_DEP_BLDG, IA$3-($A4-$A$4)*12-1,IA$3-($A4-$A$4)*12),0) + IF(AND($A4-$A$4&gt;0,IA$3&gt;($A4-$A$4)*12,IA$3-($A4-$A$4)*12&lt;=CST_DEP_OTHER),VDB($D3,0,CST_DEP_OTHER, IA$3-($A4-$A$4)*12-1,IA$3-($A4-$A$4)*12),0)</f>
        <v>0</v>
      </c>
      <c r="IB4" s="134">
        <f t="shared" ref="IB4:IB23" si="231">IF(AND($A4-$A$4&gt;0,IB$3&gt;($A4-$A$4)*12,IB$3-($A4-$A$4)*12&lt;=CST_DEP_BLDG),VDB($C3,0,CST_DEP_BLDG, IB$3-($A4-$A$4)*12-1,IB$3-($A4-$A$4)*12),0) + IF(AND($A4-$A$4&gt;0,IB$3&gt;($A4-$A$4)*12,IB$3-($A4-$A$4)*12&lt;=CST_DEP_OTHER),VDB($D3,0,CST_DEP_OTHER, IB$3-($A4-$A$4)*12-1,IB$3-($A4-$A$4)*12),0)</f>
        <v>0</v>
      </c>
      <c r="IC4" s="134">
        <f t="shared" ref="IC4:IC23" si="232">IF(AND($A4-$A$4&gt;0,IC$3&gt;($A4-$A$4)*12,IC$3-($A4-$A$4)*12&lt;=CST_DEP_BLDG),VDB($C3,0,CST_DEP_BLDG, IC$3-($A4-$A$4)*12-1,IC$3-($A4-$A$4)*12),0) + IF(AND($A4-$A$4&gt;0,IC$3&gt;($A4-$A$4)*12,IC$3-($A4-$A$4)*12&lt;=CST_DEP_OTHER),VDB($D3,0,CST_DEP_OTHER, IC$3-($A4-$A$4)*12-1,IC$3-($A4-$A$4)*12),0)</f>
        <v>0</v>
      </c>
      <c r="ID4" s="134">
        <f t="shared" ref="ID4:ID23" si="233">IF(AND($A4-$A$4&gt;0,ID$3&gt;($A4-$A$4)*12,ID$3-($A4-$A$4)*12&lt;=CST_DEP_BLDG),VDB($C3,0,CST_DEP_BLDG, ID$3-($A4-$A$4)*12-1,ID$3-($A4-$A$4)*12),0) + IF(AND($A4-$A$4&gt;0,ID$3&gt;($A4-$A$4)*12,ID$3-($A4-$A$4)*12&lt;=CST_DEP_OTHER),VDB($D3,0,CST_DEP_OTHER, ID$3-($A4-$A$4)*12-1,ID$3-($A4-$A$4)*12),0)</f>
        <v>0</v>
      </c>
      <c r="IE4" s="134">
        <f t="shared" ref="IE4:IE23" si="234">IF(AND($A4-$A$4&gt;0,IE$3&gt;($A4-$A$4)*12,IE$3-($A4-$A$4)*12&lt;=CST_DEP_BLDG),VDB($C3,0,CST_DEP_BLDG, IE$3-($A4-$A$4)*12-1,IE$3-($A4-$A$4)*12),0) + IF(AND($A4-$A$4&gt;0,IE$3&gt;($A4-$A$4)*12,IE$3-($A4-$A$4)*12&lt;=CST_DEP_OTHER),VDB($D3,0,CST_DEP_OTHER, IE$3-($A4-$A$4)*12-1,IE$3-($A4-$A$4)*12),0)</f>
        <v>0</v>
      </c>
      <c r="IF4" s="134">
        <f t="shared" ref="IF4:IF23" si="235">IF(AND($A4-$A$4&gt;0,IF$3&gt;($A4-$A$4)*12,IF$3-($A4-$A$4)*12&lt;=CST_DEP_BLDG),VDB($C3,0,CST_DEP_BLDG, IF$3-($A4-$A$4)*12-1,IF$3-($A4-$A$4)*12),0) + IF(AND($A4-$A$4&gt;0,IF$3&gt;($A4-$A$4)*12,IF$3-($A4-$A$4)*12&lt;=CST_DEP_OTHER),VDB($D3,0,CST_DEP_OTHER, IF$3-($A4-$A$4)*12-1,IF$3-($A4-$A$4)*12),0)</f>
        <v>0</v>
      </c>
      <c r="IG4" s="134">
        <f t="shared" ref="IG4:IG23" si="236">IF(AND($A4-$A$4&gt;0,IG$3&gt;($A4-$A$4)*12,IG$3-($A4-$A$4)*12&lt;=CST_DEP_BLDG),VDB($C3,0,CST_DEP_BLDG, IG$3-($A4-$A$4)*12-1,IG$3-($A4-$A$4)*12),0) + IF(AND($A4-$A$4&gt;0,IG$3&gt;($A4-$A$4)*12,IG$3-($A4-$A$4)*12&lt;=CST_DEP_OTHER),VDB($D3,0,CST_DEP_OTHER, IG$3-($A4-$A$4)*12-1,IG$3-($A4-$A$4)*12),0)</f>
        <v>0</v>
      </c>
      <c r="IH4" s="134">
        <f t="shared" ref="IH4:IH23" si="237">IF(AND($A4-$A$4&gt;0,IH$3&gt;($A4-$A$4)*12,IH$3-($A4-$A$4)*12&lt;=CST_DEP_BLDG),VDB($C3,0,CST_DEP_BLDG, IH$3-($A4-$A$4)*12-1,IH$3-($A4-$A$4)*12),0) + IF(AND($A4-$A$4&gt;0,IH$3&gt;($A4-$A$4)*12,IH$3-($A4-$A$4)*12&lt;=CST_DEP_OTHER),VDB($D3,0,CST_DEP_OTHER, IH$3-($A4-$A$4)*12-1,IH$3-($A4-$A$4)*12),0)</f>
        <v>0</v>
      </c>
      <c r="II4" s="134">
        <f t="shared" ref="II4:II23" si="238">IF(AND($A4-$A$4&gt;0,II$3&gt;($A4-$A$4)*12,II$3-($A4-$A$4)*12&lt;=CST_DEP_BLDG),VDB($C3,0,CST_DEP_BLDG, II$3-($A4-$A$4)*12-1,II$3-($A4-$A$4)*12),0) + IF(AND($A4-$A$4&gt;0,II$3&gt;($A4-$A$4)*12,II$3-($A4-$A$4)*12&lt;=CST_DEP_OTHER),VDB($D3,0,CST_DEP_OTHER, II$3-($A4-$A$4)*12-1,II$3-($A4-$A$4)*12),0)</f>
        <v>0</v>
      </c>
      <c r="IJ4" s="135">
        <f t="shared" ref="IJ4:IJ23" si="239">IF(AND($A4-$A$4&gt;0,IJ$3&gt;($A4-$A$4)*12,IJ$3-($A4-$A$4)*12&lt;=CST_DEP_BLDG),VDB($C3,0,CST_DEP_BLDG, IJ$3-($A4-$A$4)*12-1,IJ$3-($A4-$A$4)*12),0) + IF(AND($A4-$A$4&gt;0,IJ$3&gt;($A4-$A$4)*12,IJ$3-($A4-$A$4)*12&lt;=CST_DEP_OTHER),VDB($D3,0,CST_DEP_OTHER, IJ$3-($A4-$A$4)*12-1,IJ$3-($A4-$A$4)*12),0)</f>
        <v>0</v>
      </c>
      <c r="IK4" s="132">
        <f>SUM(E4:IJ4)</f>
        <v>0</v>
      </c>
    </row>
    <row r="5" spans="1:245" x14ac:dyDescent="0.45">
      <c r="A5" s="67">
        <v>2016</v>
      </c>
      <c r="B5" s="112"/>
      <c r="C5" s="3">
        <f ca="1">INT(SUM(OFFSET('CAPEX Schedule'!$C$8,0,($A5-$A$4)*12):OFFSET('CAPEX Schedule'!$C$8,0,($A5-$A$4)*12+11)))</f>
        <v>452038486</v>
      </c>
      <c r="D5" s="3">
        <f ca="1">INT(SUM(OFFSET('CAPEX Schedule'!$C$13,0,($A5-$A$4)*12):OFFSET('CAPEX Schedule'!$C$13,0,($A5-$A$4)*12+11)))-C5</f>
        <v>1</v>
      </c>
      <c r="E5" s="130">
        <f t="shared" si="0"/>
        <v>0</v>
      </c>
      <c r="F5" s="134">
        <f t="shared" si="1"/>
        <v>0</v>
      </c>
      <c r="G5" s="134">
        <f t="shared" si="2"/>
        <v>0</v>
      </c>
      <c r="H5" s="134">
        <f t="shared" si="3"/>
        <v>0</v>
      </c>
      <c r="I5" s="134">
        <f t="shared" si="4"/>
        <v>0</v>
      </c>
      <c r="J5" s="134">
        <f t="shared" si="5"/>
        <v>0</v>
      </c>
      <c r="K5" s="134">
        <f t="shared" si="6"/>
        <v>0</v>
      </c>
      <c r="L5" s="134">
        <f t="shared" si="7"/>
        <v>0</v>
      </c>
      <c r="M5" s="134">
        <f t="shared" si="8"/>
        <v>0</v>
      </c>
      <c r="N5" s="134">
        <f t="shared" si="9"/>
        <v>0</v>
      </c>
      <c r="O5" s="134">
        <f t="shared" si="10"/>
        <v>0</v>
      </c>
      <c r="P5" s="134">
        <f t="shared" si="11"/>
        <v>0</v>
      </c>
      <c r="Q5" s="134">
        <f t="shared" ca="1" si="12"/>
        <v>5022649.8777777776</v>
      </c>
      <c r="R5" s="134">
        <f t="shared" ca="1" si="13"/>
        <v>4966842.6561728399</v>
      </c>
      <c r="S5" s="134">
        <f t="shared" ca="1" si="14"/>
        <v>4911655.5148326475</v>
      </c>
      <c r="T5" s="134">
        <f t="shared" ca="1" si="15"/>
        <v>4857081.5639756601</v>
      </c>
      <c r="U5" s="134">
        <f t="shared" ca="1" si="16"/>
        <v>4803113.9903734876</v>
      </c>
      <c r="V5" s="134">
        <f t="shared" ca="1" si="17"/>
        <v>4749746.056500311</v>
      </c>
      <c r="W5" s="134">
        <f t="shared" ca="1" si="18"/>
        <v>4696971.0996917291</v>
      </c>
      <c r="X5" s="134">
        <f t="shared" ca="1" si="19"/>
        <v>4644782.5313129742</v>
      </c>
      <c r="Y5" s="134">
        <f t="shared" ca="1" si="20"/>
        <v>4593173.8359363507</v>
      </c>
      <c r="Z5" s="134">
        <f t="shared" ca="1" si="21"/>
        <v>4542138.570527833</v>
      </c>
      <c r="AA5" s="134">
        <f t="shared" ca="1" si="22"/>
        <v>4491670.3636426795</v>
      </c>
      <c r="AB5" s="134">
        <f t="shared" ca="1" si="23"/>
        <v>4441762.9146300042</v>
      </c>
      <c r="AC5" s="134">
        <f t="shared" ca="1" si="24"/>
        <v>4392409.9928461723</v>
      </c>
      <c r="AD5" s="134">
        <f t="shared" ca="1" si="25"/>
        <v>4343605.4368769452</v>
      </c>
      <c r="AE5" s="134">
        <f t="shared" ca="1" si="26"/>
        <v>4295343.1537682582</v>
      </c>
      <c r="AF5" s="134">
        <f t="shared" ca="1" si="27"/>
        <v>4247617.118265559</v>
      </c>
      <c r="AG5" s="134">
        <f t="shared" ca="1" si="28"/>
        <v>4200421.3720615841</v>
      </c>
      <c r="AH5" s="134">
        <f t="shared" ca="1" si="29"/>
        <v>4153750.023052502</v>
      </c>
      <c r="AI5" s="134">
        <f t="shared" ca="1" si="30"/>
        <v>4107597.2446023193</v>
      </c>
      <c r="AJ5" s="134">
        <f t="shared" ca="1" si="31"/>
        <v>4061957.2748154593</v>
      </c>
      <c r="AK5" s="134">
        <f t="shared" ca="1" si="32"/>
        <v>4016824.4158174214</v>
      </c>
      <c r="AL5" s="134">
        <f t="shared" ca="1" si="33"/>
        <v>3972193.0330434381</v>
      </c>
      <c r="AM5" s="134">
        <f t="shared" ca="1" si="34"/>
        <v>3928057.5545350332</v>
      </c>
      <c r="AN5" s="134">
        <f t="shared" ca="1" si="35"/>
        <v>3884412.4702443932</v>
      </c>
      <c r="AO5" s="134">
        <f t="shared" ca="1" si="36"/>
        <v>3841252.3313464723</v>
      </c>
      <c r="AP5" s="134">
        <f t="shared" ca="1" si="37"/>
        <v>3798571.7495587389</v>
      </c>
      <c r="AQ5" s="134">
        <f t="shared" ca="1" si="38"/>
        <v>3756365.3964684801</v>
      </c>
      <c r="AR5" s="134">
        <f t="shared" ca="1" si="39"/>
        <v>3714628.0028675813</v>
      </c>
      <c r="AS5" s="134">
        <f t="shared" ca="1" si="40"/>
        <v>3673354.3580946978</v>
      </c>
      <c r="AT5" s="134">
        <f t="shared" ca="1" si="41"/>
        <v>3632539.309384732</v>
      </c>
      <c r="AU5" s="134">
        <f t="shared" ca="1" si="42"/>
        <v>3592177.7612255444</v>
      </c>
      <c r="AV5" s="134">
        <f t="shared" ca="1" si="43"/>
        <v>3552264.6751236534</v>
      </c>
      <c r="AW5" s="134">
        <f t="shared" ca="1" si="44"/>
        <v>3512795.0677562281</v>
      </c>
      <c r="AX5" s="134">
        <f t="shared" ca="1" si="45"/>
        <v>3473764.0115817743</v>
      </c>
      <c r="AY5" s="134">
        <f t="shared" ca="1" si="46"/>
        <v>3435166.6338092587</v>
      </c>
      <c r="AZ5" s="134">
        <f t="shared" ca="1" si="47"/>
        <v>3396998.1157897715</v>
      </c>
      <c r="BA5" s="134">
        <f t="shared" ca="1" si="48"/>
        <v>3359253.692414945</v>
      </c>
      <c r="BB5" s="134">
        <f t="shared" ca="1" si="49"/>
        <v>3321928.6515220613</v>
      </c>
      <c r="BC5" s="134">
        <f t="shared" ca="1" si="50"/>
        <v>3285018.3333057645</v>
      </c>
      <c r="BD5" s="134">
        <f t="shared" ca="1" si="51"/>
        <v>3248518.1297363159</v>
      </c>
      <c r="BE5" s="134">
        <f t="shared" ca="1" si="52"/>
        <v>3212423.483984306</v>
      </c>
      <c r="BF5" s="134">
        <f t="shared" ca="1" si="53"/>
        <v>3176729.8898517624</v>
      </c>
      <c r="BG5" s="134">
        <f t="shared" ca="1" si="54"/>
        <v>3141432.8912095809</v>
      </c>
      <c r="BH5" s="134">
        <f t="shared" ca="1" si="55"/>
        <v>3106528.0814412008</v>
      </c>
      <c r="BI5" s="134">
        <f t="shared" ca="1" si="56"/>
        <v>3072011.1028924691</v>
      </c>
      <c r="BJ5" s="134">
        <f t="shared" ca="1" si="57"/>
        <v>3037877.6463276129</v>
      </c>
      <c r="BK5" s="134">
        <f t="shared" ca="1" si="58"/>
        <v>3004123.4503912553</v>
      </c>
      <c r="BL5" s="134">
        <f t="shared" ca="1" si="59"/>
        <v>2970744.3010764122</v>
      </c>
      <c r="BM5" s="134">
        <f t="shared" ca="1" si="60"/>
        <v>2937736.031198401</v>
      </c>
      <c r="BN5" s="134">
        <f t="shared" ca="1" si="61"/>
        <v>2905094.5198745895</v>
      </c>
      <c r="BO5" s="134">
        <f t="shared" ca="1" si="62"/>
        <v>2872815.6920099319</v>
      </c>
      <c r="BP5" s="134">
        <f t="shared" ca="1" si="63"/>
        <v>2840895.5177882146</v>
      </c>
      <c r="BQ5" s="134">
        <f t="shared" ca="1" si="64"/>
        <v>2809330.0121689606</v>
      </c>
      <c r="BR5" s="134">
        <f t="shared" ca="1" si="65"/>
        <v>2778115.2343899212</v>
      </c>
      <c r="BS5" s="134">
        <f t="shared" ca="1" si="66"/>
        <v>2747247.2874750928</v>
      </c>
      <c r="BT5" s="134">
        <f t="shared" ca="1" si="67"/>
        <v>2716722.3177482071</v>
      </c>
      <c r="BU5" s="134">
        <f t="shared" ca="1" si="68"/>
        <v>2686536.5143516203</v>
      </c>
      <c r="BV5" s="134">
        <f t="shared" ca="1" si="69"/>
        <v>2656686.1087705512</v>
      </c>
      <c r="BW5" s="134">
        <f t="shared" ca="1" si="70"/>
        <v>2627167.3743626047</v>
      </c>
      <c r="BX5" s="134">
        <f t="shared" ca="1" si="71"/>
        <v>2597976.6258925246</v>
      </c>
      <c r="BY5" s="134">
        <f t="shared" ca="1" si="72"/>
        <v>2569110.2070167279</v>
      </c>
      <c r="BZ5" s="134">
        <f t="shared" ca="1" si="73"/>
        <v>2540564.5380498753</v>
      </c>
      <c r="CA5" s="134">
        <f t="shared" ca="1" si="74"/>
        <v>2512336.0431826543</v>
      </c>
      <c r="CB5" s="134">
        <f t="shared" ca="1" si="75"/>
        <v>2484421.1982584028</v>
      </c>
      <c r="CC5" s="134">
        <f t="shared" ca="1" si="76"/>
        <v>2456816.5182777536</v>
      </c>
      <c r="CD5" s="134">
        <f t="shared" ca="1" si="77"/>
        <v>2429518.5569635564</v>
      </c>
      <c r="CE5" s="134">
        <f t="shared" ca="1" si="78"/>
        <v>2402523.9063306279</v>
      </c>
      <c r="CF5" s="134">
        <f t="shared" ca="1" si="79"/>
        <v>2375829.1962602879</v>
      </c>
      <c r="CG5" s="134">
        <f t="shared" ca="1" si="80"/>
        <v>2349431.0940796179</v>
      </c>
      <c r="CH5" s="134">
        <f t="shared" ca="1" si="81"/>
        <v>2323326.3041453999</v>
      </c>
      <c r="CI5" s="134">
        <f t="shared" ca="1" si="82"/>
        <v>2297511.5674326736</v>
      </c>
      <c r="CJ5" s="134">
        <f t="shared" ca="1" si="83"/>
        <v>2271983.6611278662</v>
      </c>
      <c r="CK5" s="134">
        <f t="shared" ca="1" si="84"/>
        <v>2246739.3982264455</v>
      </c>
      <c r="CL5" s="134">
        <f t="shared" ca="1" si="85"/>
        <v>2221775.6271350402</v>
      </c>
      <c r="CM5" s="134">
        <f t="shared" ca="1" si="86"/>
        <v>2197089.2312779846</v>
      </c>
      <c r="CN5" s="134">
        <f t="shared" ca="1" si="87"/>
        <v>2172677.1287082294</v>
      </c>
      <c r="CO5" s="134">
        <f t="shared" ca="1" si="88"/>
        <v>2148536.2717225822</v>
      </c>
      <c r="CP5" s="134">
        <f t="shared" ca="1" si="89"/>
        <v>2124663.6464812201</v>
      </c>
      <c r="CQ5" s="134">
        <f t="shared" ca="1" si="90"/>
        <v>2101056.2726314287</v>
      </c>
      <c r="CR5" s="134">
        <f t="shared" ca="1" si="91"/>
        <v>2077711.2029355238</v>
      </c>
      <c r="CS5" s="134">
        <f t="shared" ca="1" si="92"/>
        <v>2054625.5229029071</v>
      </c>
      <c r="CT5" s="134">
        <f t="shared" ca="1" si="93"/>
        <v>2031796.350426208</v>
      </c>
      <c r="CU5" s="134">
        <f t="shared" ca="1" si="94"/>
        <v>2009220.8354214726</v>
      </c>
      <c r="CV5" s="134">
        <f t="shared" ca="1" si="95"/>
        <v>1986896.1594723451</v>
      </c>
      <c r="CW5" s="134">
        <f t="shared" ca="1" si="96"/>
        <v>1964819.535478208</v>
      </c>
      <c r="CX5" s="134">
        <f t="shared" ca="1" si="97"/>
        <v>1942988.2073062279</v>
      </c>
      <c r="CY5" s="134">
        <f t="shared" ca="1" si="98"/>
        <v>1921399.4494472696</v>
      </c>
      <c r="CZ5" s="134">
        <f t="shared" ca="1" si="99"/>
        <v>1900050.5666756332</v>
      </c>
      <c r="DA5" s="134">
        <f t="shared" ca="1" si="100"/>
        <v>1878938.8937125707</v>
      </c>
      <c r="DB5" s="134">
        <f t="shared" ca="1" si="101"/>
        <v>1858061.7948935421</v>
      </c>
      <c r="DC5" s="134">
        <f t="shared" ca="1" si="102"/>
        <v>1837416.6638391693</v>
      </c>
      <c r="DD5" s="134">
        <f t="shared" ca="1" si="103"/>
        <v>1837416.6638391695</v>
      </c>
      <c r="DE5" s="134">
        <f t="shared" ca="1" si="104"/>
        <v>1837416.6638391695</v>
      </c>
      <c r="DF5" s="134">
        <f t="shared" ca="1" si="105"/>
        <v>1837416.6638391695</v>
      </c>
      <c r="DG5" s="134">
        <f t="shared" ca="1" si="106"/>
        <v>1837416.6638391695</v>
      </c>
      <c r="DH5" s="134">
        <f t="shared" ca="1" si="107"/>
        <v>1837416.6638391695</v>
      </c>
      <c r="DI5" s="134">
        <f t="shared" ca="1" si="108"/>
        <v>1837416.6638391695</v>
      </c>
      <c r="DJ5" s="134">
        <f t="shared" ca="1" si="109"/>
        <v>1837416.6638391695</v>
      </c>
      <c r="DK5" s="134">
        <f t="shared" ca="1" si="110"/>
        <v>1837416.6638391695</v>
      </c>
      <c r="DL5" s="134">
        <f t="shared" ca="1" si="111"/>
        <v>1837416.6638391695</v>
      </c>
      <c r="DM5" s="134">
        <f t="shared" ca="1" si="112"/>
        <v>1837416.6638391695</v>
      </c>
      <c r="DN5" s="134">
        <f t="shared" ca="1" si="113"/>
        <v>1837416.6638391695</v>
      </c>
      <c r="DO5" s="134">
        <f t="shared" ca="1" si="114"/>
        <v>1837416.6638391695</v>
      </c>
      <c r="DP5" s="134">
        <f t="shared" ca="1" si="115"/>
        <v>1837416.6638391695</v>
      </c>
      <c r="DQ5" s="134">
        <f t="shared" ca="1" si="116"/>
        <v>1837416.6638391695</v>
      </c>
      <c r="DR5" s="134">
        <f t="shared" ca="1" si="117"/>
        <v>1837416.6638391695</v>
      </c>
      <c r="DS5" s="134">
        <f t="shared" ca="1" si="118"/>
        <v>1837416.6638391695</v>
      </c>
      <c r="DT5" s="134">
        <f t="shared" ca="1" si="119"/>
        <v>1837416.6638391695</v>
      </c>
      <c r="DU5" s="134">
        <f t="shared" ca="1" si="120"/>
        <v>1837416.6638391695</v>
      </c>
      <c r="DV5" s="134">
        <f t="shared" ca="1" si="121"/>
        <v>1837416.6638391695</v>
      </c>
      <c r="DW5" s="134">
        <f t="shared" ca="1" si="122"/>
        <v>1837416.6638391695</v>
      </c>
      <c r="DX5" s="134">
        <f t="shared" ca="1" si="123"/>
        <v>1837416.6638391695</v>
      </c>
      <c r="DY5" s="134">
        <f t="shared" ca="1" si="124"/>
        <v>1837416.6638391695</v>
      </c>
      <c r="DZ5" s="134">
        <f t="shared" ca="1" si="125"/>
        <v>1837416.6638391695</v>
      </c>
      <c r="EA5" s="134">
        <f t="shared" ca="1" si="126"/>
        <v>1837416.6638391695</v>
      </c>
      <c r="EB5" s="134">
        <f t="shared" ca="1" si="127"/>
        <v>1837416.6638391695</v>
      </c>
      <c r="EC5" s="134">
        <f t="shared" ca="1" si="128"/>
        <v>1837416.6638391695</v>
      </c>
      <c r="ED5" s="134">
        <f t="shared" ca="1" si="129"/>
        <v>1837416.6638391695</v>
      </c>
      <c r="EE5" s="134">
        <f t="shared" ca="1" si="130"/>
        <v>1837416.6638391695</v>
      </c>
      <c r="EF5" s="134">
        <f t="shared" ca="1" si="131"/>
        <v>1837416.6638391695</v>
      </c>
      <c r="EG5" s="134">
        <f t="shared" ca="1" si="132"/>
        <v>1837416.6638391695</v>
      </c>
      <c r="EH5" s="134">
        <f t="shared" ca="1" si="133"/>
        <v>1837416.6638391695</v>
      </c>
      <c r="EI5" s="134">
        <f t="shared" ca="1" si="134"/>
        <v>1837416.6638391695</v>
      </c>
      <c r="EJ5" s="134">
        <f t="shared" ca="1" si="135"/>
        <v>1837416.6638391695</v>
      </c>
      <c r="EK5" s="134">
        <f t="shared" ca="1" si="136"/>
        <v>1837416.6638391695</v>
      </c>
      <c r="EL5" s="134">
        <f t="shared" ca="1" si="137"/>
        <v>1837416.6638391695</v>
      </c>
      <c r="EM5" s="134">
        <f t="shared" ca="1" si="138"/>
        <v>1837416.6638391695</v>
      </c>
      <c r="EN5" s="134">
        <f t="shared" ca="1" si="139"/>
        <v>1837416.6638391695</v>
      </c>
      <c r="EO5" s="134">
        <f t="shared" ca="1" si="140"/>
        <v>1837416.6638391695</v>
      </c>
      <c r="EP5" s="134">
        <f t="shared" ca="1" si="141"/>
        <v>1837416.6638391695</v>
      </c>
      <c r="EQ5" s="134">
        <f t="shared" ca="1" si="142"/>
        <v>1837416.6638391695</v>
      </c>
      <c r="ER5" s="134">
        <f t="shared" ca="1" si="143"/>
        <v>1837416.6638391695</v>
      </c>
      <c r="ES5" s="134">
        <f t="shared" ca="1" si="144"/>
        <v>1837416.6638391695</v>
      </c>
      <c r="ET5" s="134">
        <f t="shared" ca="1" si="145"/>
        <v>1837416.6638391695</v>
      </c>
      <c r="EU5" s="134">
        <f t="shared" ca="1" si="146"/>
        <v>1837416.6638391695</v>
      </c>
      <c r="EV5" s="134">
        <f t="shared" ca="1" si="147"/>
        <v>1837416.6638391695</v>
      </c>
      <c r="EW5" s="134">
        <f t="shared" ca="1" si="148"/>
        <v>1837416.6638391695</v>
      </c>
      <c r="EX5" s="134">
        <f t="shared" ca="1" si="149"/>
        <v>1837416.6638391695</v>
      </c>
      <c r="EY5" s="134">
        <f t="shared" ca="1" si="150"/>
        <v>1837416.6638391695</v>
      </c>
      <c r="EZ5" s="134">
        <f t="shared" ca="1" si="151"/>
        <v>1837416.6638391695</v>
      </c>
      <c r="FA5" s="134">
        <f t="shared" ca="1" si="152"/>
        <v>1837416.6638391695</v>
      </c>
      <c r="FB5" s="134">
        <f t="shared" ca="1" si="153"/>
        <v>1837416.6638391695</v>
      </c>
      <c r="FC5" s="134">
        <f t="shared" ca="1" si="154"/>
        <v>1837416.6638391695</v>
      </c>
      <c r="FD5" s="134">
        <f t="shared" ca="1" si="155"/>
        <v>1837416.6638391695</v>
      </c>
      <c r="FE5" s="134">
        <f t="shared" ca="1" si="156"/>
        <v>1837416.6638391695</v>
      </c>
      <c r="FF5" s="134">
        <f t="shared" ca="1" si="157"/>
        <v>1837416.6638391695</v>
      </c>
      <c r="FG5" s="134">
        <f t="shared" ca="1" si="158"/>
        <v>1837416.6638391695</v>
      </c>
      <c r="FH5" s="134">
        <f t="shared" ca="1" si="159"/>
        <v>1837416.6638391695</v>
      </c>
      <c r="FI5" s="134">
        <f t="shared" ca="1" si="160"/>
        <v>1837416.6638391695</v>
      </c>
      <c r="FJ5" s="134">
        <f t="shared" ca="1" si="161"/>
        <v>1837416.6638391695</v>
      </c>
      <c r="FK5" s="134">
        <f t="shared" ca="1" si="162"/>
        <v>1837416.6638391695</v>
      </c>
      <c r="FL5" s="134">
        <f t="shared" ca="1" si="163"/>
        <v>1837416.6638391695</v>
      </c>
      <c r="FM5" s="134">
        <f t="shared" ca="1" si="164"/>
        <v>1837416.6638391695</v>
      </c>
      <c r="FN5" s="134">
        <f t="shared" ca="1" si="165"/>
        <v>1837416.6638391695</v>
      </c>
      <c r="FO5" s="134">
        <f t="shared" ca="1" si="166"/>
        <v>1837416.6638391695</v>
      </c>
      <c r="FP5" s="134">
        <f t="shared" ca="1" si="167"/>
        <v>1837416.6638391695</v>
      </c>
      <c r="FQ5" s="134">
        <f t="shared" ca="1" si="168"/>
        <v>1837416.6638391695</v>
      </c>
      <c r="FR5" s="134">
        <f t="shared" ca="1" si="169"/>
        <v>1837416.6638391695</v>
      </c>
      <c r="FS5" s="134">
        <f t="shared" ca="1" si="170"/>
        <v>1837416.6638391695</v>
      </c>
      <c r="FT5" s="134">
        <f t="shared" ca="1" si="171"/>
        <v>1837416.6638391695</v>
      </c>
      <c r="FU5" s="134">
        <f t="shared" ca="1" si="172"/>
        <v>1837416.6638391695</v>
      </c>
      <c r="FV5" s="134">
        <f t="shared" ca="1" si="173"/>
        <v>1837416.6638391695</v>
      </c>
      <c r="FW5" s="134">
        <f t="shared" ca="1" si="174"/>
        <v>1837416.6638391695</v>
      </c>
      <c r="FX5" s="134">
        <f t="shared" ca="1" si="175"/>
        <v>1837416.6638391695</v>
      </c>
      <c r="FY5" s="134">
        <f t="shared" ca="1" si="176"/>
        <v>1837416.6638391695</v>
      </c>
      <c r="FZ5" s="134">
        <f t="shared" ca="1" si="177"/>
        <v>1837416.6638391695</v>
      </c>
      <c r="GA5" s="134">
        <f t="shared" ca="1" si="178"/>
        <v>1837416.6638391695</v>
      </c>
      <c r="GB5" s="134">
        <f t="shared" ca="1" si="179"/>
        <v>1837416.6638391695</v>
      </c>
      <c r="GC5" s="134">
        <f t="shared" ca="1" si="180"/>
        <v>1837416.6638391695</v>
      </c>
      <c r="GD5" s="134">
        <f t="shared" ca="1" si="181"/>
        <v>1837416.6638391695</v>
      </c>
      <c r="GE5" s="134">
        <f t="shared" ca="1" si="182"/>
        <v>1837416.6638391695</v>
      </c>
      <c r="GF5" s="134">
        <f t="shared" ca="1" si="183"/>
        <v>1837416.6638391695</v>
      </c>
      <c r="GG5" s="134">
        <f t="shared" ca="1" si="184"/>
        <v>1837416.6638391695</v>
      </c>
      <c r="GH5" s="134">
        <f t="shared" ca="1" si="185"/>
        <v>1837416.6638391695</v>
      </c>
      <c r="GI5" s="134">
        <f t="shared" ca="1" si="186"/>
        <v>1837416.6638391695</v>
      </c>
      <c r="GJ5" s="134">
        <f t="shared" ca="1" si="187"/>
        <v>1837416.6638391695</v>
      </c>
      <c r="GK5" s="134">
        <f t="shared" ca="1" si="188"/>
        <v>1837416.6638391695</v>
      </c>
      <c r="GL5" s="134">
        <f t="shared" ca="1" si="189"/>
        <v>1837416.6638391695</v>
      </c>
      <c r="GM5" s="134">
        <f t="shared" ca="1" si="190"/>
        <v>1837416.6638391695</v>
      </c>
      <c r="GN5" s="134">
        <f t="shared" ca="1" si="191"/>
        <v>1837416.6638391695</v>
      </c>
      <c r="GO5" s="134">
        <f t="shared" si="192"/>
        <v>0</v>
      </c>
      <c r="GP5" s="134">
        <f t="shared" si="193"/>
        <v>0</v>
      </c>
      <c r="GQ5" s="134">
        <f t="shared" si="194"/>
        <v>0</v>
      </c>
      <c r="GR5" s="134">
        <f t="shared" si="195"/>
        <v>0</v>
      </c>
      <c r="GS5" s="134">
        <f t="shared" si="196"/>
        <v>0</v>
      </c>
      <c r="GT5" s="134">
        <f t="shared" si="197"/>
        <v>0</v>
      </c>
      <c r="GU5" s="134">
        <f t="shared" si="198"/>
        <v>0</v>
      </c>
      <c r="GV5" s="134">
        <f t="shared" si="199"/>
        <v>0</v>
      </c>
      <c r="GW5" s="134">
        <f t="shared" si="200"/>
        <v>0</v>
      </c>
      <c r="GX5" s="134">
        <f t="shared" si="201"/>
        <v>0</v>
      </c>
      <c r="GY5" s="134">
        <f t="shared" si="202"/>
        <v>0</v>
      </c>
      <c r="GZ5" s="134">
        <f t="shared" si="203"/>
        <v>0</v>
      </c>
      <c r="HA5" s="134">
        <f t="shared" si="204"/>
        <v>0</v>
      </c>
      <c r="HB5" s="134">
        <f t="shared" si="205"/>
        <v>0</v>
      </c>
      <c r="HC5" s="134">
        <f t="shared" si="206"/>
        <v>0</v>
      </c>
      <c r="HD5" s="134">
        <f t="shared" si="207"/>
        <v>0</v>
      </c>
      <c r="HE5" s="134">
        <f t="shared" si="208"/>
        <v>0</v>
      </c>
      <c r="HF5" s="134">
        <f t="shared" si="209"/>
        <v>0</v>
      </c>
      <c r="HG5" s="134">
        <f t="shared" si="210"/>
        <v>0</v>
      </c>
      <c r="HH5" s="134">
        <f t="shared" si="211"/>
        <v>0</v>
      </c>
      <c r="HI5" s="134">
        <f t="shared" si="212"/>
        <v>0</v>
      </c>
      <c r="HJ5" s="134">
        <f t="shared" si="213"/>
        <v>0</v>
      </c>
      <c r="HK5" s="134">
        <f t="shared" si="214"/>
        <v>0</v>
      </c>
      <c r="HL5" s="134">
        <f t="shared" si="215"/>
        <v>0</v>
      </c>
      <c r="HM5" s="134">
        <f t="shared" si="216"/>
        <v>0</v>
      </c>
      <c r="HN5" s="134">
        <f t="shared" si="217"/>
        <v>0</v>
      </c>
      <c r="HO5" s="134">
        <f t="shared" si="218"/>
        <v>0</v>
      </c>
      <c r="HP5" s="134">
        <f t="shared" si="219"/>
        <v>0</v>
      </c>
      <c r="HQ5" s="134">
        <f t="shared" si="220"/>
        <v>0</v>
      </c>
      <c r="HR5" s="134">
        <f t="shared" si="221"/>
        <v>0</v>
      </c>
      <c r="HS5" s="134">
        <f t="shared" si="222"/>
        <v>0</v>
      </c>
      <c r="HT5" s="134">
        <f t="shared" si="223"/>
        <v>0</v>
      </c>
      <c r="HU5" s="134">
        <f t="shared" si="224"/>
        <v>0</v>
      </c>
      <c r="HV5" s="134">
        <f t="shared" si="225"/>
        <v>0</v>
      </c>
      <c r="HW5" s="134">
        <f t="shared" si="226"/>
        <v>0</v>
      </c>
      <c r="HX5" s="134">
        <f t="shared" si="227"/>
        <v>0</v>
      </c>
      <c r="HY5" s="134">
        <f t="shared" si="228"/>
        <v>0</v>
      </c>
      <c r="HZ5" s="134">
        <f t="shared" si="229"/>
        <v>0</v>
      </c>
      <c r="IA5" s="134">
        <f t="shared" si="230"/>
        <v>0</v>
      </c>
      <c r="IB5" s="134">
        <f t="shared" si="231"/>
        <v>0</v>
      </c>
      <c r="IC5" s="134">
        <f t="shared" si="232"/>
        <v>0</v>
      </c>
      <c r="ID5" s="134">
        <f t="shared" si="233"/>
        <v>0</v>
      </c>
      <c r="IE5" s="134">
        <f t="shared" si="234"/>
        <v>0</v>
      </c>
      <c r="IF5" s="134">
        <f t="shared" si="235"/>
        <v>0</v>
      </c>
      <c r="IG5" s="134">
        <f t="shared" si="236"/>
        <v>0</v>
      </c>
      <c r="IH5" s="134">
        <f t="shared" si="237"/>
        <v>0</v>
      </c>
      <c r="II5" s="134">
        <f t="shared" si="238"/>
        <v>0</v>
      </c>
      <c r="IJ5" s="135">
        <f t="shared" si="239"/>
        <v>0</v>
      </c>
      <c r="IK5" s="132">
        <f t="shared" ref="IK5:IK23" ca="1" si="240">SUM(E5:IJ5)</f>
        <v>452038486.9999994</v>
      </c>
    </row>
    <row r="6" spans="1:245" x14ac:dyDescent="0.45">
      <c r="A6" s="67">
        <v>2017</v>
      </c>
      <c r="B6" s="112"/>
      <c r="C6" s="3">
        <f ca="1">INT(SUM(OFFSET('CAPEX Schedule'!$C$8,0,($A6-$A$4)*12):OFFSET('CAPEX Schedule'!$C$8,0,($A6-$A$4)*12+11)))</f>
        <v>0</v>
      </c>
      <c r="D6" s="3">
        <f ca="1">INT(SUM(OFFSET('CAPEX Schedule'!$C$13,0,($A6-$A$4)*12):OFFSET('CAPEX Schedule'!$C$13,0,($A6-$A$4)*12+11)))-C6</f>
        <v>0</v>
      </c>
      <c r="E6" s="130">
        <f t="shared" si="0"/>
        <v>0</v>
      </c>
      <c r="F6" s="134">
        <f t="shared" si="1"/>
        <v>0</v>
      </c>
      <c r="G6" s="134">
        <f t="shared" si="2"/>
        <v>0</v>
      </c>
      <c r="H6" s="134">
        <f t="shared" si="3"/>
        <v>0</v>
      </c>
      <c r="I6" s="134">
        <f t="shared" si="4"/>
        <v>0</v>
      </c>
      <c r="J6" s="134">
        <f t="shared" si="5"/>
        <v>0</v>
      </c>
      <c r="K6" s="134">
        <f t="shared" si="6"/>
        <v>0</v>
      </c>
      <c r="L6" s="134">
        <f t="shared" si="7"/>
        <v>0</v>
      </c>
      <c r="M6" s="134">
        <f t="shared" si="8"/>
        <v>0</v>
      </c>
      <c r="N6" s="134">
        <f t="shared" si="9"/>
        <v>0</v>
      </c>
      <c r="O6" s="134">
        <f t="shared" si="10"/>
        <v>0</v>
      </c>
      <c r="P6" s="134">
        <f t="shared" si="11"/>
        <v>0</v>
      </c>
      <c r="Q6" s="134">
        <f t="shared" si="12"/>
        <v>0</v>
      </c>
      <c r="R6" s="134">
        <f t="shared" si="13"/>
        <v>0</v>
      </c>
      <c r="S6" s="134">
        <f t="shared" si="14"/>
        <v>0</v>
      </c>
      <c r="T6" s="134">
        <f t="shared" si="15"/>
        <v>0</v>
      </c>
      <c r="U6" s="134">
        <f t="shared" si="16"/>
        <v>0</v>
      </c>
      <c r="V6" s="134">
        <f t="shared" si="17"/>
        <v>0</v>
      </c>
      <c r="W6" s="134">
        <f t="shared" si="18"/>
        <v>0</v>
      </c>
      <c r="X6" s="134">
        <f t="shared" si="19"/>
        <v>0</v>
      </c>
      <c r="Y6" s="134">
        <f t="shared" si="20"/>
        <v>0</v>
      </c>
      <c r="Z6" s="134">
        <f t="shared" si="21"/>
        <v>0</v>
      </c>
      <c r="AA6" s="134">
        <f t="shared" si="22"/>
        <v>0</v>
      </c>
      <c r="AB6" s="134">
        <f t="shared" si="23"/>
        <v>0</v>
      </c>
      <c r="AC6" s="134">
        <f t="shared" ca="1" si="24"/>
        <v>5022649.8777777776</v>
      </c>
      <c r="AD6" s="134">
        <f t="shared" ca="1" si="25"/>
        <v>4966842.6561728399</v>
      </c>
      <c r="AE6" s="134">
        <f t="shared" ca="1" si="26"/>
        <v>4911655.5148326475</v>
      </c>
      <c r="AF6" s="134">
        <f t="shared" ca="1" si="27"/>
        <v>4857081.5639756601</v>
      </c>
      <c r="AG6" s="134">
        <f t="shared" ca="1" si="28"/>
        <v>4803113.9903734876</v>
      </c>
      <c r="AH6" s="134">
        <f t="shared" ca="1" si="29"/>
        <v>4749746.056500311</v>
      </c>
      <c r="AI6" s="134">
        <f t="shared" ca="1" si="30"/>
        <v>4696971.0996917291</v>
      </c>
      <c r="AJ6" s="134">
        <f t="shared" ca="1" si="31"/>
        <v>4644782.5313129742</v>
      </c>
      <c r="AK6" s="134">
        <f t="shared" ca="1" si="32"/>
        <v>4593173.8359363507</v>
      </c>
      <c r="AL6" s="134">
        <f t="shared" ca="1" si="33"/>
        <v>4542138.570527833</v>
      </c>
      <c r="AM6" s="134">
        <f t="shared" ca="1" si="34"/>
        <v>4491670.3636426795</v>
      </c>
      <c r="AN6" s="134">
        <f t="shared" ca="1" si="35"/>
        <v>4441762.9146300042</v>
      </c>
      <c r="AO6" s="134">
        <f t="shared" ca="1" si="36"/>
        <v>4392409.9928461723</v>
      </c>
      <c r="AP6" s="134">
        <f t="shared" ca="1" si="37"/>
        <v>4343605.4368769452</v>
      </c>
      <c r="AQ6" s="134">
        <f t="shared" ca="1" si="38"/>
        <v>4295343.1537682582</v>
      </c>
      <c r="AR6" s="134">
        <f t="shared" ca="1" si="39"/>
        <v>4247617.118265559</v>
      </c>
      <c r="AS6" s="134">
        <f t="shared" ca="1" si="40"/>
        <v>4200421.3720615841</v>
      </c>
      <c r="AT6" s="134">
        <f t="shared" ca="1" si="41"/>
        <v>4153750.023052502</v>
      </c>
      <c r="AU6" s="134">
        <f t="shared" ca="1" si="42"/>
        <v>4107597.2446023193</v>
      </c>
      <c r="AV6" s="134">
        <f t="shared" ca="1" si="43"/>
        <v>4061957.2748154593</v>
      </c>
      <c r="AW6" s="134">
        <f t="shared" ca="1" si="44"/>
        <v>4016824.4158174214</v>
      </c>
      <c r="AX6" s="134">
        <f t="shared" ca="1" si="45"/>
        <v>3972193.0330434381</v>
      </c>
      <c r="AY6" s="134">
        <f t="shared" ca="1" si="46"/>
        <v>3928057.5545350332</v>
      </c>
      <c r="AZ6" s="134">
        <f t="shared" ca="1" si="47"/>
        <v>3884412.4702443932</v>
      </c>
      <c r="BA6" s="134">
        <f t="shared" ca="1" si="48"/>
        <v>3841252.3313464723</v>
      </c>
      <c r="BB6" s="134">
        <f t="shared" ca="1" si="49"/>
        <v>3798571.7495587389</v>
      </c>
      <c r="BC6" s="134">
        <f t="shared" ca="1" si="50"/>
        <v>3756365.3964684801</v>
      </c>
      <c r="BD6" s="134">
        <f t="shared" ca="1" si="51"/>
        <v>3714628.0028675813</v>
      </c>
      <c r="BE6" s="134">
        <f t="shared" ca="1" si="52"/>
        <v>3673354.3580946978</v>
      </c>
      <c r="BF6" s="134">
        <f t="shared" ca="1" si="53"/>
        <v>3632539.309384732</v>
      </c>
      <c r="BG6" s="134">
        <f t="shared" ca="1" si="54"/>
        <v>3592177.7612255444</v>
      </c>
      <c r="BH6" s="134">
        <f t="shared" ca="1" si="55"/>
        <v>3552264.6751236534</v>
      </c>
      <c r="BI6" s="134">
        <f t="shared" ca="1" si="56"/>
        <v>3512795.0677562281</v>
      </c>
      <c r="BJ6" s="134">
        <f t="shared" ca="1" si="57"/>
        <v>3473764.0115817743</v>
      </c>
      <c r="BK6" s="134">
        <f t="shared" ca="1" si="58"/>
        <v>3435166.6338092587</v>
      </c>
      <c r="BL6" s="134">
        <f t="shared" ca="1" si="59"/>
        <v>3396998.1157897715</v>
      </c>
      <c r="BM6" s="134">
        <f t="shared" ca="1" si="60"/>
        <v>3359253.692414945</v>
      </c>
      <c r="BN6" s="134">
        <f t="shared" ca="1" si="61"/>
        <v>3321928.6515220613</v>
      </c>
      <c r="BO6" s="134">
        <f t="shared" ca="1" si="62"/>
        <v>3285018.3333057645</v>
      </c>
      <c r="BP6" s="134">
        <f t="shared" ca="1" si="63"/>
        <v>3248518.1297363159</v>
      </c>
      <c r="BQ6" s="134">
        <f t="shared" ca="1" si="64"/>
        <v>3212423.483984306</v>
      </c>
      <c r="BR6" s="134">
        <f t="shared" ca="1" si="65"/>
        <v>3176729.8898517624</v>
      </c>
      <c r="BS6" s="134">
        <f t="shared" ca="1" si="66"/>
        <v>3141432.8912095809</v>
      </c>
      <c r="BT6" s="134">
        <f t="shared" ca="1" si="67"/>
        <v>3106528.0814412008</v>
      </c>
      <c r="BU6" s="134">
        <f t="shared" ca="1" si="68"/>
        <v>3072011.1028924691</v>
      </c>
      <c r="BV6" s="134">
        <f t="shared" ca="1" si="69"/>
        <v>3037877.6463276129</v>
      </c>
      <c r="BW6" s="134">
        <f t="shared" ca="1" si="70"/>
        <v>3004123.4503912553</v>
      </c>
      <c r="BX6" s="134">
        <f t="shared" ca="1" si="71"/>
        <v>2970744.3010764122</v>
      </c>
      <c r="BY6" s="134">
        <f t="shared" ca="1" si="72"/>
        <v>2937736.031198401</v>
      </c>
      <c r="BZ6" s="134">
        <f t="shared" ca="1" si="73"/>
        <v>2905094.5198745895</v>
      </c>
      <c r="CA6" s="134">
        <f t="shared" ca="1" si="74"/>
        <v>2872815.6920099319</v>
      </c>
      <c r="CB6" s="134">
        <f t="shared" ca="1" si="75"/>
        <v>2840895.5177882146</v>
      </c>
      <c r="CC6" s="134">
        <f t="shared" ca="1" si="76"/>
        <v>2809330.0121689606</v>
      </c>
      <c r="CD6" s="134">
        <f t="shared" ca="1" si="77"/>
        <v>2778115.2343899212</v>
      </c>
      <c r="CE6" s="134">
        <f t="shared" ca="1" si="78"/>
        <v>2747247.2874750928</v>
      </c>
      <c r="CF6" s="134">
        <f t="shared" ca="1" si="79"/>
        <v>2716722.3177482071</v>
      </c>
      <c r="CG6" s="134">
        <f t="shared" ca="1" si="80"/>
        <v>2686536.5143516203</v>
      </c>
      <c r="CH6" s="134">
        <f t="shared" ca="1" si="81"/>
        <v>2656686.1087705512</v>
      </c>
      <c r="CI6" s="134">
        <f t="shared" ca="1" si="82"/>
        <v>2627167.3743626047</v>
      </c>
      <c r="CJ6" s="134">
        <f t="shared" ca="1" si="83"/>
        <v>2597976.6258925246</v>
      </c>
      <c r="CK6" s="134">
        <f t="shared" ca="1" si="84"/>
        <v>2569110.2070167279</v>
      </c>
      <c r="CL6" s="134">
        <f t="shared" ca="1" si="85"/>
        <v>2540564.5380498753</v>
      </c>
      <c r="CM6" s="134">
        <f t="shared" ca="1" si="86"/>
        <v>2512336.0431826543</v>
      </c>
      <c r="CN6" s="134">
        <f t="shared" ca="1" si="87"/>
        <v>2484421.1982584028</v>
      </c>
      <c r="CO6" s="134">
        <f t="shared" ca="1" si="88"/>
        <v>2456816.5182777536</v>
      </c>
      <c r="CP6" s="134">
        <f t="shared" ca="1" si="89"/>
        <v>2429518.5569635564</v>
      </c>
      <c r="CQ6" s="134">
        <f t="shared" ca="1" si="90"/>
        <v>2402523.9063306279</v>
      </c>
      <c r="CR6" s="134">
        <f t="shared" ca="1" si="91"/>
        <v>2375829.1962602879</v>
      </c>
      <c r="CS6" s="134">
        <f t="shared" ca="1" si="92"/>
        <v>2349431.0940796179</v>
      </c>
      <c r="CT6" s="134">
        <f t="shared" ca="1" si="93"/>
        <v>2323326.3041453999</v>
      </c>
      <c r="CU6" s="134">
        <f t="shared" ca="1" si="94"/>
        <v>2297511.5674326736</v>
      </c>
      <c r="CV6" s="134">
        <f t="shared" ca="1" si="95"/>
        <v>2271983.6611278662</v>
      </c>
      <c r="CW6" s="134">
        <f t="shared" ca="1" si="96"/>
        <v>2246739.3982264455</v>
      </c>
      <c r="CX6" s="134">
        <f t="shared" ca="1" si="97"/>
        <v>2221775.6271350402</v>
      </c>
      <c r="CY6" s="134">
        <f t="shared" ca="1" si="98"/>
        <v>2197089.2312779846</v>
      </c>
      <c r="CZ6" s="134">
        <f t="shared" ca="1" si="99"/>
        <v>2172677.1287082294</v>
      </c>
      <c r="DA6" s="134">
        <f t="shared" ca="1" si="100"/>
        <v>2148536.2717225822</v>
      </c>
      <c r="DB6" s="134">
        <f t="shared" ca="1" si="101"/>
        <v>2124663.6464812201</v>
      </c>
      <c r="DC6" s="134">
        <f t="shared" ca="1" si="102"/>
        <v>2101056.2726314287</v>
      </c>
      <c r="DD6" s="134">
        <f t="shared" ca="1" si="103"/>
        <v>2077711.2029355238</v>
      </c>
      <c r="DE6" s="134">
        <f t="shared" ca="1" si="104"/>
        <v>2054625.5229029071</v>
      </c>
      <c r="DF6" s="134">
        <f t="shared" ca="1" si="105"/>
        <v>2031796.350426208</v>
      </c>
      <c r="DG6" s="134">
        <f t="shared" ca="1" si="106"/>
        <v>2009220.8354214726</v>
      </c>
      <c r="DH6" s="134">
        <f t="shared" ca="1" si="107"/>
        <v>1986896.1594723451</v>
      </c>
      <c r="DI6" s="134">
        <f t="shared" ca="1" si="108"/>
        <v>1964819.535478208</v>
      </c>
      <c r="DJ6" s="134">
        <f t="shared" ca="1" si="109"/>
        <v>1942988.2073062279</v>
      </c>
      <c r="DK6" s="134">
        <f t="shared" ca="1" si="110"/>
        <v>1921399.4494472696</v>
      </c>
      <c r="DL6" s="134">
        <f t="shared" ca="1" si="111"/>
        <v>1900050.5666756332</v>
      </c>
      <c r="DM6" s="134">
        <f t="shared" ca="1" si="112"/>
        <v>1878938.8937125707</v>
      </c>
      <c r="DN6" s="134">
        <f t="shared" ca="1" si="113"/>
        <v>1858061.7948935421</v>
      </c>
      <c r="DO6" s="134">
        <f t="shared" ca="1" si="114"/>
        <v>1837416.6638391693</v>
      </c>
      <c r="DP6" s="134">
        <f t="shared" ca="1" si="115"/>
        <v>1837416.6638391695</v>
      </c>
      <c r="DQ6" s="134">
        <f t="shared" ca="1" si="116"/>
        <v>1837416.6638391695</v>
      </c>
      <c r="DR6" s="134">
        <f t="shared" ca="1" si="117"/>
        <v>1837416.6638391695</v>
      </c>
      <c r="DS6" s="134">
        <f t="shared" ca="1" si="118"/>
        <v>1837416.6638391695</v>
      </c>
      <c r="DT6" s="134">
        <f t="shared" ca="1" si="119"/>
        <v>1837416.6638391695</v>
      </c>
      <c r="DU6" s="134">
        <f t="shared" ca="1" si="120"/>
        <v>1837416.6638391695</v>
      </c>
      <c r="DV6" s="134">
        <f t="shared" ca="1" si="121"/>
        <v>1837416.6638391695</v>
      </c>
      <c r="DW6" s="134">
        <f t="shared" ca="1" si="122"/>
        <v>1837416.6638391695</v>
      </c>
      <c r="DX6" s="134">
        <f t="shared" ca="1" si="123"/>
        <v>1837416.6638391695</v>
      </c>
      <c r="DY6" s="134">
        <f t="shared" ca="1" si="124"/>
        <v>1837416.6638391695</v>
      </c>
      <c r="DZ6" s="134">
        <f t="shared" ca="1" si="125"/>
        <v>1837416.6638391695</v>
      </c>
      <c r="EA6" s="134">
        <f t="shared" ca="1" si="126"/>
        <v>1837416.6638391695</v>
      </c>
      <c r="EB6" s="134">
        <f t="shared" ca="1" si="127"/>
        <v>1837416.6638391695</v>
      </c>
      <c r="EC6" s="134">
        <f t="shared" ca="1" si="128"/>
        <v>1837416.6638391695</v>
      </c>
      <c r="ED6" s="134">
        <f t="shared" ca="1" si="129"/>
        <v>1837416.6638391695</v>
      </c>
      <c r="EE6" s="134">
        <f t="shared" ca="1" si="130"/>
        <v>1837416.6638391695</v>
      </c>
      <c r="EF6" s="134">
        <f t="shared" ca="1" si="131"/>
        <v>1837416.6638391695</v>
      </c>
      <c r="EG6" s="134">
        <f t="shared" ca="1" si="132"/>
        <v>1837416.6638391695</v>
      </c>
      <c r="EH6" s="134">
        <f t="shared" ca="1" si="133"/>
        <v>1837416.6638391695</v>
      </c>
      <c r="EI6" s="134">
        <f t="shared" ca="1" si="134"/>
        <v>1837416.6638391695</v>
      </c>
      <c r="EJ6" s="134">
        <f t="shared" ca="1" si="135"/>
        <v>1837416.6638391695</v>
      </c>
      <c r="EK6" s="134">
        <f t="shared" ca="1" si="136"/>
        <v>1837416.6638391695</v>
      </c>
      <c r="EL6" s="134">
        <f t="shared" ca="1" si="137"/>
        <v>1837416.6638391695</v>
      </c>
      <c r="EM6" s="134">
        <f t="shared" ca="1" si="138"/>
        <v>1837416.6638391695</v>
      </c>
      <c r="EN6" s="134">
        <f t="shared" ca="1" si="139"/>
        <v>1837416.6638391695</v>
      </c>
      <c r="EO6" s="134">
        <f t="shared" ca="1" si="140"/>
        <v>1837416.6638391695</v>
      </c>
      <c r="EP6" s="134">
        <f t="shared" ca="1" si="141"/>
        <v>1837416.6638391695</v>
      </c>
      <c r="EQ6" s="134">
        <f t="shared" ca="1" si="142"/>
        <v>1837416.6638391695</v>
      </c>
      <c r="ER6" s="134">
        <f t="shared" ca="1" si="143"/>
        <v>1837416.6638391695</v>
      </c>
      <c r="ES6" s="134">
        <f t="shared" ca="1" si="144"/>
        <v>1837416.6638391695</v>
      </c>
      <c r="ET6" s="134">
        <f t="shared" ca="1" si="145"/>
        <v>1837416.6638391695</v>
      </c>
      <c r="EU6" s="134">
        <f t="shared" ca="1" si="146"/>
        <v>1837416.6638391695</v>
      </c>
      <c r="EV6" s="134">
        <f t="shared" ca="1" si="147"/>
        <v>1837416.6638391695</v>
      </c>
      <c r="EW6" s="134">
        <f t="shared" ca="1" si="148"/>
        <v>1837416.6638391695</v>
      </c>
      <c r="EX6" s="134">
        <f t="shared" ca="1" si="149"/>
        <v>1837416.6638391695</v>
      </c>
      <c r="EY6" s="134">
        <f t="shared" ca="1" si="150"/>
        <v>1837416.6638391695</v>
      </c>
      <c r="EZ6" s="134">
        <f t="shared" ca="1" si="151"/>
        <v>1837416.6638391695</v>
      </c>
      <c r="FA6" s="134">
        <f t="shared" ca="1" si="152"/>
        <v>1837416.6638391695</v>
      </c>
      <c r="FB6" s="134">
        <f t="shared" ca="1" si="153"/>
        <v>1837416.6638391695</v>
      </c>
      <c r="FC6" s="134">
        <f t="shared" ca="1" si="154"/>
        <v>1837416.6638391695</v>
      </c>
      <c r="FD6" s="134">
        <f t="shared" ca="1" si="155"/>
        <v>1837416.6638391695</v>
      </c>
      <c r="FE6" s="134">
        <f t="shared" ca="1" si="156"/>
        <v>1837416.6638391695</v>
      </c>
      <c r="FF6" s="134">
        <f t="shared" ca="1" si="157"/>
        <v>1837416.6638391695</v>
      </c>
      <c r="FG6" s="134">
        <f t="shared" ca="1" si="158"/>
        <v>1837416.6638391695</v>
      </c>
      <c r="FH6" s="134">
        <f t="shared" ca="1" si="159"/>
        <v>1837416.6638391695</v>
      </c>
      <c r="FI6" s="134">
        <f t="shared" ca="1" si="160"/>
        <v>1837416.6638391695</v>
      </c>
      <c r="FJ6" s="134">
        <f t="shared" ca="1" si="161"/>
        <v>1837416.6638391695</v>
      </c>
      <c r="FK6" s="134">
        <f t="shared" ca="1" si="162"/>
        <v>1837416.6638391695</v>
      </c>
      <c r="FL6" s="134">
        <f t="shared" ca="1" si="163"/>
        <v>1837416.6638391695</v>
      </c>
      <c r="FM6" s="134">
        <f t="shared" ca="1" si="164"/>
        <v>1837416.6638391695</v>
      </c>
      <c r="FN6" s="134">
        <f t="shared" ca="1" si="165"/>
        <v>1837416.6638391695</v>
      </c>
      <c r="FO6" s="134">
        <f t="shared" ca="1" si="166"/>
        <v>1837416.6638391695</v>
      </c>
      <c r="FP6" s="134">
        <f t="shared" ca="1" si="167"/>
        <v>1837416.6638391695</v>
      </c>
      <c r="FQ6" s="134">
        <f t="shared" ca="1" si="168"/>
        <v>1837416.6638391695</v>
      </c>
      <c r="FR6" s="134">
        <f t="shared" ca="1" si="169"/>
        <v>1837416.6638391695</v>
      </c>
      <c r="FS6" s="134">
        <f t="shared" ca="1" si="170"/>
        <v>1837416.6638391695</v>
      </c>
      <c r="FT6" s="134">
        <f t="shared" ca="1" si="171"/>
        <v>1837416.6638391695</v>
      </c>
      <c r="FU6" s="134">
        <f t="shared" ca="1" si="172"/>
        <v>1837416.6638391695</v>
      </c>
      <c r="FV6" s="134">
        <f t="shared" ca="1" si="173"/>
        <v>1837416.6638391695</v>
      </c>
      <c r="FW6" s="134">
        <f t="shared" ca="1" si="174"/>
        <v>1837416.6638391695</v>
      </c>
      <c r="FX6" s="134">
        <f t="shared" ca="1" si="175"/>
        <v>1837416.6638391695</v>
      </c>
      <c r="FY6" s="134">
        <f t="shared" ca="1" si="176"/>
        <v>1837416.6638391695</v>
      </c>
      <c r="FZ6" s="134">
        <f t="shared" ca="1" si="177"/>
        <v>1837416.6638391695</v>
      </c>
      <c r="GA6" s="134">
        <f t="shared" ca="1" si="178"/>
        <v>1837416.6638391695</v>
      </c>
      <c r="GB6" s="134">
        <f t="shared" ca="1" si="179"/>
        <v>1837416.6638391695</v>
      </c>
      <c r="GC6" s="134">
        <f t="shared" ca="1" si="180"/>
        <v>1837416.6638391695</v>
      </c>
      <c r="GD6" s="134">
        <f t="shared" ca="1" si="181"/>
        <v>1837416.6638391695</v>
      </c>
      <c r="GE6" s="134">
        <f t="shared" ca="1" si="182"/>
        <v>1837416.6638391695</v>
      </c>
      <c r="GF6" s="134">
        <f t="shared" ca="1" si="183"/>
        <v>1837416.6638391695</v>
      </c>
      <c r="GG6" s="134">
        <f t="shared" ca="1" si="184"/>
        <v>1837416.6638391695</v>
      </c>
      <c r="GH6" s="134">
        <f t="shared" ca="1" si="185"/>
        <v>1837416.6638391695</v>
      </c>
      <c r="GI6" s="134">
        <f t="shared" ca="1" si="186"/>
        <v>1837416.6638391695</v>
      </c>
      <c r="GJ6" s="134">
        <f t="shared" ca="1" si="187"/>
        <v>1837416.6638391695</v>
      </c>
      <c r="GK6" s="134">
        <f t="shared" ca="1" si="188"/>
        <v>1837416.6638391695</v>
      </c>
      <c r="GL6" s="134">
        <f t="shared" ca="1" si="189"/>
        <v>1837416.6638391695</v>
      </c>
      <c r="GM6" s="134">
        <f t="shared" ca="1" si="190"/>
        <v>1837416.6638391695</v>
      </c>
      <c r="GN6" s="134">
        <f t="shared" ca="1" si="191"/>
        <v>1837416.6638391695</v>
      </c>
      <c r="GO6" s="134">
        <f t="shared" ca="1" si="192"/>
        <v>1837416.6638391695</v>
      </c>
      <c r="GP6" s="134">
        <f t="shared" ca="1" si="193"/>
        <v>1837416.6638391695</v>
      </c>
      <c r="GQ6" s="134">
        <f t="shared" ca="1" si="194"/>
        <v>1837416.6638391695</v>
      </c>
      <c r="GR6" s="134">
        <f t="shared" ca="1" si="195"/>
        <v>1837416.6638391695</v>
      </c>
      <c r="GS6" s="134">
        <f t="shared" ca="1" si="196"/>
        <v>1837416.6638391695</v>
      </c>
      <c r="GT6" s="134">
        <f t="shared" ca="1" si="197"/>
        <v>1837416.6638391695</v>
      </c>
      <c r="GU6" s="134">
        <f t="shared" ca="1" si="198"/>
        <v>1837416.6638391695</v>
      </c>
      <c r="GV6" s="134">
        <f t="shared" ca="1" si="199"/>
        <v>1837416.6638391695</v>
      </c>
      <c r="GW6" s="134">
        <f t="shared" ca="1" si="200"/>
        <v>1837416.6638391695</v>
      </c>
      <c r="GX6" s="134">
        <f t="shared" ca="1" si="201"/>
        <v>1837416.6638391695</v>
      </c>
      <c r="GY6" s="134">
        <f t="shared" ca="1" si="202"/>
        <v>1837416.6638391695</v>
      </c>
      <c r="GZ6" s="134">
        <f t="shared" ca="1" si="203"/>
        <v>1837416.6638391695</v>
      </c>
      <c r="HA6" s="134">
        <f t="shared" si="204"/>
        <v>0</v>
      </c>
      <c r="HB6" s="134">
        <f t="shared" si="205"/>
        <v>0</v>
      </c>
      <c r="HC6" s="134">
        <f t="shared" si="206"/>
        <v>0</v>
      </c>
      <c r="HD6" s="134">
        <f t="shared" si="207"/>
        <v>0</v>
      </c>
      <c r="HE6" s="134">
        <f t="shared" si="208"/>
        <v>0</v>
      </c>
      <c r="HF6" s="134">
        <f t="shared" si="209"/>
        <v>0</v>
      </c>
      <c r="HG6" s="134">
        <f t="shared" si="210"/>
        <v>0</v>
      </c>
      <c r="HH6" s="134">
        <f t="shared" si="211"/>
        <v>0</v>
      </c>
      <c r="HI6" s="134">
        <f t="shared" si="212"/>
        <v>0</v>
      </c>
      <c r="HJ6" s="134">
        <f t="shared" si="213"/>
        <v>0</v>
      </c>
      <c r="HK6" s="134">
        <f t="shared" si="214"/>
        <v>0</v>
      </c>
      <c r="HL6" s="134">
        <f t="shared" si="215"/>
        <v>0</v>
      </c>
      <c r="HM6" s="134">
        <f t="shared" si="216"/>
        <v>0</v>
      </c>
      <c r="HN6" s="134">
        <f t="shared" si="217"/>
        <v>0</v>
      </c>
      <c r="HO6" s="134">
        <f t="shared" si="218"/>
        <v>0</v>
      </c>
      <c r="HP6" s="134">
        <f t="shared" si="219"/>
        <v>0</v>
      </c>
      <c r="HQ6" s="134">
        <f t="shared" si="220"/>
        <v>0</v>
      </c>
      <c r="HR6" s="134">
        <f t="shared" si="221"/>
        <v>0</v>
      </c>
      <c r="HS6" s="134">
        <f t="shared" si="222"/>
        <v>0</v>
      </c>
      <c r="HT6" s="134">
        <f t="shared" si="223"/>
        <v>0</v>
      </c>
      <c r="HU6" s="134">
        <f t="shared" si="224"/>
        <v>0</v>
      </c>
      <c r="HV6" s="134">
        <f t="shared" si="225"/>
        <v>0</v>
      </c>
      <c r="HW6" s="134">
        <f t="shared" si="226"/>
        <v>0</v>
      </c>
      <c r="HX6" s="134">
        <f t="shared" si="227"/>
        <v>0</v>
      </c>
      <c r="HY6" s="134">
        <f t="shared" si="228"/>
        <v>0</v>
      </c>
      <c r="HZ6" s="134">
        <f t="shared" si="229"/>
        <v>0</v>
      </c>
      <c r="IA6" s="134">
        <f t="shared" si="230"/>
        <v>0</v>
      </c>
      <c r="IB6" s="134">
        <f t="shared" si="231"/>
        <v>0</v>
      </c>
      <c r="IC6" s="134">
        <f t="shared" si="232"/>
        <v>0</v>
      </c>
      <c r="ID6" s="134">
        <f t="shared" si="233"/>
        <v>0</v>
      </c>
      <c r="IE6" s="134">
        <f t="shared" si="234"/>
        <v>0</v>
      </c>
      <c r="IF6" s="134">
        <f t="shared" si="235"/>
        <v>0</v>
      </c>
      <c r="IG6" s="134">
        <f t="shared" si="236"/>
        <v>0</v>
      </c>
      <c r="IH6" s="134">
        <f t="shared" si="237"/>
        <v>0</v>
      </c>
      <c r="II6" s="134">
        <f t="shared" si="238"/>
        <v>0</v>
      </c>
      <c r="IJ6" s="135">
        <f t="shared" si="239"/>
        <v>0</v>
      </c>
      <c r="IK6" s="132">
        <f t="shared" ca="1" si="240"/>
        <v>452038486.9999994</v>
      </c>
    </row>
    <row r="7" spans="1:245" x14ac:dyDescent="0.45">
      <c r="A7" s="67">
        <v>2018</v>
      </c>
      <c r="B7" s="112"/>
      <c r="C7" s="3">
        <f ca="1">INT(SUM(OFFSET('CAPEX Schedule'!$C$8,0,($A7-$A$4)*12):OFFSET('CAPEX Schedule'!$C$8,0,($A7-$A$4)*12+11)))</f>
        <v>0</v>
      </c>
      <c r="D7" s="3">
        <f ca="1">INT(SUM(OFFSET('CAPEX Schedule'!$C$13,0,($A7-$A$4)*12):OFFSET('CAPEX Schedule'!$C$13,0,($A7-$A$4)*12+11)))-C7</f>
        <v>0</v>
      </c>
      <c r="E7" s="130">
        <f t="shared" si="0"/>
        <v>0</v>
      </c>
      <c r="F7" s="134">
        <f t="shared" si="1"/>
        <v>0</v>
      </c>
      <c r="G7" s="134">
        <f t="shared" si="2"/>
        <v>0</v>
      </c>
      <c r="H7" s="134">
        <f t="shared" si="3"/>
        <v>0</v>
      </c>
      <c r="I7" s="134">
        <f t="shared" si="4"/>
        <v>0</v>
      </c>
      <c r="J7" s="134">
        <f t="shared" si="5"/>
        <v>0</v>
      </c>
      <c r="K7" s="134">
        <f t="shared" si="6"/>
        <v>0</v>
      </c>
      <c r="L7" s="134">
        <f t="shared" si="7"/>
        <v>0</v>
      </c>
      <c r="M7" s="134">
        <f t="shared" si="8"/>
        <v>0</v>
      </c>
      <c r="N7" s="134">
        <f t="shared" si="9"/>
        <v>0</v>
      </c>
      <c r="O7" s="134">
        <f t="shared" si="10"/>
        <v>0</v>
      </c>
      <c r="P7" s="134">
        <f t="shared" si="11"/>
        <v>0</v>
      </c>
      <c r="Q7" s="134">
        <f t="shared" si="12"/>
        <v>0</v>
      </c>
      <c r="R7" s="134">
        <f t="shared" si="13"/>
        <v>0</v>
      </c>
      <c r="S7" s="134">
        <f t="shared" si="14"/>
        <v>0</v>
      </c>
      <c r="T7" s="134">
        <f t="shared" si="15"/>
        <v>0</v>
      </c>
      <c r="U7" s="134">
        <f t="shared" si="16"/>
        <v>0</v>
      </c>
      <c r="V7" s="134">
        <f t="shared" si="17"/>
        <v>0</v>
      </c>
      <c r="W7" s="134">
        <f t="shared" si="18"/>
        <v>0</v>
      </c>
      <c r="X7" s="134">
        <f t="shared" si="19"/>
        <v>0</v>
      </c>
      <c r="Y7" s="134">
        <f t="shared" si="20"/>
        <v>0</v>
      </c>
      <c r="Z7" s="134">
        <f t="shared" si="21"/>
        <v>0</v>
      </c>
      <c r="AA7" s="134">
        <f t="shared" si="22"/>
        <v>0</v>
      </c>
      <c r="AB7" s="134">
        <f t="shared" si="23"/>
        <v>0</v>
      </c>
      <c r="AC7" s="134">
        <f t="shared" si="24"/>
        <v>0</v>
      </c>
      <c r="AD7" s="134">
        <f t="shared" si="25"/>
        <v>0</v>
      </c>
      <c r="AE7" s="134">
        <f t="shared" si="26"/>
        <v>0</v>
      </c>
      <c r="AF7" s="134">
        <f t="shared" si="27"/>
        <v>0</v>
      </c>
      <c r="AG7" s="134">
        <f t="shared" si="28"/>
        <v>0</v>
      </c>
      <c r="AH7" s="134">
        <f t="shared" si="29"/>
        <v>0</v>
      </c>
      <c r="AI7" s="134">
        <f t="shared" si="30"/>
        <v>0</v>
      </c>
      <c r="AJ7" s="134">
        <f t="shared" si="31"/>
        <v>0</v>
      </c>
      <c r="AK7" s="134">
        <f t="shared" si="32"/>
        <v>0</v>
      </c>
      <c r="AL7" s="134">
        <f t="shared" si="33"/>
        <v>0</v>
      </c>
      <c r="AM7" s="134">
        <f t="shared" si="34"/>
        <v>0</v>
      </c>
      <c r="AN7" s="134">
        <f t="shared" si="35"/>
        <v>0</v>
      </c>
      <c r="AO7" s="134">
        <f t="shared" ca="1" si="36"/>
        <v>0</v>
      </c>
      <c r="AP7" s="134">
        <f t="shared" ca="1" si="37"/>
        <v>0</v>
      </c>
      <c r="AQ7" s="134">
        <f t="shared" ca="1" si="38"/>
        <v>0</v>
      </c>
      <c r="AR7" s="134">
        <f t="shared" ca="1" si="39"/>
        <v>0</v>
      </c>
      <c r="AS7" s="134">
        <f t="shared" ca="1" si="40"/>
        <v>0</v>
      </c>
      <c r="AT7" s="134">
        <f t="shared" ca="1" si="41"/>
        <v>0</v>
      </c>
      <c r="AU7" s="134">
        <f t="shared" ca="1" si="42"/>
        <v>0</v>
      </c>
      <c r="AV7" s="134">
        <f t="shared" ca="1" si="43"/>
        <v>0</v>
      </c>
      <c r="AW7" s="134">
        <f t="shared" ca="1" si="44"/>
        <v>0</v>
      </c>
      <c r="AX7" s="134">
        <f t="shared" ca="1" si="45"/>
        <v>0</v>
      </c>
      <c r="AY7" s="134">
        <f t="shared" ca="1" si="46"/>
        <v>0</v>
      </c>
      <c r="AZ7" s="134">
        <f t="shared" ca="1" si="47"/>
        <v>0</v>
      </c>
      <c r="BA7" s="134">
        <f t="shared" ca="1" si="48"/>
        <v>0</v>
      </c>
      <c r="BB7" s="134">
        <f t="shared" ca="1" si="49"/>
        <v>0</v>
      </c>
      <c r="BC7" s="134">
        <f t="shared" ca="1" si="50"/>
        <v>0</v>
      </c>
      <c r="BD7" s="134">
        <f t="shared" ca="1" si="51"/>
        <v>0</v>
      </c>
      <c r="BE7" s="134">
        <f t="shared" ca="1" si="52"/>
        <v>0</v>
      </c>
      <c r="BF7" s="134">
        <f t="shared" ca="1" si="53"/>
        <v>0</v>
      </c>
      <c r="BG7" s="134">
        <f t="shared" ca="1" si="54"/>
        <v>0</v>
      </c>
      <c r="BH7" s="134">
        <f t="shared" ca="1" si="55"/>
        <v>0</v>
      </c>
      <c r="BI7" s="134">
        <f t="shared" ca="1" si="56"/>
        <v>0</v>
      </c>
      <c r="BJ7" s="134">
        <f t="shared" ca="1" si="57"/>
        <v>0</v>
      </c>
      <c r="BK7" s="134">
        <f t="shared" ca="1" si="58"/>
        <v>0</v>
      </c>
      <c r="BL7" s="134">
        <f t="shared" ca="1" si="59"/>
        <v>0</v>
      </c>
      <c r="BM7" s="134">
        <f t="shared" ca="1" si="60"/>
        <v>0</v>
      </c>
      <c r="BN7" s="134">
        <f t="shared" ca="1" si="61"/>
        <v>0</v>
      </c>
      <c r="BO7" s="134">
        <f t="shared" ca="1" si="62"/>
        <v>0</v>
      </c>
      <c r="BP7" s="134">
        <f t="shared" ca="1" si="63"/>
        <v>0</v>
      </c>
      <c r="BQ7" s="134">
        <f t="shared" ca="1" si="64"/>
        <v>0</v>
      </c>
      <c r="BR7" s="134">
        <f t="shared" ca="1" si="65"/>
        <v>0</v>
      </c>
      <c r="BS7" s="134">
        <f t="shared" ca="1" si="66"/>
        <v>0</v>
      </c>
      <c r="BT7" s="134">
        <f t="shared" ca="1" si="67"/>
        <v>0</v>
      </c>
      <c r="BU7" s="134">
        <f t="shared" ca="1" si="68"/>
        <v>0</v>
      </c>
      <c r="BV7" s="134">
        <f t="shared" ca="1" si="69"/>
        <v>0</v>
      </c>
      <c r="BW7" s="134">
        <f t="shared" ca="1" si="70"/>
        <v>0</v>
      </c>
      <c r="BX7" s="134">
        <f t="shared" ca="1" si="71"/>
        <v>0</v>
      </c>
      <c r="BY7" s="134">
        <f t="shared" ca="1" si="72"/>
        <v>0</v>
      </c>
      <c r="BZ7" s="134">
        <f t="shared" ca="1" si="73"/>
        <v>0</v>
      </c>
      <c r="CA7" s="134">
        <f t="shared" ca="1" si="74"/>
        <v>0</v>
      </c>
      <c r="CB7" s="134">
        <f t="shared" ca="1" si="75"/>
        <v>0</v>
      </c>
      <c r="CC7" s="134">
        <f t="shared" ca="1" si="76"/>
        <v>0</v>
      </c>
      <c r="CD7" s="134">
        <f t="shared" ca="1" si="77"/>
        <v>0</v>
      </c>
      <c r="CE7" s="134">
        <f t="shared" ca="1" si="78"/>
        <v>0</v>
      </c>
      <c r="CF7" s="134">
        <f t="shared" ca="1" si="79"/>
        <v>0</v>
      </c>
      <c r="CG7" s="134">
        <f t="shared" ca="1" si="80"/>
        <v>0</v>
      </c>
      <c r="CH7" s="134">
        <f t="shared" ca="1" si="81"/>
        <v>0</v>
      </c>
      <c r="CI7" s="134">
        <f t="shared" ca="1" si="82"/>
        <v>0</v>
      </c>
      <c r="CJ7" s="134">
        <f t="shared" ca="1" si="83"/>
        <v>0</v>
      </c>
      <c r="CK7" s="134">
        <f t="shared" ca="1" si="84"/>
        <v>0</v>
      </c>
      <c r="CL7" s="134">
        <f t="shared" ca="1" si="85"/>
        <v>0</v>
      </c>
      <c r="CM7" s="134">
        <f t="shared" ca="1" si="86"/>
        <v>0</v>
      </c>
      <c r="CN7" s="134">
        <f t="shared" ca="1" si="87"/>
        <v>0</v>
      </c>
      <c r="CO7" s="134">
        <f t="shared" ca="1" si="88"/>
        <v>0</v>
      </c>
      <c r="CP7" s="134">
        <f t="shared" ca="1" si="89"/>
        <v>0</v>
      </c>
      <c r="CQ7" s="134">
        <f t="shared" ca="1" si="90"/>
        <v>0</v>
      </c>
      <c r="CR7" s="134">
        <f t="shared" ca="1" si="91"/>
        <v>0</v>
      </c>
      <c r="CS7" s="134">
        <f t="shared" ca="1" si="92"/>
        <v>0</v>
      </c>
      <c r="CT7" s="134">
        <f t="shared" ca="1" si="93"/>
        <v>0</v>
      </c>
      <c r="CU7" s="134">
        <f t="shared" ca="1" si="94"/>
        <v>0</v>
      </c>
      <c r="CV7" s="134">
        <f t="shared" ca="1" si="95"/>
        <v>0</v>
      </c>
      <c r="CW7" s="134">
        <f t="shared" ca="1" si="96"/>
        <v>0</v>
      </c>
      <c r="CX7" s="134">
        <f t="shared" ca="1" si="97"/>
        <v>0</v>
      </c>
      <c r="CY7" s="134">
        <f t="shared" ca="1" si="98"/>
        <v>0</v>
      </c>
      <c r="CZ7" s="134">
        <f t="shared" ca="1" si="99"/>
        <v>0</v>
      </c>
      <c r="DA7" s="134">
        <f t="shared" ca="1" si="100"/>
        <v>0</v>
      </c>
      <c r="DB7" s="134">
        <f t="shared" ca="1" si="101"/>
        <v>0</v>
      </c>
      <c r="DC7" s="134">
        <f t="shared" ca="1" si="102"/>
        <v>0</v>
      </c>
      <c r="DD7" s="134">
        <f t="shared" ca="1" si="103"/>
        <v>0</v>
      </c>
      <c r="DE7" s="134">
        <f t="shared" ca="1" si="104"/>
        <v>0</v>
      </c>
      <c r="DF7" s="134">
        <f t="shared" ca="1" si="105"/>
        <v>0</v>
      </c>
      <c r="DG7" s="134">
        <f t="shared" ca="1" si="106"/>
        <v>0</v>
      </c>
      <c r="DH7" s="134">
        <f t="shared" ca="1" si="107"/>
        <v>0</v>
      </c>
      <c r="DI7" s="134">
        <f t="shared" ca="1" si="108"/>
        <v>0</v>
      </c>
      <c r="DJ7" s="134">
        <f t="shared" ca="1" si="109"/>
        <v>0</v>
      </c>
      <c r="DK7" s="134">
        <f t="shared" ca="1" si="110"/>
        <v>0</v>
      </c>
      <c r="DL7" s="134">
        <f t="shared" ca="1" si="111"/>
        <v>0</v>
      </c>
      <c r="DM7" s="134">
        <f t="shared" ca="1" si="112"/>
        <v>0</v>
      </c>
      <c r="DN7" s="134">
        <f t="shared" ca="1" si="113"/>
        <v>0</v>
      </c>
      <c r="DO7" s="134">
        <f t="shared" ca="1" si="114"/>
        <v>0</v>
      </c>
      <c r="DP7" s="134">
        <f t="shared" ca="1" si="115"/>
        <v>0</v>
      </c>
      <c r="DQ7" s="134">
        <f t="shared" ca="1" si="116"/>
        <v>0</v>
      </c>
      <c r="DR7" s="134">
        <f t="shared" ca="1" si="117"/>
        <v>0</v>
      </c>
      <c r="DS7" s="134">
        <f t="shared" ca="1" si="118"/>
        <v>0</v>
      </c>
      <c r="DT7" s="134">
        <f t="shared" ca="1" si="119"/>
        <v>0</v>
      </c>
      <c r="DU7" s="134">
        <f t="shared" ca="1" si="120"/>
        <v>0</v>
      </c>
      <c r="DV7" s="134">
        <f t="shared" ca="1" si="121"/>
        <v>0</v>
      </c>
      <c r="DW7" s="134">
        <f t="shared" ca="1" si="122"/>
        <v>0</v>
      </c>
      <c r="DX7" s="134">
        <f t="shared" ca="1" si="123"/>
        <v>0</v>
      </c>
      <c r="DY7" s="134">
        <f t="shared" ca="1" si="124"/>
        <v>0</v>
      </c>
      <c r="DZ7" s="134">
        <f t="shared" ca="1" si="125"/>
        <v>0</v>
      </c>
      <c r="EA7" s="134">
        <f t="shared" ca="1" si="126"/>
        <v>0</v>
      </c>
      <c r="EB7" s="134">
        <f t="shared" ca="1" si="127"/>
        <v>0</v>
      </c>
      <c r="EC7" s="134">
        <f t="shared" ca="1" si="128"/>
        <v>0</v>
      </c>
      <c r="ED7" s="134">
        <f t="shared" ca="1" si="129"/>
        <v>0</v>
      </c>
      <c r="EE7" s="134">
        <f t="shared" ca="1" si="130"/>
        <v>0</v>
      </c>
      <c r="EF7" s="134">
        <f t="shared" ca="1" si="131"/>
        <v>0</v>
      </c>
      <c r="EG7" s="134">
        <f t="shared" ca="1" si="132"/>
        <v>0</v>
      </c>
      <c r="EH7" s="134">
        <f t="shared" ca="1" si="133"/>
        <v>0</v>
      </c>
      <c r="EI7" s="134">
        <f t="shared" ca="1" si="134"/>
        <v>0</v>
      </c>
      <c r="EJ7" s="134">
        <f t="shared" ca="1" si="135"/>
        <v>0</v>
      </c>
      <c r="EK7" s="134">
        <f t="shared" ca="1" si="136"/>
        <v>0</v>
      </c>
      <c r="EL7" s="134">
        <f t="shared" ca="1" si="137"/>
        <v>0</v>
      </c>
      <c r="EM7" s="134">
        <f t="shared" ca="1" si="138"/>
        <v>0</v>
      </c>
      <c r="EN7" s="134">
        <f t="shared" ca="1" si="139"/>
        <v>0</v>
      </c>
      <c r="EO7" s="134">
        <f t="shared" ca="1" si="140"/>
        <v>0</v>
      </c>
      <c r="EP7" s="134">
        <f t="shared" ca="1" si="141"/>
        <v>0</v>
      </c>
      <c r="EQ7" s="134">
        <f t="shared" ca="1" si="142"/>
        <v>0</v>
      </c>
      <c r="ER7" s="134">
        <f t="shared" ca="1" si="143"/>
        <v>0</v>
      </c>
      <c r="ES7" s="134">
        <f t="shared" ca="1" si="144"/>
        <v>0</v>
      </c>
      <c r="ET7" s="134">
        <f t="shared" ca="1" si="145"/>
        <v>0</v>
      </c>
      <c r="EU7" s="134">
        <f t="shared" ca="1" si="146"/>
        <v>0</v>
      </c>
      <c r="EV7" s="134">
        <f t="shared" ca="1" si="147"/>
        <v>0</v>
      </c>
      <c r="EW7" s="134">
        <f t="shared" ca="1" si="148"/>
        <v>0</v>
      </c>
      <c r="EX7" s="134">
        <f t="shared" ca="1" si="149"/>
        <v>0</v>
      </c>
      <c r="EY7" s="134">
        <f t="shared" ca="1" si="150"/>
        <v>0</v>
      </c>
      <c r="EZ7" s="134">
        <f t="shared" ca="1" si="151"/>
        <v>0</v>
      </c>
      <c r="FA7" s="134">
        <f t="shared" ca="1" si="152"/>
        <v>0</v>
      </c>
      <c r="FB7" s="134">
        <f t="shared" ca="1" si="153"/>
        <v>0</v>
      </c>
      <c r="FC7" s="134">
        <f t="shared" ca="1" si="154"/>
        <v>0</v>
      </c>
      <c r="FD7" s="134">
        <f t="shared" ca="1" si="155"/>
        <v>0</v>
      </c>
      <c r="FE7" s="134">
        <f t="shared" ca="1" si="156"/>
        <v>0</v>
      </c>
      <c r="FF7" s="134">
        <f t="shared" ca="1" si="157"/>
        <v>0</v>
      </c>
      <c r="FG7" s="134">
        <f t="shared" ca="1" si="158"/>
        <v>0</v>
      </c>
      <c r="FH7" s="134">
        <f t="shared" ca="1" si="159"/>
        <v>0</v>
      </c>
      <c r="FI7" s="134">
        <f t="shared" ca="1" si="160"/>
        <v>0</v>
      </c>
      <c r="FJ7" s="134">
        <f t="shared" ca="1" si="161"/>
        <v>0</v>
      </c>
      <c r="FK7" s="134">
        <f t="shared" ca="1" si="162"/>
        <v>0</v>
      </c>
      <c r="FL7" s="134">
        <f t="shared" ca="1" si="163"/>
        <v>0</v>
      </c>
      <c r="FM7" s="134">
        <f t="shared" ca="1" si="164"/>
        <v>0</v>
      </c>
      <c r="FN7" s="134">
        <f t="shared" ca="1" si="165"/>
        <v>0</v>
      </c>
      <c r="FO7" s="134">
        <f t="shared" ca="1" si="166"/>
        <v>0</v>
      </c>
      <c r="FP7" s="134">
        <f t="shared" ca="1" si="167"/>
        <v>0</v>
      </c>
      <c r="FQ7" s="134">
        <f t="shared" ca="1" si="168"/>
        <v>0</v>
      </c>
      <c r="FR7" s="134">
        <f t="shared" ca="1" si="169"/>
        <v>0</v>
      </c>
      <c r="FS7" s="134">
        <f t="shared" ca="1" si="170"/>
        <v>0</v>
      </c>
      <c r="FT7" s="134">
        <f t="shared" ca="1" si="171"/>
        <v>0</v>
      </c>
      <c r="FU7" s="134">
        <f t="shared" ca="1" si="172"/>
        <v>0</v>
      </c>
      <c r="FV7" s="134">
        <f t="shared" ca="1" si="173"/>
        <v>0</v>
      </c>
      <c r="FW7" s="134">
        <f t="shared" ca="1" si="174"/>
        <v>0</v>
      </c>
      <c r="FX7" s="134">
        <f t="shared" ca="1" si="175"/>
        <v>0</v>
      </c>
      <c r="FY7" s="134">
        <f t="shared" ca="1" si="176"/>
        <v>0</v>
      </c>
      <c r="FZ7" s="134">
        <f t="shared" ca="1" si="177"/>
        <v>0</v>
      </c>
      <c r="GA7" s="134">
        <f t="shared" ca="1" si="178"/>
        <v>0</v>
      </c>
      <c r="GB7" s="134">
        <f t="shared" ca="1" si="179"/>
        <v>0</v>
      </c>
      <c r="GC7" s="134">
        <f t="shared" ca="1" si="180"/>
        <v>0</v>
      </c>
      <c r="GD7" s="134">
        <f t="shared" ca="1" si="181"/>
        <v>0</v>
      </c>
      <c r="GE7" s="134">
        <f t="shared" ca="1" si="182"/>
        <v>0</v>
      </c>
      <c r="GF7" s="134">
        <f t="shared" ca="1" si="183"/>
        <v>0</v>
      </c>
      <c r="GG7" s="134">
        <f t="shared" ca="1" si="184"/>
        <v>0</v>
      </c>
      <c r="GH7" s="134">
        <f t="shared" ca="1" si="185"/>
        <v>0</v>
      </c>
      <c r="GI7" s="134">
        <f t="shared" ca="1" si="186"/>
        <v>0</v>
      </c>
      <c r="GJ7" s="134">
        <f t="shared" ca="1" si="187"/>
        <v>0</v>
      </c>
      <c r="GK7" s="134">
        <f t="shared" ca="1" si="188"/>
        <v>0</v>
      </c>
      <c r="GL7" s="134">
        <f t="shared" ca="1" si="189"/>
        <v>0</v>
      </c>
      <c r="GM7" s="134">
        <f t="shared" ca="1" si="190"/>
        <v>0</v>
      </c>
      <c r="GN7" s="134">
        <f t="shared" ca="1" si="191"/>
        <v>0</v>
      </c>
      <c r="GO7" s="134">
        <f t="shared" ca="1" si="192"/>
        <v>0</v>
      </c>
      <c r="GP7" s="134">
        <f t="shared" ca="1" si="193"/>
        <v>0</v>
      </c>
      <c r="GQ7" s="134">
        <f t="shared" ca="1" si="194"/>
        <v>0</v>
      </c>
      <c r="GR7" s="134">
        <f t="shared" ca="1" si="195"/>
        <v>0</v>
      </c>
      <c r="GS7" s="134">
        <f t="shared" ca="1" si="196"/>
        <v>0</v>
      </c>
      <c r="GT7" s="134">
        <f t="shared" ca="1" si="197"/>
        <v>0</v>
      </c>
      <c r="GU7" s="134">
        <f t="shared" ca="1" si="198"/>
        <v>0</v>
      </c>
      <c r="GV7" s="134">
        <f t="shared" ca="1" si="199"/>
        <v>0</v>
      </c>
      <c r="GW7" s="134">
        <f t="shared" ca="1" si="200"/>
        <v>0</v>
      </c>
      <c r="GX7" s="134">
        <f t="shared" ca="1" si="201"/>
        <v>0</v>
      </c>
      <c r="GY7" s="134">
        <f t="shared" ca="1" si="202"/>
        <v>0</v>
      </c>
      <c r="GZ7" s="134">
        <f t="shared" ca="1" si="203"/>
        <v>0</v>
      </c>
      <c r="HA7" s="134">
        <f t="shared" ca="1" si="204"/>
        <v>0</v>
      </c>
      <c r="HB7" s="134">
        <f t="shared" ca="1" si="205"/>
        <v>0</v>
      </c>
      <c r="HC7" s="134">
        <f t="shared" ca="1" si="206"/>
        <v>0</v>
      </c>
      <c r="HD7" s="134">
        <f t="shared" ca="1" si="207"/>
        <v>0</v>
      </c>
      <c r="HE7" s="134">
        <f t="shared" ca="1" si="208"/>
        <v>0</v>
      </c>
      <c r="HF7" s="134">
        <f t="shared" ca="1" si="209"/>
        <v>0</v>
      </c>
      <c r="HG7" s="134">
        <f t="shared" ca="1" si="210"/>
        <v>0</v>
      </c>
      <c r="HH7" s="134">
        <f t="shared" ca="1" si="211"/>
        <v>0</v>
      </c>
      <c r="HI7" s="134">
        <f t="shared" ca="1" si="212"/>
        <v>0</v>
      </c>
      <c r="HJ7" s="134">
        <f t="shared" ca="1" si="213"/>
        <v>0</v>
      </c>
      <c r="HK7" s="134">
        <f t="shared" ca="1" si="214"/>
        <v>0</v>
      </c>
      <c r="HL7" s="134">
        <f t="shared" ca="1" si="215"/>
        <v>0</v>
      </c>
      <c r="HM7" s="134">
        <f t="shared" si="216"/>
        <v>0</v>
      </c>
      <c r="HN7" s="134">
        <f t="shared" si="217"/>
        <v>0</v>
      </c>
      <c r="HO7" s="134">
        <f t="shared" si="218"/>
        <v>0</v>
      </c>
      <c r="HP7" s="134">
        <f t="shared" si="219"/>
        <v>0</v>
      </c>
      <c r="HQ7" s="134">
        <f t="shared" si="220"/>
        <v>0</v>
      </c>
      <c r="HR7" s="134">
        <f t="shared" si="221"/>
        <v>0</v>
      </c>
      <c r="HS7" s="134">
        <f t="shared" si="222"/>
        <v>0</v>
      </c>
      <c r="HT7" s="134">
        <f t="shared" si="223"/>
        <v>0</v>
      </c>
      <c r="HU7" s="134">
        <f t="shared" si="224"/>
        <v>0</v>
      </c>
      <c r="HV7" s="134">
        <f t="shared" si="225"/>
        <v>0</v>
      </c>
      <c r="HW7" s="134">
        <f t="shared" si="226"/>
        <v>0</v>
      </c>
      <c r="HX7" s="134">
        <f t="shared" si="227"/>
        <v>0</v>
      </c>
      <c r="HY7" s="134">
        <f t="shared" si="228"/>
        <v>0</v>
      </c>
      <c r="HZ7" s="134">
        <f t="shared" si="229"/>
        <v>0</v>
      </c>
      <c r="IA7" s="134">
        <f t="shared" si="230"/>
        <v>0</v>
      </c>
      <c r="IB7" s="134">
        <f t="shared" si="231"/>
        <v>0</v>
      </c>
      <c r="IC7" s="134">
        <f t="shared" si="232"/>
        <v>0</v>
      </c>
      <c r="ID7" s="134">
        <f t="shared" si="233"/>
        <v>0</v>
      </c>
      <c r="IE7" s="134">
        <f t="shared" si="234"/>
        <v>0</v>
      </c>
      <c r="IF7" s="134">
        <f t="shared" si="235"/>
        <v>0</v>
      </c>
      <c r="IG7" s="134">
        <f t="shared" si="236"/>
        <v>0</v>
      </c>
      <c r="IH7" s="134">
        <f t="shared" si="237"/>
        <v>0</v>
      </c>
      <c r="II7" s="134">
        <f t="shared" si="238"/>
        <v>0</v>
      </c>
      <c r="IJ7" s="135">
        <f t="shared" si="239"/>
        <v>0</v>
      </c>
      <c r="IK7" s="132">
        <f t="shared" ca="1" si="240"/>
        <v>0</v>
      </c>
    </row>
    <row r="8" spans="1:245" x14ac:dyDescent="0.45">
      <c r="A8" s="67">
        <v>2019</v>
      </c>
      <c r="B8" s="112"/>
      <c r="C8" s="3">
        <f ca="1">INT(SUM(OFFSET('CAPEX Schedule'!$C$8,0,($A8-$A$4)*12):OFFSET('CAPEX Schedule'!$C$8,0,($A8-$A$4)*12+11)))</f>
        <v>0</v>
      </c>
      <c r="D8" s="3">
        <f ca="1">INT(SUM(OFFSET('CAPEX Schedule'!$C$13,0,($A8-$A$4)*12):OFFSET('CAPEX Schedule'!$C$13,0,($A8-$A$4)*12+11)))-C8</f>
        <v>0</v>
      </c>
      <c r="E8" s="130">
        <f t="shared" si="0"/>
        <v>0</v>
      </c>
      <c r="F8" s="134">
        <f t="shared" si="1"/>
        <v>0</v>
      </c>
      <c r="G8" s="134">
        <f t="shared" si="2"/>
        <v>0</v>
      </c>
      <c r="H8" s="134">
        <f t="shared" si="3"/>
        <v>0</v>
      </c>
      <c r="I8" s="134">
        <f t="shared" si="4"/>
        <v>0</v>
      </c>
      <c r="J8" s="134">
        <f t="shared" si="5"/>
        <v>0</v>
      </c>
      <c r="K8" s="134">
        <f t="shared" si="6"/>
        <v>0</v>
      </c>
      <c r="L8" s="134">
        <f t="shared" si="7"/>
        <v>0</v>
      </c>
      <c r="M8" s="134">
        <f t="shared" si="8"/>
        <v>0</v>
      </c>
      <c r="N8" s="134">
        <f t="shared" si="9"/>
        <v>0</v>
      </c>
      <c r="O8" s="134">
        <f t="shared" si="10"/>
        <v>0</v>
      </c>
      <c r="P8" s="134">
        <f t="shared" si="11"/>
        <v>0</v>
      </c>
      <c r="Q8" s="134">
        <f t="shared" si="12"/>
        <v>0</v>
      </c>
      <c r="R8" s="134">
        <f t="shared" si="13"/>
        <v>0</v>
      </c>
      <c r="S8" s="134">
        <f t="shared" si="14"/>
        <v>0</v>
      </c>
      <c r="T8" s="134">
        <f t="shared" si="15"/>
        <v>0</v>
      </c>
      <c r="U8" s="134">
        <f t="shared" si="16"/>
        <v>0</v>
      </c>
      <c r="V8" s="134">
        <f t="shared" si="17"/>
        <v>0</v>
      </c>
      <c r="W8" s="134">
        <f t="shared" si="18"/>
        <v>0</v>
      </c>
      <c r="X8" s="134">
        <f t="shared" si="19"/>
        <v>0</v>
      </c>
      <c r="Y8" s="134">
        <f t="shared" si="20"/>
        <v>0</v>
      </c>
      <c r="Z8" s="134">
        <f t="shared" si="21"/>
        <v>0</v>
      </c>
      <c r="AA8" s="134">
        <f t="shared" si="22"/>
        <v>0</v>
      </c>
      <c r="AB8" s="134">
        <f t="shared" si="23"/>
        <v>0</v>
      </c>
      <c r="AC8" s="134">
        <f t="shared" si="24"/>
        <v>0</v>
      </c>
      <c r="AD8" s="134">
        <f t="shared" si="25"/>
        <v>0</v>
      </c>
      <c r="AE8" s="134">
        <f t="shared" si="26"/>
        <v>0</v>
      </c>
      <c r="AF8" s="134">
        <f t="shared" si="27"/>
        <v>0</v>
      </c>
      <c r="AG8" s="134">
        <f t="shared" si="28"/>
        <v>0</v>
      </c>
      <c r="AH8" s="134">
        <f t="shared" si="29"/>
        <v>0</v>
      </c>
      <c r="AI8" s="134">
        <f t="shared" si="30"/>
        <v>0</v>
      </c>
      <c r="AJ8" s="134">
        <f t="shared" si="31"/>
        <v>0</v>
      </c>
      <c r="AK8" s="134">
        <f t="shared" si="32"/>
        <v>0</v>
      </c>
      <c r="AL8" s="134">
        <f t="shared" si="33"/>
        <v>0</v>
      </c>
      <c r="AM8" s="134">
        <f t="shared" si="34"/>
        <v>0</v>
      </c>
      <c r="AN8" s="134">
        <f t="shared" si="35"/>
        <v>0</v>
      </c>
      <c r="AO8" s="134">
        <f t="shared" si="36"/>
        <v>0</v>
      </c>
      <c r="AP8" s="134">
        <f t="shared" si="37"/>
        <v>0</v>
      </c>
      <c r="AQ8" s="134">
        <f t="shared" si="38"/>
        <v>0</v>
      </c>
      <c r="AR8" s="134">
        <f t="shared" si="39"/>
        <v>0</v>
      </c>
      <c r="AS8" s="134">
        <f t="shared" si="40"/>
        <v>0</v>
      </c>
      <c r="AT8" s="134">
        <f t="shared" si="41"/>
        <v>0</v>
      </c>
      <c r="AU8" s="134">
        <f t="shared" si="42"/>
        <v>0</v>
      </c>
      <c r="AV8" s="134">
        <f t="shared" si="43"/>
        <v>0</v>
      </c>
      <c r="AW8" s="134">
        <f t="shared" si="44"/>
        <v>0</v>
      </c>
      <c r="AX8" s="134">
        <f t="shared" si="45"/>
        <v>0</v>
      </c>
      <c r="AY8" s="134">
        <f t="shared" si="46"/>
        <v>0</v>
      </c>
      <c r="AZ8" s="134">
        <f t="shared" si="47"/>
        <v>0</v>
      </c>
      <c r="BA8" s="134">
        <f t="shared" ca="1" si="48"/>
        <v>0</v>
      </c>
      <c r="BB8" s="134">
        <f t="shared" ca="1" si="49"/>
        <v>0</v>
      </c>
      <c r="BC8" s="134">
        <f t="shared" ca="1" si="50"/>
        <v>0</v>
      </c>
      <c r="BD8" s="134">
        <f t="shared" ca="1" si="51"/>
        <v>0</v>
      </c>
      <c r="BE8" s="134">
        <f t="shared" ca="1" si="52"/>
        <v>0</v>
      </c>
      <c r="BF8" s="134">
        <f t="shared" ca="1" si="53"/>
        <v>0</v>
      </c>
      <c r="BG8" s="134">
        <f t="shared" ca="1" si="54"/>
        <v>0</v>
      </c>
      <c r="BH8" s="134">
        <f t="shared" ca="1" si="55"/>
        <v>0</v>
      </c>
      <c r="BI8" s="134">
        <f t="shared" ca="1" si="56"/>
        <v>0</v>
      </c>
      <c r="BJ8" s="134">
        <f t="shared" ca="1" si="57"/>
        <v>0</v>
      </c>
      <c r="BK8" s="134">
        <f t="shared" ca="1" si="58"/>
        <v>0</v>
      </c>
      <c r="BL8" s="134">
        <f t="shared" ca="1" si="59"/>
        <v>0</v>
      </c>
      <c r="BM8" s="134">
        <f t="shared" ca="1" si="60"/>
        <v>0</v>
      </c>
      <c r="BN8" s="134">
        <f t="shared" ca="1" si="61"/>
        <v>0</v>
      </c>
      <c r="BO8" s="134">
        <f t="shared" ca="1" si="62"/>
        <v>0</v>
      </c>
      <c r="BP8" s="134">
        <f t="shared" ca="1" si="63"/>
        <v>0</v>
      </c>
      <c r="BQ8" s="134">
        <f t="shared" ca="1" si="64"/>
        <v>0</v>
      </c>
      <c r="BR8" s="134">
        <f t="shared" ca="1" si="65"/>
        <v>0</v>
      </c>
      <c r="BS8" s="134">
        <f t="shared" ca="1" si="66"/>
        <v>0</v>
      </c>
      <c r="BT8" s="134">
        <f t="shared" ca="1" si="67"/>
        <v>0</v>
      </c>
      <c r="BU8" s="134">
        <f t="shared" ca="1" si="68"/>
        <v>0</v>
      </c>
      <c r="BV8" s="134">
        <f t="shared" ca="1" si="69"/>
        <v>0</v>
      </c>
      <c r="BW8" s="134">
        <f t="shared" ca="1" si="70"/>
        <v>0</v>
      </c>
      <c r="BX8" s="134">
        <f t="shared" ca="1" si="71"/>
        <v>0</v>
      </c>
      <c r="BY8" s="134">
        <f t="shared" ca="1" si="72"/>
        <v>0</v>
      </c>
      <c r="BZ8" s="134">
        <f t="shared" ca="1" si="73"/>
        <v>0</v>
      </c>
      <c r="CA8" s="134">
        <f t="shared" ca="1" si="74"/>
        <v>0</v>
      </c>
      <c r="CB8" s="134">
        <f t="shared" ca="1" si="75"/>
        <v>0</v>
      </c>
      <c r="CC8" s="134">
        <f t="shared" ca="1" si="76"/>
        <v>0</v>
      </c>
      <c r="CD8" s="134">
        <f t="shared" ca="1" si="77"/>
        <v>0</v>
      </c>
      <c r="CE8" s="134">
        <f t="shared" ca="1" si="78"/>
        <v>0</v>
      </c>
      <c r="CF8" s="134">
        <f t="shared" ca="1" si="79"/>
        <v>0</v>
      </c>
      <c r="CG8" s="134">
        <f t="shared" ca="1" si="80"/>
        <v>0</v>
      </c>
      <c r="CH8" s="134">
        <f t="shared" ca="1" si="81"/>
        <v>0</v>
      </c>
      <c r="CI8" s="134">
        <f t="shared" ca="1" si="82"/>
        <v>0</v>
      </c>
      <c r="CJ8" s="134">
        <f t="shared" ca="1" si="83"/>
        <v>0</v>
      </c>
      <c r="CK8" s="134">
        <f t="shared" ca="1" si="84"/>
        <v>0</v>
      </c>
      <c r="CL8" s="134">
        <f t="shared" ca="1" si="85"/>
        <v>0</v>
      </c>
      <c r="CM8" s="134">
        <f t="shared" ca="1" si="86"/>
        <v>0</v>
      </c>
      <c r="CN8" s="134">
        <f t="shared" ca="1" si="87"/>
        <v>0</v>
      </c>
      <c r="CO8" s="134">
        <f t="shared" ca="1" si="88"/>
        <v>0</v>
      </c>
      <c r="CP8" s="134">
        <f t="shared" ca="1" si="89"/>
        <v>0</v>
      </c>
      <c r="CQ8" s="134">
        <f t="shared" ca="1" si="90"/>
        <v>0</v>
      </c>
      <c r="CR8" s="134">
        <f t="shared" ca="1" si="91"/>
        <v>0</v>
      </c>
      <c r="CS8" s="134">
        <f t="shared" ca="1" si="92"/>
        <v>0</v>
      </c>
      <c r="CT8" s="134">
        <f t="shared" ca="1" si="93"/>
        <v>0</v>
      </c>
      <c r="CU8" s="134">
        <f t="shared" ca="1" si="94"/>
        <v>0</v>
      </c>
      <c r="CV8" s="134">
        <f t="shared" ca="1" si="95"/>
        <v>0</v>
      </c>
      <c r="CW8" s="134">
        <f t="shared" ca="1" si="96"/>
        <v>0</v>
      </c>
      <c r="CX8" s="134">
        <f t="shared" ca="1" si="97"/>
        <v>0</v>
      </c>
      <c r="CY8" s="134">
        <f t="shared" ca="1" si="98"/>
        <v>0</v>
      </c>
      <c r="CZ8" s="134">
        <f t="shared" ca="1" si="99"/>
        <v>0</v>
      </c>
      <c r="DA8" s="134">
        <f t="shared" ca="1" si="100"/>
        <v>0</v>
      </c>
      <c r="DB8" s="134">
        <f t="shared" ca="1" si="101"/>
        <v>0</v>
      </c>
      <c r="DC8" s="134">
        <f t="shared" ca="1" si="102"/>
        <v>0</v>
      </c>
      <c r="DD8" s="134">
        <f t="shared" ca="1" si="103"/>
        <v>0</v>
      </c>
      <c r="DE8" s="134">
        <f t="shared" ca="1" si="104"/>
        <v>0</v>
      </c>
      <c r="DF8" s="134">
        <f t="shared" ca="1" si="105"/>
        <v>0</v>
      </c>
      <c r="DG8" s="134">
        <f t="shared" ca="1" si="106"/>
        <v>0</v>
      </c>
      <c r="DH8" s="134">
        <f t="shared" ca="1" si="107"/>
        <v>0</v>
      </c>
      <c r="DI8" s="134">
        <f t="shared" ca="1" si="108"/>
        <v>0</v>
      </c>
      <c r="DJ8" s="134">
        <f t="shared" ca="1" si="109"/>
        <v>0</v>
      </c>
      <c r="DK8" s="134">
        <f t="shared" ca="1" si="110"/>
        <v>0</v>
      </c>
      <c r="DL8" s="134">
        <f t="shared" ca="1" si="111"/>
        <v>0</v>
      </c>
      <c r="DM8" s="134">
        <f t="shared" ca="1" si="112"/>
        <v>0</v>
      </c>
      <c r="DN8" s="134">
        <f t="shared" ca="1" si="113"/>
        <v>0</v>
      </c>
      <c r="DO8" s="134">
        <f t="shared" ca="1" si="114"/>
        <v>0</v>
      </c>
      <c r="DP8" s="134">
        <f t="shared" ca="1" si="115"/>
        <v>0</v>
      </c>
      <c r="DQ8" s="134">
        <f t="shared" ca="1" si="116"/>
        <v>0</v>
      </c>
      <c r="DR8" s="134">
        <f t="shared" ca="1" si="117"/>
        <v>0</v>
      </c>
      <c r="DS8" s="134">
        <f t="shared" ca="1" si="118"/>
        <v>0</v>
      </c>
      <c r="DT8" s="134">
        <f t="shared" ca="1" si="119"/>
        <v>0</v>
      </c>
      <c r="DU8" s="134">
        <f t="shared" ca="1" si="120"/>
        <v>0</v>
      </c>
      <c r="DV8" s="134">
        <f t="shared" ca="1" si="121"/>
        <v>0</v>
      </c>
      <c r="DW8" s="134">
        <f t="shared" ca="1" si="122"/>
        <v>0</v>
      </c>
      <c r="DX8" s="134">
        <f t="shared" ca="1" si="123"/>
        <v>0</v>
      </c>
      <c r="DY8" s="134">
        <f t="shared" ca="1" si="124"/>
        <v>0</v>
      </c>
      <c r="DZ8" s="134">
        <f t="shared" ca="1" si="125"/>
        <v>0</v>
      </c>
      <c r="EA8" s="134">
        <f t="shared" ca="1" si="126"/>
        <v>0</v>
      </c>
      <c r="EB8" s="134">
        <f t="shared" ca="1" si="127"/>
        <v>0</v>
      </c>
      <c r="EC8" s="134">
        <f t="shared" ca="1" si="128"/>
        <v>0</v>
      </c>
      <c r="ED8" s="134">
        <f t="shared" ca="1" si="129"/>
        <v>0</v>
      </c>
      <c r="EE8" s="134">
        <f t="shared" ca="1" si="130"/>
        <v>0</v>
      </c>
      <c r="EF8" s="134">
        <f t="shared" ca="1" si="131"/>
        <v>0</v>
      </c>
      <c r="EG8" s="134">
        <f t="shared" ca="1" si="132"/>
        <v>0</v>
      </c>
      <c r="EH8" s="134">
        <f t="shared" ca="1" si="133"/>
        <v>0</v>
      </c>
      <c r="EI8" s="134">
        <f t="shared" ca="1" si="134"/>
        <v>0</v>
      </c>
      <c r="EJ8" s="134">
        <f t="shared" ca="1" si="135"/>
        <v>0</v>
      </c>
      <c r="EK8" s="134">
        <f t="shared" ca="1" si="136"/>
        <v>0</v>
      </c>
      <c r="EL8" s="134">
        <f t="shared" ca="1" si="137"/>
        <v>0</v>
      </c>
      <c r="EM8" s="134">
        <f t="shared" ca="1" si="138"/>
        <v>0</v>
      </c>
      <c r="EN8" s="134">
        <f t="shared" ca="1" si="139"/>
        <v>0</v>
      </c>
      <c r="EO8" s="134">
        <f t="shared" ca="1" si="140"/>
        <v>0</v>
      </c>
      <c r="EP8" s="134">
        <f t="shared" ca="1" si="141"/>
        <v>0</v>
      </c>
      <c r="EQ8" s="134">
        <f t="shared" ca="1" si="142"/>
        <v>0</v>
      </c>
      <c r="ER8" s="134">
        <f t="shared" ca="1" si="143"/>
        <v>0</v>
      </c>
      <c r="ES8" s="134">
        <f t="shared" ca="1" si="144"/>
        <v>0</v>
      </c>
      <c r="ET8" s="134">
        <f t="shared" ca="1" si="145"/>
        <v>0</v>
      </c>
      <c r="EU8" s="134">
        <f t="shared" ca="1" si="146"/>
        <v>0</v>
      </c>
      <c r="EV8" s="134">
        <f t="shared" ca="1" si="147"/>
        <v>0</v>
      </c>
      <c r="EW8" s="134">
        <f t="shared" ca="1" si="148"/>
        <v>0</v>
      </c>
      <c r="EX8" s="134">
        <f t="shared" ca="1" si="149"/>
        <v>0</v>
      </c>
      <c r="EY8" s="134">
        <f t="shared" ca="1" si="150"/>
        <v>0</v>
      </c>
      <c r="EZ8" s="134">
        <f t="shared" ca="1" si="151"/>
        <v>0</v>
      </c>
      <c r="FA8" s="134">
        <f t="shared" ca="1" si="152"/>
        <v>0</v>
      </c>
      <c r="FB8" s="134">
        <f t="shared" ca="1" si="153"/>
        <v>0</v>
      </c>
      <c r="FC8" s="134">
        <f t="shared" ca="1" si="154"/>
        <v>0</v>
      </c>
      <c r="FD8" s="134">
        <f t="shared" ca="1" si="155"/>
        <v>0</v>
      </c>
      <c r="FE8" s="134">
        <f t="shared" ca="1" si="156"/>
        <v>0</v>
      </c>
      <c r="FF8" s="134">
        <f t="shared" ca="1" si="157"/>
        <v>0</v>
      </c>
      <c r="FG8" s="134">
        <f t="shared" ca="1" si="158"/>
        <v>0</v>
      </c>
      <c r="FH8" s="134">
        <f t="shared" ca="1" si="159"/>
        <v>0</v>
      </c>
      <c r="FI8" s="134">
        <f t="shared" ca="1" si="160"/>
        <v>0</v>
      </c>
      <c r="FJ8" s="134">
        <f t="shared" ca="1" si="161"/>
        <v>0</v>
      </c>
      <c r="FK8" s="134">
        <f t="shared" ca="1" si="162"/>
        <v>0</v>
      </c>
      <c r="FL8" s="134">
        <f t="shared" ca="1" si="163"/>
        <v>0</v>
      </c>
      <c r="FM8" s="134">
        <f t="shared" ca="1" si="164"/>
        <v>0</v>
      </c>
      <c r="FN8" s="134">
        <f t="shared" ca="1" si="165"/>
        <v>0</v>
      </c>
      <c r="FO8" s="134">
        <f t="shared" ca="1" si="166"/>
        <v>0</v>
      </c>
      <c r="FP8" s="134">
        <f t="shared" ca="1" si="167"/>
        <v>0</v>
      </c>
      <c r="FQ8" s="134">
        <f t="shared" ca="1" si="168"/>
        <v>0</v>
      </c>
      <c r="FR8" s="134">
        <f t="shared" ca="1" si="169"/>
        <v>0</v>
      </c>
      <c r="FS8" s="134">
        <f t="shared" ca="1" si="170"/>
        <v>0</v>
      </c>
      <c r="FT8" s="134">
        <f t="shared" ca="1" si="171"/>
        <v>0</v>
      </c>
      <c r="FU8" s="134">
        <f t="shared" ca="1" si="172"/>
        <v>0</v>
      </c>
      <c r="FV8" s="134">
        <f t="shared" ca="1" si="173"/>
        <v>0</v>
      </c>
      <c r="FW8" s="134">
        <f t="shared" ca="1" si="174"/>
        <v>0</v>
      </c>
      <c r="FX8" s="134">
        <f t="shared" ca="1" si="175"/>
        <v>0</v>
      </c>
      <c r="FY8" s="134">
        <f t="shared" ca="1" si="176"/>
        <v>0</v>
      </c>
      <c r="FZ8" s="134">
        <f t="shared" ca="1" si="177"/>
        <v>0</v>
      </c>
      <c r="GA8" s="134">
        <f t="shared" ca="1" si="178"/>
        <v>0</v>
      </c>
      <c r="GB8" s="134">
        <f t="shared" ca="1" si="179"/>
        <v>0</v>
      </c>
      <c r="GC8" s="134">
        <f t="shared" ca="1" si="180"/>
        <v>0</v>
      </c>
      <c r="GD8" s="134">
        <f t="shared" ca="1" si="181"/>
        <v>0</v>
      </c>
      <c r="GE8" s="134">
        <f t="shared" ca="1" si="182"/>
        <v>0</v>
      </c>
      <c r="GF8" s="134">
        <f t="shared" ca="1" si="183"/>
        <v>0</v>
      </c>
      <c r="GG8" s="134">
        <f t="shared" ca="1" si="184"/>
        <v>0</v>
      </c>
      <c r="GH8" s="134">
        <f t="shared" ca="1" si="185"/>
        <v>0</v>
      </c>
      <c r="GI8" s="134">
        <f t="shared" ca="1" si="186"/>
        <v>0</v>
      </c>
      <c r="GJ8" s="134">
        <f t="shared" ca="1" si="187"/>
        <v>0</v>
      </c>
      <c r="GK8" s="134">
        <f t="shared" ca="1" si="188"/>
        <v>0</v>
      </c>
      <c r="GL8" s="134">
        <f t="shared" ca="1" si="189"/>
        <v>0</v>
      </c>
      <c r="GM8" s="134">
        <f t="shared" ca="1" si="190"/>
        <v>0</v>
      </c>
      <c r="GN8" s="134">
        <f t="shared" ca="1" si="191"/>
        <v>0</v>
      </c>
      <c r="GO8" s="134">
        <f t="shared" ca="1" si="192"/>
        <v>0</v>
      </c>
      <c r="GP8" s="134">
        <f t="shared" ca="1" si="193"/>
        <v>0</v>
      </c>
      <c r="GQ8" s="134">
        <f t="shared" ca="1" si="194"/>
        <v>0</v>
      </c>
      <c r="GR8" s="134">
        <f t="shared" ca="1" si="195"/>
        <v>0</v>
      </c>
      <c r="GS8" s="134">
        <f t="shared" ca="1" si="196"/>
        <v>0</v>
      </c>
      <c r="GT8" s="134">
        <f t="shared" ca="1" si="197"/>
        <v>0</v>
      </c>
      <c r="GU8" s="134">
        <f t="shared" ca="1" si="198"/>
        <v>0</v>
      </c>
      <c r="GV8" s="134">
        <f t="shared" ca="1" si="199"/>
        <v>0</v>
      </c>
      <c r="GW8" s="134">
        <f t="shared" ca="1" si="200"/>
        <v>0</v>
      </c>
      <c r="GX8" s="134">
        <f t="shared" ca="1" si="201"/>
        <v>0</v>
      </c>
      <c r="GY8" s="134">
        <f t="shared" ca="1" si="202"/>
        <v>0</v>
      </c>
      <c r="GZ8" s="134">
        <f t="shared" ca="1" si="203"/>
        <v>0</v>
      </c>
      <c r="HA8" s="134">
        <f t="shared" ca="1" si="204"/>
        <v>0</v>
      </c>
      <c r="HB8" s="134">
        <f t="shared" ca="1" si="205"/>
        <v>0</v>
      </c>
      <c r="HC8" s="134">
        <f t="shared" ca="1" si="206"/>
        <v>0</v>
      </c>
      <c r="HD8" s="134">
        <f t="shared" ca="1" si="207"/>
        <v>0</v>
      </c>
      <c r="HE8" s="134">
        <f t="shared" ca="1" si="208"/>
        <v>0</v>
      </c>
      <c r="HF8" s="134">
        <f t="shared" ca="1" si="209"/>
        <v>0</v>
      </c>
      <c r="HG8" s="134">
        <f t="shared" ca="1" si="210"/>
        <v>0</v>
      </c>
      <c r="HH8" s="134">
        <f t="shared" ca="1" si="211"/>
        <v>0</v>
      </c>
      <c r="HI8" s="134">
        <f t="shared" ca="1" si="212"/>
        <v>0</v>
      </c>
      <c r="HJ8" s="134">
        <f t="shared" ca="1" si="213"/>
        <v>0</v>
      </c>
      <c r="HK8" s="134">
        <f t="shared" ca="1" si="214"/>
        <v>0</v>
      </c>
      <c r="HL8" s="134">
        <f t="shared" ca="1" si="215"/>
        <v>0</v>
      </c>
      <c r="HM8" s="134">
        <f t="shared" ca="1" si="216"/>
        <v>0</v>
      </c>
      <c r="HN8" s="134">
        <f t="shared" ca="1" si="217"/>
        <v>0</v>
      </c>
      <c r="HO8" s="134">
        <f t="shared" ca="1" si="218"/>
        <v>0</v>
      </c>
      <c r="HP8" s="134">
        <f t="shared" ca="1" si="219"/>
        <v>0</v>
      </c>
      <c r="HQ8" s="134">
        <f t="shared" ca="1" si="220"/>
        <v>0</v>
      </c>
      <c r="HR8" s="134">
        <f t="shared" ca="1" si="221"/>
        <v>0</v>
      </c>
      <c r="HS8" s="134">
        <f t="shared" ca="1" si="222"/>
        <v>0</v>
      </c>
      <c r="HT8" s="134">
        <f t="shared" ca="1" si="223"/>
        <v>0</v>
      </c>
      <c r="HU8" s="134">
        <f t="shared" ca="1" si="224"/>
        <v>0</v>
      </c>
      <c r="HV8" s="134">
        <f t="shared" ca="1" si="225"/>
        <v>0</v>
      </c>
      <c r="HW8" s="134">
        <f t="shared" ca="1" si="226"/>
        <v>0</v>
      </c>
      <c r="HX8" s="134">
        <f t="shared" ca="1" si="227"/>
        <v>0</v>
      </c>
      <c r="HY8" s="134">
        <f t="shared" si="228"/>
        <v>0</v>
      </c>
      <c r="HZ8" s="134">
        <f t="shared" si="229"/>
        <v>0</v>
      </c>
      <c r="IA8" s="134">
        <f t="shared" si="230"/>
        <v>0</v>
      </c>
      <c r="IB8" s="134">
        <f t="shared" si="231"/>
        <v>0</v>
      </c>
      <c r="IC8" s="134">
        <f t="shared" si="232"/>
        <v>0</v>
      </c>
      <c r="ID8" s="134">
        <f t="shared" si="233"/>
        <v>0</v>
      </c>
      <c r="IE8" s="134">
        <f t="shared" si="234"/>
        <v>0</v>
      </c>
      <c r="IF8" s="134">
        <f t="shared" si="235"/>
        <v>0</v>
      </c>
      <c r="IG8" s="134">
        <f t="shared" si="236"/>
        <v>0</v>
      </c>
      <c r="IH8" s="134">
        <f t="shared" si="237"/>
        <v>0</v>
      </c>
      <c r="II8" s="134">
        <f t="shared" si="238"/>
        <v>0</v>
      </c>
      <c r="IJ8" s="135">
        <f t="shared" si="239"/>
        <v>0</v>
      </c>
      <c r="IK8" s="132">
        <f t="shared" ca="1" si="240"/>
        <v>0</v>
      </c>
    </row>
    <row r="9" spans="1:245" x14ac:dyDescent="0.45">
      <c r="A9" s="67">
        <v>2020</v>
      </c>
      <c r="B9" s="112"/>
      <c r="C9" s="3">
        <f ca="1">INT(SUM(OFFSET('CAPEX Schedule'!$C$8,0,($A9-$A$4)*12):OFFSET('CAPEX Schedule'!$C$8,0,($A9-$A$4)*12+11)))</f>
        <v>0</v>
      </c>
      <c r="D9" s="3">
        <f ca="1">INT(SUM(OFFSET('CAPEX Schedule'!$C$13,0,($A9-$A$4)*12):OFFSET('CAPEX Schedule'!$C$13,0,($A9-$A$4)*12+11)))-C9</f>
        <v>20000000</v>
      </c>
      <c r="E9" s="130">
        <f t="shared" si="0"/>
        <v>0</v>
      </c>
      <c r="F9" s="134">
        <f t="shared" si="1"/>
        <v>0</v>
      </c>
      <c r="G9" s="134">
        <f t="shared" si="2"/>
        <v>0</v>
      </c>
      <c r="H9" s="134">
        <f t="shared" si="3"/>
        <v>0</v>
      </c>
      <c r="I9" s="134">
        <f t="shared" si="4"/>
        <v>0</v>
      </c>
      <c r="J9" s="134">
        <f t="shared" si="5"/>
        <v>0</v>
      </c>
      <c r="K9" s="134">
        <f t="shared" si="6"/>
        <v>0</v>
      </c>
      <c r="L9" s="134">
        <f t="shared" si="7"/>
        <v>0</v>
      </c>
      <c r="M9" s="134">
        <f t="shared" si="8"/>
        <v>0</v>
      </c>
      <c r="N9" s="134">
        <f t="shared" si="9"/>
        <v>0</v>
      </c>
      <c r="O9" s="134">
        <f t="shared" si="10"/>
        <v>0</v>
      </c>
      <c r="P9" s="134">
        <f t="shared" si="11"/>
        <v>0</v>
      </c>
      <c r="Q9" s="134">
        <f t="shared" si="12"/>
        <v>0</v>
      </c>
      <c r="R9" s="134">
        <f t="shared" si="13"/>
        <v>0</v>
      </c>
      <c r="S9" s="134">
        <f t="shared" si="14"/>
        <v>0</v>
      </c>
      <c r="T9" s="134">
        <f t="shared" si="15"/>
        <v>0</v>
      </c>
      <c r="U9" s="134">
        <f t="shared" si="16"/>
        <v>0</v>
      </c>
      <c r="V9" s="134">
        <f t="shared" si="17"/>
        <v>0</v>
      </c>
      <c r="W9" s="134">
        <f t="shared" si="18"/>
        <v>0</v>
      </c>
      <c r="X9" s="134">
        <f t="shared" si="19"/>
        <v>0</v>
      </c>
      <c r="Y9" s="134">
        <f t="shared" si="20"/>
        <v>0</v>
      </c>
      <c r="Z9" s="134">
        <f t="shared" si="21"/>
        <v>0</v>
      </c>
      <c r="AA9" s="134">
        <f t="shared" si="22"/>
        <v>0</v>
      </c>
      <c r="AB9" s="134">
        <f t="shared" si="23"/>
        <v>0</v>
      </c>
      <c r="AC9" s="134">
        <f t="shared" si="24"/>
        <v>0</v>
      </c>
      <c r="AD9" s="134">
        <f t="shared" si="25"/>
        <v>0</v>
      </c>
      <c r="AE9" s="134">
        <f t="shared" si="26"/>
        <v>0</v>
      </c>
      <c r="AF9" s="134">
        <f t="shared" si="27"/>
        <v>0</v>
      </c>
      <c r="AG9" s="134">
        <f t="shared" si="28"/>
        <v>0</v>
      </c>
      <c r="AH9" s="134">
        <f t="shared" si="29"/>
        <v>0</v>
      </c>
      <c r="AI9" s="134">
        <f t="shared" si="30"/>
        <v>0</v>
      </c>
      <c r="AJ9" s="134">
        <f t="shared" si="31"/>
        <v>0</v>
      </c>
      <c r="AK9" s="134">
        <f t="shared" si="32"/>
        <v>0</v>
      </c>
      <c r="AL9" s="134">
        <f t="shared" si="33"/>
        <v>0</v>
      </c>
      <c r="AM9" s="134">
        <f t="shared" si="34"/>
        <v>0</v>
      </c>
      <c r="AN9" s="134">
        <f t="shared" si="35"/>
        <v>0</v>
      </c>
      <c r="AO9" s="134">
        <f t="shared" si="36"/>
        <v>0</v>
      </c>
      <c r="AP9" s="134">
        <f t="shared" si="37"/>
        <v>0</v>
      </c>
      <c r="AQ9" s="134">
        <f t="shared" si="38"/>
        <v>0</v>
      </c>
      <c r="AR9" s="134">
        <f t="shared" si="39"/>
        <v>0</v>
      </c>
      <c r="AS9" s="134">
        <f t="shared" si="40"/>
        <v>0</v>
      </c>
      <c r="AT9" s="134">
        <f t="shared" si="41"/>
        <v>0</v>
      </c>
      <c r="AU9" s="134">
        <f t="shared" si="42"/>
        <v>0</v>
      </c>
      <c r="AV9" s="134">
        <f t="shared" si="43"/>
        <v>0</v>
      </c>
      <c r="AW9" s="134">
        <f t="shared" si="44"/>
        <v>0</v>
      </c>
      <c r="AX9" s="134">
        <f t="shared" si="45"/>
        <v>0</v>
      </c>
      <c r="AY9" s="134">
        <f t="shared" si="46"/>
        <v>0</v>
      </c>
      <c r="AZ9" s="134">
        <f t="shared" si="47"/>
        <v>0</v>
      </c>
      <c r="BA9" s="134">
        <f t="shared" si="48"/>
        <v>0</v>
      </c>
      <c r="BB9" s="134">
        <f t="shared" si="49"/>
        <v>0</v>
      </c>
      <c r="BC9" s="134">
        <f t="shared" si="50"/>
        <v>0</v>
      </c>
      <c r="BD9" s="134">
        <f t="shared" si="51"/>
        <v>0</v>
      </c>
      <c r="BE9" s="134">
        <f t="shared" si="52"/>
        <v>0</v>
      </c>
      <c r="BF9" s="134">
        <f t="shared" si="53"/>
        <v>0</v>
      </c>
      <c r="BG9" s="134">
        <f t="shared" si="54"/>
        <v>0</v>
      </c>
      <c r="BH9" s="134">
        <f t="shared" si="55"/>
        <v>0</v>
      </c>
      <c r="BI9" s="134">
        <f t="shared" si="56"/>
        <v>0</v>
      </c>
      <c r="BJ9" s="134">
        <f t="shared" si="57"/>
        <v>0</v>
      </c>
      <c r="BK9" s="134">
        <f t="shared" si="58"/>
        <v>0</v>
      </c>
      <c r="BL9" s="134">
        <f t="shared" si="59"/>
        <v>0</v>
      </c>
      <c r="BM9" s="134">
        <f t="shared" ca="1" si="60"/>
        <v>0</v>
      </c>
      <c r="BN9" s="134">
        <f t="shared" ca="1" si="61"/>
        <v>0</v>
      </c>
      <c r="BO9" s="134">
        <f t="shared" ca="1" si="62"/>
        <v>0</v>
      </c>
      <c r="BP9" s="134">
        <f t="shared" ca="1" si="63"/>
        <v>0</v>
      </c>
      <c r="BQ9" s="134">
        <f t="shared" ca="1" si="64"/>
        <v>0</v>
      </c>
      <c r="BR9" s="134">
        <f t="shared" ca="1" si="65"/>
        <v>0</v>
      </c>
      <c r="BS9" s="134">
        <f t="shared" ca="1" si="66"/>
        <v>0</v>
      </c>
      <c r="BT9" s="134">
        <f t="shared" ca="1" si="67"/>
        <v>0</v>
      </c>
      <c r="BU9" s="134">
        <f t="shared" ca="1" si="68"/>
        <v>0</v>
      </c>
      <c r="BV9" s="134">
        <f t="shared" ca="1" si="69"/>
        <v>0</v>
      </c>
      <c r="BW9" s="134">
        <f t="shared" ca="1" si="70"/>
        <v>0</v>
      </c>
      <c r="BX9" s="134">
        <f t="shared" ca="1" si="71"/>
        <v>0</v>
      </c>
      <c r="BY9" s="134">
        <f t="shared" ca="1" si="72"/>
        <v>0</v>
      </c>
      <c r="BZ9" s="134">
        <f t="shared" ca="1" si="73"/>
        <v>0</v>
      </c>
      <c r="CA9" s="134">
        <f t="shared" ca="1" si="74"/>
        <v>0</v>
      </c>
      <c r="CB9" s="134">
        <f t="shared" ca="1" si="75"/>
        <v>0</v>
      </c>
      <c r="CC9" s="134">
        <f t="shared" ca="1" si="76"/>
        <v>0</v>
      </c>
      <c r="CD9" s="134">
        <f t="shared" ca="1" si="77"/>
        <v>0</v>
      </c>
      <c r="CE9" s="134">
        <f t="shared" ca="1" si="78"/>
        <v>0</v>
      </c>
      <c r="CF9" s="134">
        <f t="shared" ca="1" si="79"/>
        <v>0</v>
      </c>
      <c r="CG9" s="134">
        <f t="shared" ca="1" si="80"/>
        <v>0</v>
      </c>
      <c r="CH9" s="134">
        <f t="shared" ca="1" si="81"/>
        <v>0</v>
      </c>
      <c r="CI9" s="134">
        <f t="shared" ca="1" si="82"/>
        <v>0</v>
      </c>
      <c r="CJ9" s="134">
        <f t="shared" ca="1" si="83"/>
        <v>0</v>
      </c>
      <c r="CK9" s="134">
        <f t="shared" ca="1" si="84"/>
        <v>0</v>
      </c>
      <c r="CL9" s="134">
        <f t="shared" ca="1" si="85"/>
        <v>0</v>
      </c>
      <c r="CM9" s="134">
        <f t="shared" ca="1" si="86"/>
        <v>0</v>
      </c>
      <c r="CN9" s="134">
        <f t="shared" ca="1" si="87"/>
        <v>0</v>
      </c>
      <c r="CO9" s="134">
        <f t="shared" ca="1" si="88"/>
        <v>0</v>
      </c>
      <c r="CP9" s="134">
        <f t="shared" ca="1" si="89"/>
        <v>0</v>
      </c>
      <c r="CQ9" s="134">
        <f t="shared" ca="1" si="90"/>
        <v>0</v>
      </c>
      <c r="CR9" s="134">
        <f t="shared" ca="1" si="91"/>
        <v>0</v>
      </c>
      <c r="CS9" s="134">
        <f t="shared" ca="1" si="92"/>
        <v>0</v>
      </c>
      <c r="CT9" s="134">
        <f t="shared" ca="1" si="93"/>
        <v>0</v>
      </c>
      <c r="CU9" s="134">
        <f t="shared" ca="1" si="94"/>
        <v>0</v>
      </c>
      <c r="CV9" s="134">
        <f t="shared" ca="1" si="95"/>
        <v>0</v>
      </c>
      <c r="CW9" s="134">
        <f t="shared" ca="1" si="96"/>
        <v>0</v>
      </c>
      <c r="CX9" s="134">
        <f t="shared" ca="1" si="97"/>
        <v>0</v>
      </c>
      <c r="CY9" s="134">
        <f t="shared" ca="1" si="98"/>
        <v>0</v>
      </c>
      <c r="CZ9" s="134">
        <f t="shared" ca="1" si="99"/>
        <v>0</v>
      </c>
      <c r="DA9" s="134">
        <f t="shared" ca="1" si="100"/>
        <v>0</v>
      </c>
      <c r="DB9" s="134">
        <f t="shared" ca="1" si="101"/>
        <v>0</v>
      </c>
      <c r="DC9" s="134">
        <f t="shared" ca="1" si="102"/>
        <v>0</v>
      </c>
      <c r="DD9" s="134">
        <f t="shared" ca="1" si="103"/>
        <v>0</v>
      </c>
      <c r="DE9" s="134">
        <f t="shared" ca="1" si="104"/>
        <v>0</v>
      </c>
      <c r="DF9" s="134">
        <f t="shared" ca="1" si="105"/>
        <v>0</v>
      </c>
      <c r="DG9" s="134">
        <f t="shared" ca="1" si="106"/>
        <v>0</v>
      </c>
      <c r="DH9" s="134">
        <f t="shared" ca="1" si="107"/>
        <v>0</v>
      </c>
      <c r="DI9" s="134">
        <f t="shared" ca="1" si="108"/>
        <v>0</v>
      </c>
      <c r="DJ9" s="134">
        <f t="shared" ca="1" si="109"/>
        <v>0</v>
      </c>
      <c r="DK9" s="134">
        <f t="shared" ca="1" si="110"/>
        <v>0</v>
      </c>
      <c r="DL9" s="134">
        <f t="shared" ca="1" si="111"/>
        <v>0</v>
      </c>
      <c r="DM9" s="134">
        <f t="shared" ca="1" si="112"/>
        <v>0</v>
      </c>
      <c r="DN9" s="134">
        <f t="shared" ca="1" si="113"/>
        <v>0</v>
      </c>
      <c r="DO9" s="134">
        <f t="shared" ca="1" si="114"/>
        <v>0</v>
      </c>
      <c r="DP9" s="134">
        <f t="shared" ca="1" si="115"/>
        <v>0</v>
      </c>
      <c r="DQ9" s="134">
        <f t="shared" ca="1" si="116"/>
        <v>0</v>
      </c>
      <c r="DR9" s="134">
        <f t="shared" ca="1" si="117"/>
        <v>0</v>
      </c>
      <c r="DS9" s="134">
        <f t="shared" ca="1" si="118"/>
        <v>0</v>
      </c>
      <c r="DT9" s="134">
        <f t="shared" ca="1" si="119"/>
        <v>0</v>
      </c>
      <c r="DU9" s="134">
        <f t="shared" ca="1" si="120"/>
        <v>0</v>
      </c>
      <c r="DV9" s="134">
        <f t="shared" ca="1" si="121"/>
        <v>0</v>
      </c>
      <c r="DW9" s="134">
        <f t="shared" ca="1" si="122"/>
        <v>0</v>
      </c>
      <c r="DX9" s="134">
        <f t="shared" ca="1" si="123"/>
        <v>0</v>
      </c>
      <c r="DY9" s="134">
        <f t="shared" ca="1" si="124"/>
        <v>0</v>
      </c>
      <c r="DZ9" s="134">
        <f t="shared" ca="1" si="125"/>
        <v>0</v>
      </c>
      <c r="EA9" s="134">
        <f t="shared" ca="1" si="126"/>
        <v>0</v>
      </c>
      <c r="EB9" s="134">
        <f t="shared" ca="1" si="127"/>
        <v>0</v>
      </c>
      <c r="EC9" s="134">
        <f t="shared" ca="1" si="128"/>
        <v>0</v>
      </c>
      <c r="ED9" s="134">
        <f t="shared" ca="1" si="129"/>
        <v>0</v>
      </c>
      <c r="EE9" s="134">
        <f t="shared" ca="1" si="130"/>
        <v>0</v>
      </c>
      <c r="EF9" s="134">
        <f t="shared" ca="1" si="131"/>
        <v>0</v>
      </c>
      <c r="EG9" s="134">
        <f t="shared" ca="1" si="132"/>
        <v>0</v>
      </c>
      <c r="EH9" s="134">
        <f t="shared" ca="1" si="133"/>
        <v>0</v>
      </c>
      <c r="EI9" s="134">
        <f t="shared" ca="1" si="134"/>
        <v>0</v>
      </c>
      <c r="EJ9" s="134">
        <f t="shared" ca="1" si="135"/>
        <v>0</v>
      </c>
      <c r="EK9" s="134">
        <f t="shared" ca="1" si="136"/>
        <v>0</v>
      </c>
      <c r="EL9" s="134">
        <f t="shared" ca="1" si="137"/>
        <v>0</v>
      </c>
      <c r="EM9" s="134">
        <f t="shared" ca="1" si="138"/>
        <v>0</v>
      </c>
      <c r="EN9" s="134">
        <f t="shared" ca="1" si="139"/>
        <v>0</v>
      </c>
      <c r="EO9" s="134">
        <f t="shared" ca="1" si="140"/>
        <v>0</v>
      </c>
      <c r="EP9" s="134">
        <f t="shared" ca="1" si="141"/>
        <v>0</v>
      </c>
      <c r="EQ9" s="134">
        <f t="shared" ca="1" si="142"/>
        <v>0</v>
      </c>
      <c r="ER9" s="134">
        <f t="shared" ca="1" si="143"/>
        <v>0</v>
      </c>
      <c r="ES9" s="134">
        <f t="shared" ca="1" si="144"/>
        <v>0</v>
      </c>
      <c r="ET9" s="134">
        <f t="shared" ca="1" si="145"/>
        <v>0</v>
      </c>
      <c r="EU9" s="134">
        <f t="shared" ca="1" si="146"/>
        <v>0</v>
      </c>
      <c r="EV9" s="134">
        <f t="shared" ca="1" si="147"/>
        <v>0</v>
      </c>
      <c r="EW9" s="134">
        <f t="shared" ca="1" si="148"/>
        <v>0</v>
      </c>
      <c r="EX9" s="134">
        <f t="shared" ca="1" si="149"/>
        <v>0</v>
      </c>
      <c r="EY9" s="134">
        <f t="shared" ca="1" si="150"/>
        <v>0</v>
      </c>
      <c r="EZ9" s="134">
        <f t="shared" ca="1" si="151"/>
        <v>0</v>
      </c>
      <c r="FA9" s="134">
        <f t="shared" ca="1" si="152"/>
        <v>0</v>
      </c>
      <c r="FB9" s="134">
        <f t="shared" ca="1" si="153"/>
        <v>0</v>
      </c>
      <c r="FC9" s="134">
        <f t="shared" ca="1" si="154"/>
        <v>0</v>
      </c>
      <c r="FD9" s="134">
        <f t="shared" ca="1" si="155"/>
        <v>0</v>
      </c>
      <c r="FE9" s="134">
        <f t="shared" ca="1" si="156"/>
        <v>0</v>
      </c>
      <c r="FF9" s="134">
        <f t="shared" ca="1" si="157"/>
        <v>0</v>
      </c>
      <c r="FG9" s="134">
        <f t="shared" ca="1" si="158"/>
        <v>0</v>
      </c>
      <c r="FH9" s="134">
        <f t="shared" ca="1" si="159"/>
        <v>0</v>
      </c>
      <c r="FI9" s="134">
        <f t="shared" ca="1" si="160"/>
        <v>0</v>
      </c>
      <c r="FJ9" s="134">
        <f t="shared" ca="1" si="161"/>
        <v>0</v>
      </c>
      <c r="FK9" s="134">
        <f t="shared" ca="1" si="162"/>
        <v>0</v>
      </c>
      <c r="FL9" s="134">
        <f t="shared" ca="1" si="163"/>
        <v>0</v>
      </c>
      <c r="FM9" s="134">
        <f t="shared" ca="1" si="164"/>
        <v>0</v>
      </c>
      <c r="FN9" s="134">
        <f t="shared" ca="1" si="165"/>
        <v>0</v>
      </c>
      <c r="FO9" s="134">
        <f t="shared" ca="1" si="166"/>
        <v>0</v>
      </c>
      <c r="FP9" s="134">
        <f t="shared" ca="1" si="167"/>
        <v>0</v>
      </c>
      <c r="FQ9" s="134">
        <f t="shared" ca="1" si="168"/>
        <v>0</v>
      </c>
      <c r="FR9" s="134">
        <f t="shared" ca="1" si="169"/>
        <v>0</v>
      </c>
      <c r="FS9" s="134">
        <f t="shared" ca="1" si="170"/>
        <v>0</v>
      </c>
      <c r="FT9" s="134">
        <f t="shared" ca="1" si="171"/>
        <v>0</v>
      </c>
      <c r="FU9" s="134">
        <f t="shared" ca="1" si="172"/>
        <v>0</v>
      </c>
      <c r="FV9" s="134">
        <f t="shared" ca="1" si="173"/>
        <v>0</v>
      </c>
      <c r="FW9" s="134">
        <f t="shared" ca="1" si="174"/>
        <v>0</v>
      </c>
      <c r="FX9" s="134">
        <f t="shared" ca="1" si="175"/>
        <v>0</v>
      </c>
      <c r="FY9" s="134">
        <f t="shared" ca="1" si="176"/>
        <v>0</v>
      </c>
      <c r="FZ9" s="134">
        <f t="shared" ca="1" si="177"/>
        <v>0</v>
      </c>
      <c r="GA9" s="134">
        <f t="shared" ca="1" si="178"/>
        <v>0</v>
      </c>
      <c r="GB9" s="134">
        <f t="shared" ca="1" si="179"/>
        <v>0</v>
      </c>
      <c r="GC9" s="134">
        <f t="shared" ca="1" si="180"/>
        <v>0</v>
      </c>
      <c r="GD9" s="134">
        <f t="shared" ca="1" si="181"/>
        <v>0</v>
      </c>
      <c r="GE9" s="134">
        <f t="shared" ca="1" si="182"/>
        <v>0</v>
      </c>
      <c r="GF9" s="134">
        <f t="shared" ca="1" si="183"/>
        <v>0</v>
      </c>
      <c r="GG9" s="134">
        <f t="shared" ca="1" si="184"/>
        <v>0</v>
      </c>
      <c r="GH9" s="134">
        <f t="shared" ca="1" si="185"/>
        <v>0</v>
      </c>
      <c r="GI9" s="134">
        <f t="shared" ca="1" si="186"/>
        <v>0</v>
      </c>
      <c r="GJ9" s="134">
        <f t="shared" ca="1" si="187"/>
        <v>0</v>
      </c>
      <c r="GK9" s="134">
        <f t="shared" ca="1" si="188"/>
        <v>0</v>
      </c>
      <c r="GL9" s="134">
        <f t="shared" ca="1" si="189"/>
        <v>0</v>
      </c>
      <c r="GM9" s="134">
        <f t="shared" ca="1" si="190"/>
        <v>0</v>
      </c>
      <c r="GN9" s="134">
        <f t="shared" ca="1" si="191"/>
        <v>0</v>
      </c>
      <c r="GO9" s="134">
        <f t="shared" ca="1" si="192"/>
        <v>0</v>
      </c>
      <c r="GP9" s="134">
        <f t="shared" ca="1" si="193"/>
        <v>0</v>
      </c>
      <c r="GQ9" s="134">
        <f t="shared" ca="1" si="194"/>
        <v>0</v>
      </c>
      <c r="GR9" s="134">
        <f t="shared" ca="1" si="195"/>
        <v>0</v>
      </c>
      <c r="GS9" s="134">
        <f t="shared" ca="1" si="196"/>
        <v>0</v>
      </c>
      <c r="GT9" s="134">
        <f t="shared" ca="1" si="197"/>
        <v>0</v>
      </c>
      <c r="GU9" s="134">
        <f t="shared" ca="1" si="198"/>
        <v>0</v>
      </c>
      <c r="GV9" s="134">
        <f t="shared" ca="1" si="199"/>
        <v>0</v>
      </c>
      <c r="GW9" s="134">
        <f t="shared" ca="1" si="200"/>
        <v>0</v>
      </c>
      <c r="GX9" s="134">
        <f t="shared" ca="1" si="201"/>
        <v>0</v>
      </c>
      <c r="GY9" s="134">
        <f t="shared" ca="1" si="202"/>
        <v>0</v>
      </c>
      <c r="GZ9" s="134">
        <f t="shared" ca="1" si="203"/>
        <v>0</v>
      </c>
      <c r="HA9" s="134">
        <f t="shared" ca="1" si="204"/>
        <v>0</v>
      </c>
      <c r="HB9" s="134">
        <f t="shared" ca="1" si="205"/>
        <v>0</v>
      </c>
      <c r="HC9" s="134">
        <f t="shared" ca="1" si="206"/>
        <v>0</v>
      </c>
      <c r="HD9" s="134">
        <f t="shared" ca="1" si="207"/>
        <v>0</v>
      </c>
      <c r="HE9" s="134">
        <f t="shared" ca="1" si="208"/>
        <v>0</v>
      </c>
      <c r="HF9" s="134">
        <f t="shared" ca="1" si="209"/>
        <v>0</v>
      </c>
      <c r="HG9" s="134">
        <f t="shared" ca="1" si="210"/>
        <v>0</v>
      </c>
      <c r="HH9" s="134">
        <f t="shared" ca="1" si="211"/>
        <v>0</v>
      </c>
      <c r="HI9" s="134">
        <f t="shared" ca="1" si="212"/>
        <v>0</v>
      </c>
      <c r="HJ9" s="134">
        <f t="shared" ca="1" si="213"/>
        <v>0</v>
      </c>
      <c r="HK9" s="134">
        <f t="shared" ca="1" si="214"/>
        <v>0</v>
      </c>
      <c r="HL9" s="134">
        <f t="shared" ca="1" si="215"/>
        <v>0</v>
      </c>
      <c r="HM9" s="134">
        <f t="shared" ca="1" si="216"/>
        <v>0</v>
      </c>
      <c r="HN9" s="134">
        <f t="shared" ca="1" si="217"/>
        <v>0</v>
      </c>
      <c r="HO9" s="134">
        <f t="shared" ca="1" si="218"/>
        <v>0</v>
      </c>
      <c r="HP9" s="134">
        <f t="shared" ca="1" si="219"/>
        <v>0</v>
      </c>
      <c r="HQ9" s="134">
        <f t="shared" ca="1" si="220"/>
        <v>0</v>
      </c>
      <c r="HR9" s="134">
        <f t="shared" ca="1" si="221"/>
        <v>0</v>
      </c>
      <c r="HS9" s="134">
        <f t="shared" ca="1" si="222"/>
        <v>0</v>
      </c>
      <c r="HT9" s="134">
        <f t="shared" ca="1" si="223"/>
        <v>0</v>
      </c>
      <c r="HU9" s="134">
        <f t="shared" ca="1" si="224"/>
        <v>0</v>
      </c>
      <c r="HV9" s="134">
        <f t="shared" ca="1" si="225"/>
        <v>0</v>
      </c>
      <c r="HW9" s="134">
        <f t="shared" ca="1" si="226"/>
        <v>0</v>
      </c>
      <c r="HX9" s="134">
        <f t="shared" ca="1" si="227"/>
        <v>0</v>
      </c>
      <c r="HY9" s="134">
        <f t="shared" ca="1" si="228"/>
        <v>0</v>
      </c>
      <c r="HZ9" s="134">
        <f t="shared" ca="1" si="229"/>
        <v>0</v>
      </c>
      <c r="IA9" s="134">
        <f t="shared" ca="1" si="230"/>
        <v>0</v>
      </c>
      <c r="IB9" s="134">
        <f t="shared" ca="1" si="231"/>
        <v>0</v>
      </c>
      <c r="IC9" s="134">
        <f t="shared" ca="1" si="232"/>
        <v>0</v>
      </c>
      <c r="ID9" s="134">
        <f t="shared" ca="1" si="233"/>
        <v>0</v>
      </c>
      <c r="IE9" s="134">
        <f t="shared" ca="1" si="234"/>
        <v>0</v>
      </c>
      <c r="IF9" s="134">
        <f t="shared" ca="1" si="235"/>
        <v>0</v>
      </c>
      <c r="IG9" s="134">
        <f t="shared" ca="1" si="236"/>
        <v>0</v>
      </c>
      <c r="IH9" s="134">
        <f t="shared" ca="1" si="237"/>
        <v>0</v>
      </c>
      <c r="II9" s="134">
        <f t="shared" ca="1" si="238"/>
        <v>0</v>
      </c>
      <c r="IJ9" s="135">
        <f t="shared" ca="1" si="239"/>
        <v>0</v>
      </c>
      <c r="IK9" s="132">
        <f t="shared" ca="1" si="240"/>
        <v>0</v>
      </c>
    </row>
    <row r="10" spans="1:245" x14ac:dyDescent="0.45">
      <c r="A10" s="67">
        <v>2021</v>
      </c>
      <c r="B10" s="112"/>
      <c r="C10" s="3">
        <f ca="1">INT(SUM(OFFSET('CAPEX Schedule'!$C$8,0,($A10-$A$4)*12):OFFSET('CAPEX Schedule'!$C$8,0,($A10-$A$4)*12+11)))</f>
        <v>0</v>
      </c>
      <c r="D10" s="3">
        <f ca="1">INT(SUM(OFFSET('CAPEX Schedule'!$C$13,0,($A10-$A$4)*12):OFFSET('CAPEX Schedule'!$C$13,0,($A10-$A$4)*12+11)))-C10</f>
        <v>0</v>
      </c>
      <c r="E10" s="130">
        <f t="shared" si="0"/>
        <v>0</v>
      </c>
      <c r="F10" s="134">
        <f t="shared" si="1"/>
        <v>0</v>
      </c>
      <c r="G10" s="134">
        <f t="shared" si="2"/>
        <v>0</v>
      </c>
      <c r="H10" s="134">
        <f t="shared" si="3"/>
        <v>0</v>
      </c>
      <c r="I10" s="134">
        <f t="shared" si="4"/>
        <v>0</v>
      </c>
      <c r="J10" s="134">
        <f t="shared" si="5"/>
        <v>0</v>
      </c>
      <c r="K10" s="134">
        <f t="shared" si="6"/>
        <v>0</v>
      </c>
      <c r="L10" s="134">
        <f t="shared" si="7"/>
        <v>0</v>
      </c>
      <c r="M10" s="134">
        <f t="shared" si="8"/>
        <v>0</v>
      </c>
      <c r="N10" s="134">
        <f t="shared" si="9"/>
        <v>0</v>
      </c>
      <c r="O10" s="134">
        <f t="shared" si="10"/>
        <v>0</v>
      </c>
      <c r="P10" s="134">
        <f t="shared" si="11"/>
        <v>0</v>
      </c>
      <c r="Q10" s="134">
        <f t="shared" si="12"/>
        <v>0</v>
      </c>
      <c r="R10" s="134">
        <f t="shared" si="13"/>
        <v>0</v>
      </c>
      <c r="S10" s="134">
        <f t="shared" si="14"/>
        <v>0</v>
      </c>
      <c r="T10" s="134">
        <f t="shared" si="15"/>
        <v>0</v>
      </c>
      <c r="U10" s="134">
        <f t="shared" si="16"/>
        <v>0</v>
      </c>
      <c r="V10" s="134">
        <f t="shared" si="17"/>
        <v>0</v>
      </c>
      <c r="W10" s="134">
        <f t="shared" si="18"/>
        <v>0</v>
      </c>
      <c r="X10" s="134">
        <f t="shared" si="19"/>
        <v>0</v>
      </c>
      <c r="Y10" s="134">
        <f t="shared" si="20"/>
        <v>0</v>
      </c>
      <c r="Z10" s="134">
        <f t="shared" si="21"/>
        <v>0</v>
      </c>
      <c r="AA10" s="134">
        <f t="shared" si="22"/>
        <v>0</v>
      </c>
      <c r="AB10" s="134">
        <f t="shared" si="23"/>
        <v>0</v>
      </c>
      <c r="AC10" s="134">
        <f t="shared" si="24"/>
        <v>0</v>
      </c>
      <c r="AD10" s="134">
        <f t="shared" si="25"/>
        <v>0</v>
      </c>
      <c r="AE10" s="134">
        <f t="shared" si="26"/>
        <v>0</v>
      </c>
      <c r="AF10" s="134">
        <f t="shared" si="27"/>
        <v>0</v>
      </c>
      <c r="AG10" s="134">
        <f t="shared" si="28"/>
        <v>0</v>
      </c>
      <c r="AH10" s="134">
        <f t="shared" si="29"/>
        <v>0</v>
      </c>
      <c r="AI10" s="134">
        <f t="shared" si="30"/>
        <v>0</v>
      </c>
      <c r="AJ10" s="134">
        <f t="shared" si="31"/>
        <v>0</v>
      </c>
      <c r="AK10" s="134">
        <f t="shared" si="32"/>
        <v>0</v>
      </c>
      <c r="AL10" s="134">
        <f t="shared" si="33"/>
        <v>0</v>
      </c>
      <c r="AM10" s="134">
        <f t="shared" si="34"/>
        <v>0</v>
      </c>
      <c r="AN10" s="134">
        <f t="shared" si="35"/>
        <v>0</v>
      </c>
      <c r="AO10" s="134">
        <f t="shared" si="36"/>
        <v>0</v>
      </c>
      <c r="AP10" s="134">
        <f t="shared" si="37"/>
        <v>0</v>
      </c>
      <c r="AQ10" s="134">
        <f t="shared" si="38"/>
        <v>0</v>
      </c>
      <c r="AR10" s="134">
        <f t="shared" si="39"/>
        <v>0</v>
      </c>
      <c r="AS10" s="134">
        <f t="shared" si="40"/>
        <v>0</v>
      </c>
      <c r="AT10" s="134">
        <f t="shared" si="41"/>
        <v>0</v>
      </c>
      <c r="AU10" s="134">
        <f t="shared" si="42"/>
        <v>0</v>
      </c>
      <c r="AV10" s="134">
        <f t="shared" si="43"/>
        <v>0</v>
      </c>
      <c r="AW10" s="134">
        <f t="shared" si="44"/>
        <v>0</v>
      </c>
      <c r="AX10" s="134">
        <f t="shared" si="45"/>
        <v>0</v>
      </c>
      <c r="AY10" s="134">
        <f t="shared" si="46"/>
        <v>0</v>
      </c>
      <c r="AZ10" s="134">
        <f t="shared" si="47"/>
        <v>0</v>
      </c>
      <c r="BA10" s="134">
        <f t="shared" si="48"/>
        <v>0</v>
      </c>
      <c r="BB10" s="134">
        <f t="shared" si="49"/>
        <v>0</v>
      </c>
      <c r="BC10" s="134">
        <f t="shared" si="50"/>
        <v>0</v>
      </c>
      <c r="BD10" s="134">
        <f t="shared" si="51"/>
        <v>0</v>
      </c>
      <c r="BE10" s="134">
        <f t="shared" si="52"/>
        <v>0</v>
      </c>
      <c r="BF10" s="134">
        <f t="shared" si="53"/>
        <v>0</v>
      </c>
      <c r="BG10" s="134">
        <f t="shared" si="54"/>
        <v>0</v>
      </c>
      <c r="BH10" s="134">
        <f t="shared" si="55"/>
        <v>0</v>
      </c>
      <c r="BI10" s="134">
        <f t="shared" si="56"/>
        <v>0</v>
      </c>
      <c r="BJ10" s="134">
        <f t="shared" si="57"/>
        <v>0</v>
      </c>
      <c r="BK10" s="134">
        <f t="shared" si="58"/>
        <v>0</v>
      </c>
      <c r="BL10" s="134">
        <f t="shared" si="59"/>
        <v>0</v>
      </c>
      <c r="BM10" s="134">
        <f t="shared" si="60"/>
        <v>0</v>
      </c>
      <c r="BN10" s="134">
        <f t="shared" si="61"/>
        <v>0</v>
      </c>
      <c r="BO10" s="134">
        <f t="shared" si="62"/>
        <v>0</v>
      </c>
      <c r="BP10" s="134">
        <f t="shared" si="63"/>
        <v>0</v>
      </c>
      <c r="BQ10" s="134">
        <f t="shared" si="64"/>
        <v>0</v>
      </c>
      <c r="BR10" s="134">
        <f t="shared" si="65"/>
        <v>0</v>
      </c>
      <c r="BS10" s="134">
        <f t="shared" si="66"/>
        <v>0</v>
      </c>
      <c r="BT10" s="134">
        <f t="shared" si="67"/>
        <v>0</v>
      </c>
      <c r="BU10" s="134">
        <f t="shared" si="68"/>
        <v>0</v>
      </c>
      <c r="BV10" s="134">
        <f t="shared" si="69"/>
        <v>0</v>
      </c>
      <c r="BW10" s="134">
        <f t="shared" si="70"/>
        <v>0</v>
      </c>
      <c r="BX10" s="134">
        <f t="shared" si="71"/>
        <v>0</v>
      </c>
      <c r="BY10" s="134">
        <f t="shared" ca="1" si="72"/>
        <v>666666.66666666663</v>
      </c>
      <c r="BZ10" s="134">
        <f t="shared" ca="1" si="73"/>
        <v>644444.44444444438</v>
      </c>
      <c r="CA10" s="134">
        <f t="shared" ca="1" si="74"/>
        <v>622962.96296296292</v>
      </c>
      <c r="CB10" s="134">
        <f t="shared" ca="1" si="75"/>
        <v>602197.53086419753</v>
      </c>
      <c r="CC10" s="134">
        <f t="shared" ca="1" si="76"/>
        <v>582124.27983539086</v>
      </c>
      <c r="CD10" s="134">
        <f t="shared" ca="1" si="77"/>
        <v>562720.13717421121</v>
      </c>
      <c r="CE10" s="134">
        <f t="shared" ca="1" si="78"/>
        <v>543962.79926840414</v>
      </c>
      <c r="CF10" s="134">
        <f t="shared" ca="1" si="79"/>
        <v>525830.70595945732</v>
      </c>
      <c r="CG10" s="134">
        <f t="shared" ca="1" si="80"/>
        <v>508303.01576080872</v>
      </c>
      <c r="CH10" s="134">
        <f t="shared" ca="1" si="81"/>
        <v>491359.58190211508</v>
      </c>
      <c r="CI10" s="134">
        <f t="shared" ca="1" si="82"/>
        <v>474980.92917204462</v>
      </c>
      <c r="CJ10" s="134">
        <f t="shared" ca="1" si="83"/>
        <v>459148.23153297644</v>
      </c>
      <c r="CK10" s="134">
        <f t="shared" ca="1" si="84"/>
        <v>443843.29048187728</v>
      </c>
      <c r="CL10" s="134">
        <f t="shared" ca="1" si="85"/>
        <v>429048.51413248136</v>
      </c>
      <c r="CM10" s="134">
        <f t="shared" ca="1" si="86"/>
        <v>414746.89699473203</v>
      </c>
      <c r="CN10" s="134">
        <f t="shared" ca="1" si="87"/>
        <v>400922.00042824092</v>
      </c>
      <c r="CO10" s="134">
        <f t="shared" ca="1" si="88"/>
        <v>387557.9337472996</v>
      </c>
      <c r="CP10" s="134">
        <f t="shared" ca="1" si="89"/>
        <v>374639.33595572296</v>
      </c>
      <c r="CQ10" s="134">
        <f t="shared" ca="1" si="90"/>
        <v>362151.35809053219</v>
      </c>
      <c r="CR10" s="134">
        <f t="shared" ca="1" si="91"/>
        <v>350079.6461541811</v>
      </c>
      <c r="CS10" s="134">
        <f t="shared" ca="1" si="92"/>
        <v>338410.32461570838</v>
      </c>
      <c r="CT10" s="134">
        <f t="shared" ca="1" si="93"/>
        <v>327129.98046185146</v>
      </c>
      <c r="CU10" s="134">
        <f t="shared" ca="1" si="94"/>
        <v>316225.64777978975</v>
      </c>
      <c r="CV10" s="134">
        <f t="shared" ca="1" si="95"/>
        <v>305684.79285379674</v>
      </c>
      <c r="CW10" s="134">
        <f t="shared" ca="1" si="96"/>
        <v>295495.29975867015</v>
      </c>
      <c r="CX10" s="134">
        <f t="shared" ca="1" si="97"/>
        <v>285645.45643338113</v>
      </c>
      <c r="CY10" s="134">
        <f t="shared" ca="1" si="98"/>
        <v>276123.94121893513</v>
      </c>
      <c r="CZ10" s="134">
        <f t="shared" ca="1" si="99"/>
        <v>266919.80984497059</v>
      </c>
      <c r="DA10" s="134">
        <f t="shared" ca="1" si="100"/>
        <v>258022.48285013824</v>
      </c>
      <c r="DB10" s="134">
        <f t="shared" ca="1" si="101"/>
        <v>249421.73342180031</v>
      </c>
      <c r="DC10" s="134">
        <f t="shared" ca="1" si="102"/>
        <v>241107.67564107364</v>
      </c>
      <c r="DD10" s="134">
        <f t="shared" ca="1" si="103"/>
        <v>241107.67564107364</v>
      </c>
      <c r="DE10" s="134">
        <f t="shared" ca="1" si="104"/>
        <v>241107.67564107364</v>
      </c>
      <c r="DF10" s="134">
        <f t="shared" ca="1" si="105"/>
        <v>241107.67564107364</v>
      </c>
      <c r="DG10" s="134">
        <f t="shared" ca="1" si="106"/>
        <v>241107.67564107364</v>
      </c>
      <c r="DH10" s="134">
        <f t="shared" ca="1" si="107"/>
        <v>241107.67564107364</v>
      </c>
      <c r="DI10" s="134">
        <f t="shared" ca="1" si="108"/>
        <v>241107.67564107364</v>
      </c>
      <c r="DJ10" s="134">
        <f t="shared" ca="1" si="109"/>
        <v>241107.67564107364</v>
      </c>
      <c r="DK10" s="134">
        <f t="shared" ca="1" si="110"/>
        <v>241107.67564107364</v>
      </c>
      <c r="DL10" s="134">
        <f t="shared" ca="1" si="111"/>
        <v>241107.67564107364</v>
      </c>
      <c r="DM10" s="134">
        <f t="shared" ca="1" si="112"/>
        <v>241107.67564107364</v>
      </c>
      <c r="DN10" s="134">
        <f t="shared" ca="1" si="113"/>
        <v>241107.67564107364</v>
      </c>
      <c r="DO10" s="134">
        <f t="shared" ca="1" si="114"/>
        <v>241107.67564107364</v>
      </c>
      <c r="DP10" s="134">
        <f t="shared" ca="1" si="115"/>
        <v>241107.67564107364</v>
      </c>
      <c r="DQ10" s="134">
        <f t="shared" ca="1" si="116"/>
        <v>241107.67564107364</v>
      </c>
      <c r="DR10" s="134">
        <f t="shared" ca="1" si="117"/>
        <v>241107.67564107364</v>
      </c>
      <c r="DS10" s="134">
        <f t="shared" ca="1" si="118"/>
        <v>241107.67564107364</v>
      </c>
      <c r="DT10" s="134">
        <f t="shared" ca="1" si="119"/>
        <v>241107.67564107364</v>
      </c>
      <c r="DU10" s="134">
        <f t="shared" ca="1" si="120"/>
        <v>241107.67564107364</v>
      </c>
      <c r="DV10" s="134">
        <f t="shared" ca="1" si="121"/>
        <v>241107.67564107364</v>
      </c>
      <c r="DW10" s="134">
        <f t="shared" ca="1" si="122"/>
        <v>241107.67564107364</v>
      </c>
      <c r="DX10" s="134">
        <f t="shared" ca="1" si="123"/>
        <v>241107.67564107364</v>
      </c>
      <c r="DY10" s="134">
        <f t="shared" ca="1" si="124"/>
        <v>241107.67564107364</v>
      </c>
      <c r="DZ10" s="134">
        <f t="shared" ca="1" si="125"/>
        <v>241107.67564107364</v>
      </c>
      <c r="EA10" s="134">
        <f t="shared" ca="1" si="126"/>
        <v>241107.67564107364</v>
      </c>
      <c r="EB10" s="134">
        <f t="shared" ca="1" si="127"/>
        <v>241107.67564107364</v>
      </c>
      <c r="EC10" s="134">
        <f t="shared" ca="1" si="128"/>
        <v>241107.67564107364</v>
      </c>
      <c r="ED10" s="134">
        <f t="shared" ca="1" si="129"/>
        <v>241107.67564107364</v>
      </c>
      <c r="EE10" s="134">
        <f t="shared" ca="1" si="130"/>
        <v>241107.67564107364</v>
      </c>
      <c r="EF10" s="134">
        <f t="shared" ca="1" si="131"/>
        <v>241107.67564107364</v>
      </c>
      <c r="EG10" s="134">
        <f t="shared" ca="1" si="132"/>
        <v>0</v>
      </c>
      <c r="EH10" s="134">
        <f t="shared" ca="1" si="133"/>
        <v>0</v>
      </c>
      <c r="EI10" s="134">
        <f t="shared" ca="1" si="134"/>
        <v>0</v>
      </c>
      <c r="EJ10" s="134">
        <f t="shared" ca="1" si="135"/>
        <v>0</v>
      </c>
      <c r="EK10" s="134">
        <f t="shared" ca="1" si="136"/>
        <v>0</v>
      </c>
      <c r="EL10" s="134">
        <f t="shared" ca="1" si="137"/>
        <v>0</v>
      </c>
      <c r="EM10" s="134">
        <f t="shared" ca="1" si="138"/>
        <v>0</v>
      </c>
      <c r="EN10" s="134">
        <f t="shared" ca="1" si="139"/>
        <v>0</v>
      </c>
      <c r="EO10" s="134">
        <f t="shared" ca="1" si="140"/>
        <v>0</v>
      </c>
      <c r="EP10" s="134">
        <f t="shared" ca="1" si="141"/>
        <v>0</v>
      </c>
      <c r="EQ10" s="134">
        <f t="shared" ca="1" si="142"/>
        <v>0</v>
      </c>
      <c r="ER10" s="134">
        <f t="shared" ca="1" si="143"/>
        <v>0</v>
      </c>
      <c r="ES10" s="134">
        <f t="shared" ca="1" si="144"/>
        <v>0</v>
      </c>
      <c r="ET10" s="134">
        <f t="shared" ca="1" si="145"/>
        <v>0</v>
      </c>
      <c r="EU10" s="134">
        <f t="shared" ca="1" si="146"/>
        <v>0</v>
      </c>
      <c r="EV10" s="134">
        <f t="shared" ca="1" si="147"/>
        <v>0</v>
      </c>
      <c r="EW10" s="134">
        <f t="shared" ca="1" si="148"/>
        <v>0</v>
      </c>
      <c r="EX10" s="134">
        <f t="shared" ca="1" si="149"/>
        <v>0</v>
      </c>
      <c r="EY10" s="134">
        <f t="shared" ca="1" si="150"/>
        <v>0</v>
      </c>
      <c r="EZ10" s="134">
        <f t="shared" ca="1" si="151"/>
        <v>0</v>
      </c>
      <c r="FA10" s="134">
        <f t="shared" ca="1" si="152"/>
        <v>0</v>
      </c>
      <c r="FB10" s="134">
        <f t="shared" ca="1" si="153"/>
        <v>0</v>
      </c>
      <c r="FC10" s="134">
        <f t="shared" ca="1" si="154"/>
        <v>0</v>
      </c>
      <c r="FD10" s="134">
        <f t="shared" ca="1" si="155"/>
        <v>0</v>
      </c>
      <c r="FE10" s="134">
        <f t="shared" ca="1" si="156"/>
        <v>0</v>
      </c>
      <c r="FF10" s="134">
        <f t="shared" ca="1" si="157"/>
        <v>0</v>
      </c>
      <c r="FG10" s="134">
        <f t="shared" ca="1" si="158"/>
        <v>0</v>
      </c>
      <c r="FH10" s="134">
        <f t="shared" ca="1" si="159"/>
        <v>0</v>
      </c>
      <c r="FI10" s="134">
        <f t="shared" ca="1" si="160"/>
        <v>0</v>
      </c>
      <c r="FJ10" s="134">
        <f t="shared" ca="1" si="161"/>
        <v>0</v>
      </c>
      <c r="FK10" s="134">
        <f t="shared" ca="1" si="162"/>
        <v>0</v>
      </c>
      <c r="FL10" s="134">
        <f t="shared" ca="1" si="163"/>
        <v>0</v>
      </c>
      <c r="FM10" s="134">
        <f t="shared" ca="1" si="164"/>
        <v>0</v>
      </c>
      <c r="FN10" s="134">
        <f t="shared" ca="1" si="165"/>
        <v>0</v>
      </c>
      <c r="FO10" s="134">
        <f t="shared" ca="1" si="166"/>
        <v>0</v>
      </c>
      <c r="FP10" s="134">
        <f t="shared" ca="1" si="167"/>
        <v>0</v>
      </c>
      <c r="FQ10" s="134">
        <f t="shared" ca="1" si="168"/>
        <v>0</v>
      </c>
      <c r="FR10" s="134">
        <f t="shared" ca="1" si="169"/>
        <v>0</v>
      </c>
      <c r="FS10" s="134">
        <f t="shared" ca="1" si="170"/>
        <v>0</v>
      </c>
      <c r="FT10" s="134">
        <f t="shared" ca="1" si="171"/>
        <v>0</v>
      </c>
      <c r="FU10" s="134">
        <f t="shared" ca="1" si="172"/>
        <v>0</v>
      </c>
      <c r="FV10" s="134">
        <f t="shared" ca="1" si="173"/>
        <v>0</v>
      </c>
      <c r="FW10" s="134">
        <f t="shared" ca="1" si="174"/>
        <v>0</v>
      </c>
      <c r="FX10" s="134">
        <f t="shared" ca="1" si="175"/>
        <v>0</v>
      </c>
      <c r="FY10" s="134">
        <f t="shared" ca="1" si="176"/>
        <v>0</v>
      </c>
      <c r="FZ10" s="134">
        <f t="shared" ca="1" si="177"/>
        <v>0</v>
      </c>
      <c r="GA10" s="134">
        <f t="shared" ca="1" si="178"/>
        <v>0</v>
      </c>
      <c r="GB10" s="134">
        <f t="shared" ca="1" si="179"/>
        <v>0</v>
      </c>
      <c r="GC10" s="134">
        <f t="shared" ca="1" si="180"/>
        <v>0</v>
      </c>
      <c r="GD10" s="134">
        <f t="shared" ca="1" si="181"/>
        <v>0</v>
      </c>
      <c r="GE10" s="134">
        <f t="shared" ca="1" si="182"/>
        <v>0</v>
      </c>
      <c r="GF10" s="134">
        <f t="shared" ca="1" si="183"/>
        <v>0</v>
      </c>
      <c r="GG10" s="134">
        <f t="shared" ca="1" si="184"/>
        <v>0</v>
      </c>
      <c r="GH10" s="134">
        <f t="shared" ca="1" si="185"/>
        <v>0</v>
      </c>
      <c r="GI10" s="134">
        <f t="shared" ca="1" si="186"/>
        <v>0</v>
      </c>
      <c r="GJ10" s="134">
        <f t="shared" ca="1" si="187"/>
        <v>0</v>
      </c>
      <c r="GK10" s="134">
        <f t="shared" ca="1" si="188"/>
        <v>0</v>
      </c>
      <c r="GL10" s="134">
        <f t="shared" ca="1" si="189"/>
        <v>0</v>
      </c>
      <c r="GM10" s="134">
        <f t="shared" ca="1" si="190"/>
        <v>0</v>
      </c>
      <c r="GN10" s="134">
        <f t="shared" ca="1" si="191"/>
        <v>0</v>
      </c>
      <c r="GO10" s="134">
        <f t="shared" ca="1" si="192"/>
        <v>0</v>
      </c>
      <c r="GP10" s="134">
        <f t="shared" ca="1" si="193"/>
        <v>0</v>
      </c>
      <c r="GQ10" s="134">
        <f t="shared" ca="1" si="194"/>
        <v>0</v>
      </c>
      <c r="GR10" s="134">
        <f t="shared" ca="1" si="195"/>
        <v>0</v>
      </c>
      <c r="GS10" s="134">
        <f t="shared" ca="1" si="196"/>
        <v>0</v>
      </c>
      <c r="GT10" s="134">
        <f t="shared" ca="1" si="197"/>
        <v>0</v>
      </c>
      <c r="GU10" s="134">
        <f t="shared" ca="1" si="198"/>
        <v>0</v>
      </c>
      <c r="GV10" s="134">
        <f t="shared" ca="1" si="199"/>
        <v>0</v>
      </c>
      <c r="GW10" s="134">
        <f t="shared" ca="1" si="200"/>
        <v>0</v>
      </c>
      <c r="GX10" s="134">
        <f t="shared" ca="1" si="201"/>
        <v>0</v>
      </c>
      <c r="GY10" s="134">
        <f t="shared" ca="1" si="202"/>
        <v>0</v>
      </c>
      <c r="GZ10" s="134">
        <f t="shared" ca="1" si="203"/>
        <v>0</v>
      </c>
      <c r="HA10" s="134">
        <f t="shared" ca="1" si="204"/>
        <v>0</v>
      </c>
      <c r="HB10" s="134">
        <f t="shared" ca="1" si="205"/>
        <v>0</v>
      </c>
      <c r="HC10" s="134">
        <f t="shared" ca="1" si="206"/>
        <v>0</v>
      </c>
      <c r="HD10" s="134">
        <f t="shared" ca="1" si="207"/>
        <v>0</v>
      </c>
      <c r="HE10" s="134">
        <f t="shared" ca="1" si="208"/>
        <v>0</v>
      </c>
      <c r="HF10" s="134">
        <f t="shared" ca="1" si="209"/>
        <v>0</v>
      </c>
      <c r="HG10" s="134">
        <f t="shared" ca="1" si="210"/>
        <v>0</v>
      </c>
      <c r="HH10" s="134">
        <f t="shared" ca="1" si="211"/>
        <v>0</v>
      </c>
      <c r="HI10" s="134">
        <f t="shared" ca="1" si="212"/>
        <v>0</v>
      </c>
      <c r="HJ10" s="134">
        <f t="shared" ca="1" si="213"/>
        <v>0</v>
      </c>
      <c r="HK10" s="134">
        <f t="shared" ca="1" si="214"/>
        <v>0</v>
      </c>
      <c r="HL10" s="134">
        <f t="shared" ca="1" si="215"/>
        <v>0</v>
      </c>
      <c r="HM10" s="134">
        <f t="shared" ca="1" si="216"/>
        <v>0</v>
      </c>
      <c r="HN10" s="134">
        <f t="shared" ca="1" si="217"/>
        <v>0</v>
      </c>
      <c r="HO10" s="134">
        <f t="shared" ca="1" si="218"/>
        <v>0</v>
      </c>
      <c r="HP10" s="134">
        <f t="shared" ca="1" si="219"/>
        <v>0</v>
      </c>
      <c r="HQ10" s="134">
        <f t="shared" ca="1" si="220"/>
        <v>0</v>
      </c>
      <c r="HR10" s="134">
        <f t="shared" ca="1" si="221"/>
        <v>0</v>
      </c>
      <c r="HS10" s="134">
        <f t="shared" ca="1" si="222"/>
        <v>0</v>
      </c>
      <c r="HT10" s="134">
        <f t="shared" ca="1" si="223"/>
        <v>0</v>
      </c>
      <c r="HU10" s="134">
        <f t="shared" ca="1" si="224"/>
        <v>0</v>
      </c>
      <c r="HV10" s="134">
        <f t="shared" ca="1" si="225"/>
        <v>0</v>
      </c>
      <c r="HW10" s="134">
        <f t="shared" ca="1" si="226"/>
        <v>0</v>
      </c>
      <c r="HX10" s="134">
        <f t="shared" ca="1" si="227"/>
        <v>0</v>
      </c>
      <c r="HY10" s="134">
        <f t="shared" ca="1" si="228"/>
        <v>0</v>
      </c>
      <c r="HZ10" s="134">
        <f t="shared" ca="1" si="229"/>
        <v>0</v>
      </c>
      <c r="IA10" s="134">
        <f t="shared" ca="1" si="230"/>
        <v>0</v>
      </c>
      <c r="IB10" s="134">
        <f t="shared" ca="1" si="231"/>
        <v>0</v>
      </c>
      <c r="IC10" s="134">
        <f t="shared" ca="1" si="232"/>
        <v>0</v>
      </c>
      <c r="ID10" s="134">
        <f t="shared" ca="1" si="233"/>
        <v>0</v>
      </c>
      <c r="IE10" s="134">
        <f t="shared" ca="1" si="234"/>
        <v>0</v>
      </c>
      <c r="IF10" s="134">
        <f t="shared" ca="1" si="235"/>
        <v>0</v>
      </c>
      <c r="IG10" s="134">
        <f t="shared" ca="1" si="236"/>
        <v>0</v>
      </c>
      <c r="IH10" s="134">
        <f t="shared" ca="1" si="237"/>
        <v>0</v>
      </c>
      <c r="II10" s="134">
        <f t="shared" ca="1" si="238"/>
        <v>0</v>
      </c>
      <c r="IJ10" s="135">
        <f t="shared" ca="1" si="239"/>
        <v>0</v>
      </c>
      <c r="IK10" s="132">
        <f t="shared" ca="1" si="240"/>
        <v>20000000</v>
      </c>
    </row>
    <row r="11" spans="1:245" x14ac:dyDescent="0.45">
      <c r="A11" s="67">
        <v>2022</v>
      </c>
      <c r="B11" s="112"/>
      <c r="C11" s="3">
        <f ca="1">INT(SUM(OFFSET('CAPEX Schedule'!$C$8,0,($A11-$A$4)*12):OFFSET('CAPEX Schedule'!$C$8,0,($A11-$A$4)*12+11)))</f>
        <v>0</v>
      </c>
      <c r="D11" s="3">
        <f ca="1">INT(SUM(OFFSET('CAPEX Schedule'!$C$13,0,($A11-$A$4)*12):OFFSET('CAPEX Schedule'!$C$13,0,($A11-$A$4)*12+11)))-C11</f>
        <v>0</v>
      </c>
      <c r="E11" s="130">
        <f t="shared" si="0"/>
        <v>0</v>
      </c>
      <c r="F11" s="134">
        <f t="shared" si="1"/>
        <v>0</v>
      </c>
      <c r="G11" s="134">
        <f t="shared" si="2"/>
        <v>0</v>
      </c>
      <c r="H11" s="134">
        <f t="shared" si="3"/>
        <v>0</v>
      </c>
      <c r="I11" s="134">
        <f t="shared" si="4"/>
        <v>0</v>
      </c>
      <c r="J11" s="134">
        <f t="shared" si="5"/>
        <v>0</v>
      </c>
      <c r="K11" s="134">
        <f t="shared" si="6"/>
        <v>0</v>
      </c>
      <c r="L11" s="134">
        <f t="shared" si="7"/>
        <v>0</v>
      </c>
      <c r="M11" s="134">
        <f t="shared" si="8"/>
        <v>0</v>
      </c>
      <c r="N11" s="134">
        <f t="shared" si="9"/>
        <v>0</v>
      </c>
      <c r="O11" s="134">
        <f t="shared" si="10"/>
        <v>0</v>
      </c>
      <c r="P11" s="134">
        <f t="shared" si="11"/>
        <v>0</v>
      </c>
      <c r="Q11" s="134">
        <f t="shared" si="12"/>
        <v>0</v>
      </c>
      <c r="R11" s="134">
        <f t="shared" si="13"/>
        <v>0</v>
      </c>
      <c r="S11" s="134">
        <f t="shared" si="14"/>
        <v>0</v>
      </c>
      <c r="T11" s="134">
        <f t="shared" si="15"/>
        <v>0</v>
      </c>
      <c r="U11" s="134">
        <f t="shared" si="16"/>
        <v>0</v>
      </c>
      <c r="V11" s="134">
        <f t="shared" si="17"/>
        <v>0</v>
      </c>
      <c r="W11" s="134">
        <f t="shared" si="18"/>
        <v>0</v>
      </c>
      <c r="X11" s="134">
        <f t="shared" si="19"/>
        <v>0</v>
      </c>
      <c r="Y11" s="134">
        <f t="shared" si="20"/>
        <v>0</v>
      </c>
      <c r="Z11" s="134">
        <f t="shared" si="21"/>
        <v>0</v>
      </c>
      <c r="AA11" s="134">
        <f t="shared" si="22"/>
        <v>0</v>
      </c>
      <c r="AB11" s="134">
        <f t="shared" si="23"/>
        <v>0</v>
      </c>
      <c r="AC11" s="134">
        <f t="shared" si="24"/>
        <v>0</v>
      </c>
      <c r="AD11" s="134">
        <f t="shared" si="25"/>
        <v>0</v>
      </c>
      <c r="AE11" s="134">
        <f t="shared" si="26"/>
        <v>0</v>
      </c>
      <c r="AF11" s="134">
        <f t="shared" si="27"/>
        <v>0</v>
      </c>
      <c r="AG11" s="134">
        <f t="shared" si="28"/>
        <v>0</v>
      </c>
      <c r="AH11" s="134">
        <f t="shared" si="29"/>
        <v>0</v>
      </c>
      <c r="AI11" s="134">
        <f t="shared" si="30"/>
        <v>0</v>
      </c>
      <c r="AJ11" s="134">
        <f t="shared" si="31"/>
        <v>0</v>
      </c>
      <c r="AK11" s="134">
        <f t="shared" si="32"/>
        <v>0</v>
      </c>
      <c r="AL11" s="134">
        <f t="shared" si="33"/>
        <v>0</v>
      </c>
      <c r="AM11" s="134">
        <f t="shared" si="34"/>
        <v>0</v>
      </c>
      <c r="AN11" s="134">
        <f t="shared" si="35"/>
        <v>0</v>
      </c>
      <c r="AO11" s="134">
        <f t="shared" si="36"/>
        <v>0</v>
      </c>
      <c r="AP11" s="134">
        <f t="shared" si="37"/>
        <v>0</v>
      </c>
      <c r="AQ11" s="134">
        <f t="shared" si="38"/>
        <v>0</v>
      </c>
      <c r="AR11" s="134">
        <f t="shared" si="39"/>
        <v>0</v>
      </c>
      <c r="AS11" s="134">
        <f t="shared" si="40"/>
        <v>0</v>
      </c>
      <c r="AT11" s="134">
        <f t="shared" si="41"/>
        <v>0</v>
      </c>
      <c r="AU11" s="134">
        <f t="shared" si="42"/>
        <v>0</v>
      </c>
      <c r="AV11" s="134">
        <f t="shared" si="43"/>
        <v>0</v>
      </c>
      <c r="AW11" s="134">
        <f t="shared" si="44"/>
        <v>0</v>
      </c>
      <c r="AX11" s="134">
        <f t="shared" si="45"/>
        <v>0</v>
      </c>
      <c r="AY11" s="134">
        <f t="shared" si="46"/>
        <v>0</v>
      </c>
      <c r="AZ11" s="134">
        <f t="shared" si="47"/>
        <v>0</v>
      </c>
      <c r="BA11" s="134">
        <f t="shared" si="48"/>
        <v>0</v>
      </c>
      <c r="BB11" s="134">
        <f t="shared" si="49"/>
        <v>0</v>
      </c>
      <c r="BC11" s="134">
        <f t="shared" si="50"/>
        <v>0</v>
      </c>
      <c r="BD11" s="134">
        <f t="shared" si="51"/>
        <v>0</v>
      </c>
      <c r="BE11" s="134">
        <f t="shared" si="52"/>
        <v>0</v>
      </c>
      <c r="BF11" s="134">
        <f t="shared" si="53"/>
        <v>0</v>
      </c>
      <c r="BG11" s="134">
        <f t="shared" si="54"/>
        <v>0</v>
      </c>
      <c r="BH11" s="134">
        <f t="shared" si="55"/>
        <v>0</v>
      </c>
      <c r="BI11" s="134">
        <f t="shared" si="56"/>
        <v>0</v>
      </c>
      <c r="BJ11" s="134">
        <f t="shared" si="57"/>
        <v>0</v>
      </c>
      <c r="BK11" s="134">
        <f t="shared" si="58"/>
        <v>0</v>
      </c>
      <c r="BL11" s="134">
        <f t="shared" si="59"/>
        <v>0</v>
      </c>
      <c r="BM11" s="134">
        <f t="shared" si="60"/>
        <v>0</v>
      </c>
      <c r="BN11" s="134">
        <f t="shared" si="61"/>
        <v>0</v>
      </c>
      <c r="BO11" s="134">
        <f t="shared" si="62"/>
        <v>0</v>
      </c>
      <c r="BP11" s="134">
        <f t="shared" si="63"/>
        <v>0</v>
      </c>
      <c r="BQ11" s="134">
        <f t="shared" si="64"/>
        <v>0</v>
      </c>
      <c r="BR11" s="134">
        <f t="shared" si="65"/>
        <v>0</v>
      </c>
      <c r="BS11" s="134">
        <f t="shared" si="66"/>
        <v>0</v>
      </c>
      <c r="BT11" s="134">
        <f t="shared" si="67"/>
        <v>0</v>
      </c>
      <c r="BU11" s="134">
        <f t="shared" si="68"/>
        <v>0</v>
      </c>
      <c r="BV11" s="134">
        <f t="shared" si="69"/>
        <v>0</v>
      </c>
      <c r="BW11" s="134">
        <f t="shared" si="70"/>
        <v>0</v>
      </c>
      <c r="BX11" s="134">
        <f t="shared" si="71"/>
        <v>0</v>
      </c>
      <c r="BY11" s="134">
        <f t="shared" si="72"/>
        <v>0</v>
      </c>
      <c r="BZ11" s="134">
        <f t="shared" si="73"/>
        <v>0</v>
      </c>
      <c r="CA11" s="134">
        <f t="shared" si="74"/>
        <v>0</v>
      </c>
      <c r="CB11" s="134">
        <f t="shared" si="75"/>
        <v>0</v>
      </c>
      <c r="CC11" s="134">
        <f t="shared" si="76"/>
        <v>0</v>
      </c>
      <c r="CD11" s="134">
        <f t="shared" si="77"/>
        <v>0</v>
      </c>
      <c r="CE11" s="134">
        <f t="shared" si="78"/>
        <v>0</v>
      </c>
      <c r="CF11" s="134">
        <f t="shared" si="79"/>
        <v>0</v>
      </c>
      <c r="CG11" s="134">
        <f t="shared" si="80"/>
        <v>0</v>
      </c>
      <c r="CH11" s="134">
        <f t="shared" si="81"/>
        <v>0</v>
      </c>
      <c r="CI11" s="134">
        <f t="shared" si="82"/>
        <v>0</v>
      </c>
      <c r="CJ11" s="134">
        <f t="shared" si="83"/>
        <v>0</v>
      </c>
      <c r="CK11" s="134">
        <f t="shared" ca="1" si="84"/>
        <v>0</v>
      </c>
      <c r="CL11" s="134">
        <f t="shared" ca="1" si="85"/>
        <v>0</v>
      </c>
      <c r="CM11" s="134">
        <f t="shared" ca="1" si="86"/>
        <v>0</v>
      </c>
      <c r="CN11" s="134">
        <f t="shared" ca="1" si="87"/>
        <v>0</v>
      </c>
      <c r="CO11" s="134">
        <f t="shared" ca="1" si="88"/>
        <v>0</v>
      </c>
      <c r="CP11" s="134">
        <f t="shared" ca="1" si="89"/>
        <v>0</v>
      </c>
      <c r="CQ11" s="134">
        <f t="shared" ca="1" si="90"/>
        <v>0</v>
      </c>
      <c r="CR11" s="134">
        <f t="shared" ca="1" si="91"/>
        <v>0</v>
      </c>
      <c r="CS11" s="134">
        <f t="shared" ca="1" si="92"/>
        <v>0</v>
      </c>
      <c r="CT11" s="134">
        <f t="shared" ca="1" si="93"/>
        <v>0</v>
      </c>
      <c r="CU11" s="134">
        <f t="shared" ca="1" si="94"/>
        <v>0</v>
      </c>
      <c r="CV11" s="134">
        <f t="shared" ca="1" si="95"/>
        <v>0</v>
      </c>
      <c r="CW11" s="134">
        <f t="shared" ca="1" si="96"/>
        <v>0</v>
      </c>
      <c r="CX11" s="134">
        <f t="shared" ca="1" si="97"/>
        <v>0</v>
      </c>
      <c r="CY11" s="134">
        <f t="shared" ca="1" si="98"/>
        <v>0</v>
      </c>
      <c r="CZ11" s="134">
        <f t="shared" ca="1" si="99"/>
        <v>0</v>
      </c>
      <c r="DA11" s="134">
        <f t="shared" ca="1" si="100"/>
        <v>0</v>
      </c>
      <c r="DB11" s="134">
        <f t="shared" ca="1" si="101"/>
        <v>0</v>
      </c>
      <c r="DC11" s="134">
        <f t="shared" ca="1" si="102"/>
        <v>0</v>
      </c>
      <c r="DD11" s="134">
        <f t="shared" ca="1" si="103"/>
        <v>0</v>
      </c>
      <c r="DE11" s="134">
        <f t="shared" ca="1" si="104"/>
        <v>0</v>
      </c>
      <c r="DF11" s="134">
        <f t="shared" ca="1" si="105"/>
        <v>0</v>
      </c>
      <c r="DG11" s="134">
        <f t="shared" ca="1" si="106"/>
        <v>0</v>
      </c>
      <c r="DH11" s="134">
        <f t="shared" ca="1" si="107"/>
        <v>0</v>
      </c>
      <c r="DI11" s="134">
        <f t="shared" ca="1" si="108"/>
        <v>0</v>
      </c>
      <c r="DJ11" s="134">
        <f t="shared" ca="1" si="109"/>
        <v>0</v>
      </c>
      <c r="DK11" s="134">
        <f t="shared" ca="1" si="110"/>
        <v>0</v>
      </c>
      <c r="DL11" s="134">
        <f t="shared" ca="1" si="111"/>
        <v>0</v>
      </c>
      <c r="DM11" s="134">
        <f t="shared" ca="1" si="112"/>
        <v>0</v>
      </c>
      <c r="DN11" s="134">
        <f t="shared" ca="1" si="113"/>
        <v>0</v>
      </c>
      <c r="DO11" s="134">
        <f t="shared" ca="1" si="114"/>
        <v>0</v>
      </c>
      <c r="DP11" s="134">
        <f t="shared" ca="1" si="115"/>
        <v>0</v>
      </c>
      <c r="DQ11" s="134">
        <f t="shared" ca="1" si="116"/>
        <v>0</v>
      </c>
      <c r="DR11" s="134">
        <f t="shared" ca="1" si="117"/>
        <v>0</v>
      </c>
      <c r="DS11" s="134">
        <f t="shared" ca="1" si="118"/>
        <v>0</v>
      </c>
      <c r="DT11" s="134">
        <f t="shared" ca="1" si="119"/>
        <v>0</v>
      </c>
      <c r="DU11" s="134">
        <f t="shared" ca="1" si="120"/>
        <v>0</v>
      </c>
      <c r="DV11" s="134">
        <f t="shared" ca="1" si="121"/>
        <v>0</v>
      </c>
      <c r="DW11" s="134">
        <f t="shared" ca="1" si="122"/>
        <v>0</v>
      </c>
      <c r="DX11" s="134">
        <f t="shared" ca="1" si="123"/>
        <v>0</v>
      </c>
      <c r="DY11" s="134">
        <f t="shared" ca="1" si="124"/>
        <v>0</v>
      </c>
      <c r="DZ11" s="134">
        <f t="shared" ca="1" si="125"/>
        <v>0</v>
      </c>
      <c r="EA11" s="134">
        <f t="shared" ca="1" si="126"/>
        <v>0</v>
      </c>
      <c r="EB11" s="134">
        <f t="shared" ca="1" si="127"/>
        <v>0</v>
      </c>
      <c r="EC11" s="134">
        <f t="shared" ca="1" si="128"/>
        <v>0</v>
      </c>
      <c r="ED11" s="134">
        <f t="shared" ca="1" si="129"/>
        <v>0</v>
      </c>
      <c r="EE11" s="134">
        <f t="shared" ca="1" si="130"/>
        <v>0</v>
      </c>
      <c r="EF11" s="134">
        <f t="shared" ca="1" si="131"/>
        <v>0</v>
      </c>
      <c r="EG11" s="134">
        <f t="shared" ca="1" si="132"/>
        <v>0</v>
      </c>
      <c r="EH11" s="134">
        <f t="shared" ca="1" si="133"/>
        <v>0</v>
      </c>
      <c r="EI11" s="134">
        <f t="shared" ca="1" si="134"/>
        <v>0</v>
      </c>
      <c r="EJ11" s="134">
        <f t="shared" ca="1" si="135"/>
        <v>0</v>
      </c>
      <c r="EK11" s="134">
        <f t="shared" ca="1" si="136"/>
        <v>0</v>
      </c>
      <c r="EL11" s="134">
        <f t="shared" ca="1" si="137"/>
        <v>0</v>
      </c>
      <c r="EM11" s="134">
        <f t="shared" ca="1" si="138"/>
        <v>0</v>
      </c>
      <c r="EN11" s="134">
        <f t="shared" ca="1" si="139"/>
        <v>0</v>
      </c>
      <c r="EO11" s="134">
        <f t="shared" ca="1" si="140"/>
        <v>0</v>
      </c>
      <c r="EP11" s="134">
        <f t="shared" ca="1" si="141"/>
        <v>0</v>
      </c>
      <c r="EQ11" s="134">
        <f t="shared" ca="1" si="142"/>
        <v>0</v>
      </c>
      <c r="ER11" s="134">
        <f t="shared" ca="1" si="143"/>
        <v>0</v>
      </c>
      <c r="ES11" s="134">
        <f t="shared" ca="1" si="144"/>
        <v>0</v>
      </c>
      <c r="ET11" s="134">
        <f t="shared" ca="1" si="145"/>
        <v>0</v>
      </c>
      <c r="EU11" s="134">
        <f t="shared" ca="1" si="146"/>
        <v>0</v>
      </c>
      <c r="EV11" s="134">
        <f t="shared" ca="1" si="147"/>
        <v>0</v>
      </c>
      <c r="EW11" s="134">
        <f t="shared" ca="1" si="148"/>
        <v>0</v>
      </c>
      <c r="EX11" s="134">
        <f t="shared" ca="1" si="149"/>
        <v>0</v>
      </c>
      <c r="EY11" s="134">
        <f t="shared" ca="1" si="150"/>
        <v>0</v>
      </c>
      <c r="EZ11" s="134">
        <f t="shared" ca="1" si="151"/>
        <v>0</v>
      </c>
      <c r="FA11" s="134">
        <f t="shared" ca="1" si="152"/>
        <v>0</v>
      </c>
      <c r="FB11" s="134">
        <f t="shared" ca="1" si="153"/>
        <v>0</v>
      </c>
      <c r="FC11" s="134">
        <f t="shared" ca="1" si="154"/>
        <v>0</v>
      </c>
      <c r="FD11" s="134">
        <f t="shared" ca="1" si="155"/>
        <v>0</v>
      </c>
      <c r="FE11" s="134">
        <f t="shared" ca="1" si="156"/>
        <v>0</v>
      </c>
      <c r="FF11" s="134">
        <f t="shared" ca="1" si="157"/>
        <v>0</v>
      </c>
      <c r="FG11" s="134">
        <f t="shared" ca="1" si="158"/>
        <v>0</v>
      </c>
      <c r="FH11" s="134">
        <f t="shared" ca="1" si="159"/>
        <v>0</v>
      </c>
      <c r="FI11" s="134">
        <f t="shared" ca="1" si="160"/>
        <v>0</v>
      </c>
      <c r="FJ11" s="134">
        <f t="shared" ca="1" si="161"/>
        <v>0</v>
      </c>
      <c r="FK11" s="134">
        <f t="shared" ca="1" si="162"/>
        <v>0</v>
      </c>
      <c r="FL11" s="134">
        <f t="shared" ca="1" si="163"/>
        <v>0</v>
      </c>
      <c r="FM11" s="134">
        <f t="shared" ca="1" si="164"/>
        <v>0</v>
      </c>
      <c r="FN11" s="134">
        <f t="shared" ca="1" si="165"/>
        <v>0</v>
      </c>
      <c r="FO11" s="134">
        <f t="shared" ca="1" si="166"/>
        <v>0</v>
      </c>
      <c r="FP11" s="134">
        <f t="shared" ca="1" si="167"/>
        <v>0</v>
      </c>
      <c r="FQ11" s="134">
        <f t="shared" ca="1" si="168"/>
        <v>0</v>
      </c>
      <c r="FR11" s="134">
        <f t="shared" ca="1" si="169"/>
        <v>0</v>
      </c>
      <c r="FS11" s="134">
        <f t="shared" ca="1" si="170"/>
        <v>0</v>
      </c>
      <c r="FT11" s="134">
        <f t="shared" ca="1" si="171"/>
        <v>0</v>
      </c>
      <c r="FU11" s="134">
        <f t="shared" ca="1" si="172"/>
        <v>0</v>
      </c>
      <c r="FV11" s="134">
        <f t="shared" ca="1" si="173"/>
        <v>0</v>
      </c>
      <c r="FW11" s="134">
        <f t="shared" ca="1" si="174"/>
        <v>0</v>
      </c>
      <c r="FX11" s="134">
        <f t="shared" ca="1" si="175"/>
        <v>0</v>
      </c>
      <c r="FY11" s="134">
        <f t="shared" ca="1" si="176"/>
        <v>0</v>
      </c>
      <c r="FZ11" s="134">
        <f t="shared" ca="1" si="177"/>
        <v>0</v>
      </c>
      <c r="GA11" s="134">
        <f t="shared" ca="1" si="178"/>
        <v>0</v>
      </c>
      <c r="GB11" s="134">
        <f t="shared" ca="1" si="179"/>
        <v>0</v>
      </c>
      <c r="GC11" s="134">
        <f t="shared" ca="1" si="180"/>
        <v>0</v>
      </c>
      <c r="GD11" s="134">
        <f t="shared" ca="1" si="181"/>
        <v>0</v>
      </c>
      <c r="GE11" s="134">
        <f t="shared" ca="1" si="182"/>
        <v>0</v>
      </c>
      <c r="GF11" s="134">
        <f t="shared" ca="1" si="183"/>
        <v>0</v>
      </c>
      <c r="GG11" s="134">
        <f t="shared" ca="1" si="184"/>
        <v>0</v>
      </c>
      <c r="GH11" s="134">
        <f t="shared" ca="1" si="185"/>
        <v>0</v>
      </c>
      <c r="GI11" s="134">
        <f t="shared" ca="1" si="186"/>
        <v>0</v>
      </c>
      <c r="GJ11" s="134">
        <f t="shared" ca="1" si="187"/>
        <v>0</v>
      </c>
      <c r="GK11" s="134">
        <f t="shared" ca="1" si="188"/>
        <v>0</v>
      </c>
      <c r="GL11" s="134">
        <f t="shared" ca="1" si="189"/>
        <v>0</v>
      </c>
      <c r="GM11" s="134">
        <f t="shared" ca="1" si="190"/>
        <v>0</v>
      </c>
      <c r="GN11" s="134">
        <f t="shared" ca="1" si="191"/>
        <v>0</v>
      </c>
      <c r="GO11" s="134">
        <f t="shared" ca="1" si="192"/>
        <v>0</v>
      </c>
      <c r="GP11" s="134">
        <f t="shared" ca="1" si="193"/>
        <v>0</v>
      </c>
      <c r="GQ11" s="134">
        <f t="shared" ca="1" si="194"/>
        <v>0</v>
      </c>
      <c r="GR11" s="134">
        <f t="shared" ca="1" si="195"/>
        <v>0</v>
      </c>
      <c r="GS11" s="134">
        <f t="shared" ca="1" si="196"/>
        <v>0</v>
      </c>
      <c r="GT11" s="134">
        <f t="shared" ca="1" si="197"/>
        <v>0</v>
      </c>
      <c r="GU11" s="134">
        <f t="shared" ca="1" si="198"/>
        <v>0</v>
      </c>
      <c r="GV11" s="134">
        <f t="shared" ca="1" si="199"/>
        <v>0</v>
      </c>
      <c r="GW11" s="134">
        <f t="shared" ca="1" si="200"/>
        <v>0</v>
      </c>
      <c r="GX11" s="134">
        <f t="shared" ca="1" si="201"/>
        <v>0</v>
      </c>
      <c r="GY11" s="134">
        <f t="shared" ca="1" si="202"/>
        <v>0</v>
      </c>
      <c r="GZ11" s="134">
        <f t="shared" ca="1" si="203"/>
        <v>0</v>
      </c>
      <c r="HA11" s="134">
        <f t="shared" ca="1" si="204"/>
        <v>0</v>
      </c>
      <c r="HB11" s="134">
        <f t="shared" ca="1" si="205"/>
        <v>0</v>
      </c>
      <c r="HC11" s="134">
        <f t="shared" ca="1" si="206"/>
        <v>0</v>
      </c>
      <c r="HD11" s="134">
        <f t="shared" ca="1" si="207"/>
        <v>0</v>
      </c>
      <c r="HE11" s="134">
        <f t="shared" ca="1" si="208"/>
        <v>0</v>
      </c>
      <c r="HF11" s="134">
        <f t="shared" ca="1" si="209"/>
        <v>0</v>
      </c>
      <c r="HG11" s="134">
        <f t="shared" ca="1" si="210"/>
        <v>0</v>
      </c>
      <c r="HH11" s="134">
        <f t="shared" ca="1" si="211"/>
        <v>0</v>
      </c>
      <c r="HI11" s="134">
        <f t="shared" ca="1" si="212"/>
        <v>0</v>
      </c>
      <c r="HJ11" s="134">
        <f t="shared" ca="1" si="213"/>
        <v>0</v>
      </c>
      <c r="HK11" s="134">
        <f t="shared" ca="1" si="214"/>
        <v>0</v>
      </c>
      <c r="HL11" s="134">
        <f t="shared" ca="1" si="215"/>
        <v>0</v>
      </c>
      <c r="HM11" s="134">
        <f t="shared" ca="1" si="216"/>
        <v>0</v>
      </c>
      <c r="HN11" s="134">
        <f t="shared" ca="1" si="217"/>
        <v>0</v>
      </c>
      <c r="HO11" s="134">
        <f t="shared" ca="1" si="218"/>
        <v>0</v>
      </c>
      <c r="HP11" s="134">
        <f t="shared" ca="1" si="219"/>
        <v>0</v>
      </c>
      <c r="HQ11" s="134">
        <f t="shared" ca="1" si="220"/>
        <v>0</v>
      </c>
      <c r="HR11" s="134">
        <f t="shared" ca="1" si="221"/>
        <v>0</v>
      </c>
      <c r="HS11" s="134">
        <f t="shared" ca="1" si="222"/>
        <v>0</v>
      </c>
      <c r="HT11" s="134">
        <f t="shared" ca="1" si="223"/>
        <v>0</v>
      </c>
      <c r="HU11" s="134">
        <f t="shared" ca="1" si="224"/>
        <v>0</v>
      </c>
      <c r="HV11" s="134">
        <f t="shared" ca="1" si="225"/>
        <v>0</v>
      </c>
      <c r="HW11" s="134">
        <f t="shared" ca="1" si="226"/>
        <v>0</v>
      </c>
      <c r="HX11" s="134">
        <f t="shared" ca="1" si="227"/>
        <v>0</v>
      </c>
      <c r="HY11" s="134">
        <f t="shared" ca="1" si="228"/>
        <v>0</v>
      </c>
      <c r="HZ11" s="134">
        <f t="shared" ca="1" si="229"/>
        <v>0</v>
      </c>
      <c r="IA11" s="134">
        <f t="shared" ca="1" si="230"/>
        <v>0</v>
      </c>
      <c r="IB11" s="134">
        <f t="shared" ca="1" si="231"/>
        <v>0</v>
      </c>
      <c r="IC11" s="134">
        <f t="shared" ca="1" si="232"/>
        <v>0</v>
      </c>
      <c r="ID11" s="134">
        <f t="shared" ca="1" si="233"/>
        <v>0</v>
      </c>
      <c r="IE11" s="134">
        <f t="shared" ca="1" si="234"/>
        <v>0</v>
      </c>
      <c r="IF11" s="134">
        <f t="shared" ca="1" si="235"/>
        <v>0</v>
      </c>
      <c r="IG11" s="134">
        <f t="shared" ca="1" si="236"/>
        <v>0</v>
      </c>
      <c r="IH11" s="134">
        <f t="shared" ca="1" si="237"/>
        <v>0</v>
      </c>
      <c r="II11" s="134">
        <f t="shared" ca="1" si="238"/>
        <v>0</v>
      </c>
      <c r="IJ11" s="135">
        <f t="shared" ca="1" si="239"/>
        <v>0</v>
      </c>
      <c r="IK11" s="132">
        <f t="shared" ca="1" si="240"/>
        <v>0</v>
      </c>
    </row>
    <row r="12" spans="1:245" x14ac:dyDescent="0.45">
      <c r="A12" s="67">
        <v>2023</v>
      </c>
      <c r="B12" s="112"/>
      <c r="C12" s="3">
        <f ca="1">INT(SUM(OFFSET('CAPEX Schedule'!$C$8,0,($A12-$A$4)*12):OFFSET('CAPEX Schedule'!$C$8,0,($A12-$A$4)*12+11)))</f>
        <v>0</v>
      </c>
      <c r="D12" s="3">
        <f ca="1">INT(SUM(OFFSET('CAPEX Schedule'!$C$13,0,($A12-$A$4)*12):OFFSET('CAPEX Schedule'!$C$13,0,($A12-$A$4)*12+11)))-C12</f>
        <v>0</v>
      </c>
      <c r="E12" s="130">
        <f t="shared" si="0"/>
        <v>0</v>
      </c>
      <c r="F12" s="134">
        <f t="shared" si="1"/>
        <v>0</v>
      </c>
      <c r="G12" s="134">
        <f t="shared" si="2"/>
        <v>0</v>
      </c>
      <c r="H12" s="134">
        <f t="shared" si="3"/>
        <v>0</v>
      </c>
      <c r="I12" s="134">
        <f t="shared" si="4"/>
        <v>0</v>
      </c>
      <c r="J12" s="134">
        <f t="shared" si="5"/>
        <v>0</v>
      </c>
      <c r="K12" s="134">
        <f t="shared" si="6"/>
        <v>0</v>
      </c>
      <c r="L12" s="134">
        <f t="shared" si="7"/>
        <v>0</v>
      </c>
      <c r="M12" s="134">
        <f t="shared" si="8"/>
        <v>0</v>
      </c>
      <c r="N12" s="134">
        <f t="shared" si="9"/>
        <v>0</v>
      </c>
      <c r="O12" s="134">
        <f t="shared" si="10"/>
        <v>0</v>
      </c>
      <c r="P12" s="134">
        <f t="shared" si="11"/>
        <v>0</v>
      </c>
      <c r="Q12" s="134">
        <f t="shared" si="12"/>
        <v>0</v>
      </c>
      <c r="R12" s="134">
        <f t="shared" si="13"/>
        <v>0</v>
      </c>
      <c r="S12" s="134">
        <f t="shared" si="14"/>
        <v>0</v>
      </c>
      <c r="T12" s="134">
        <f t="shared" si="15"/>
        <v>0</v>
      </c>
      <c r="U12" s="134">
        <f t="shared" si="16"/>
        <v>0</v>
      </c>
      <c r="V12" s="134">
        <f t="shared" si="17"/>
        <v>0</v>
      </c>
      <c r="W12" s="134">
        <f t="shared" si="18"/>
        <v>0</v>
      </c>
      <c r="X12" s="134">
        <f t="shared" si="19"/>
        <v>0</v>
      </c>
      <c r="Y12" s="134">
        <f t="shared" si="20"/>
        <v>0</v>
      </c>
      <c r="Z12" s="134">
        <f t="shared" si="21"/>
        <v>0</v>
      </c>
      <c r="AA12" s="134">
        <f t="shared" si="22"/>
        <v>0</v>
      </c>
      <c r="AB12" s="134">
        <f t="shared" si="23"/>
        <v>0</v>
      </c>
      <c r="AC12" s="134">
        <f t="shared" si="24"/>
        <v>0</v>
      </c>
      <c r="AD12" s="134">
        <f t="shared" si="25"/>
        <v>0</v>
      </c>
      <c r="AE12" s="134">
        <f t="shared" si="26"/>
        <v>0</v>
      </c>
      <c r="AF12" s="134">
        <f t="shared" si="27"/>
        <v>0</v>
      </c>
      <c r="AG12" s="134">
        <f t="shared" si="28"/>
        <v>0</v>
      </c>
      <c r="AH12" s="134">
        <f t="shared" si="29"/>
        <v>0</v>
      </c>
      <c r="AI12" s="134">
        <f t="shared" si="30"/>
        <v>0</v>
      </c>
      <c r="AJ12" s="134">
        <f t="shared" si="31"/>
        <v>0</v>
      </c>
      <c r="AK12" s="134">
        <f t="shared" si="32"/>
        <v>0</v>
      </c>
      <c r="AL12" s="134">
        <f t="shared" si="33"/>
        <v>0</v>
      </c>
      <c r="AM12" s="134">
        <f t="shared" si="34"/>
        <v>0</v>
      </c>
      <c r="AN12" s="134">
        <f t="shared" si="35"/>
        <v>0</v>
      </c>
      <c r="AO12" s="134">
        <f t="shared" si="36"/>
        <v>0</v>
      </c>
      <c r="AP12" s="134">
        <f t="shared" si="37"/>
        <v>0</v>
      </c>
      <c r="AQ12" s="134">
        <f t="shared" si="38"/>
        <v>0</v>
      </c>
      <c r="AR12" s="134">
        <f t="shared" si="39"/>
        <v>0</v>
      </c>
      <c r="AS12" s="134">
        <f t="shared" si="40"/>
        <v>0</v>
      </c>
      <c r="AT12" s="134">
        <f t="shared" si="41"/>
        <v>0</v>
      </c>
      <c r="AU12" s="134">
        <f t="shared" si="42"/>
        <v>0</v>
      </c>
      <c r="AV12" s="134">
        <f t="shared" si="43"/>
        <v>0</v>
      </c>
      <c r="AW12" s="134">
        <f t="shared" si="44"/>
        <v>0</v>
      </c>
      <c r="AX12" s="134">
        <f t="shared" si="45"/>
        <v>0</v>
      </c>
      <c r="AY12" s="134">
        <f t="shared" si="46"/>
        <v>0</v>
      </c>
      <c r="AZ12" s="134">
        <f t="shared" si="47"/>
        <v>0</v>
      </c>
      <c r="BA12" s="134">
        <f t="shared" si="48"/>
        <v>0</v>
      </c>
      <c r="BB12" s="134">
        <f t="shared" si="49"/>
        <v>0</v>
      </c>
      <c r="BC12" s="134">
        <f t="shared" si="50"/>
        <v>0</v>
      </c>
      <c r="BD12" s="134">
        <f t="shared" si="51"/>
        <v>0</v>
      </c>
      <c r="BE12" s="134">
        <f t="shared" si="52"/>
        <v>0</v>
      </c>
      <c r="BF12" s="134">
        <f t="shared" si="53"/>
        <v>0</v>
      </c>
      <c r="BG12" s="134">
        <f t="shared" si="54"/>
        <v>0</v>
      </c>
      <c r="BH12" s="134">
        <f t="shared" si="55"/>
        <v>0</v>
      </c>
      <c r="BI12" s="134">
        <f t="shared" si="56"/>
        <v>0</v>
      </c>
      <c r="BJ12" s="134">
        <f t="shared" si="57"/>
        <v>0</v>
      </c>
      <c r="BK12" s="134">
        <f t="shared" si="58"/>
        <v>0</v>
      </c>
      <c r="BL12" s="134">
        <f t="shared" si="59"/>
        <v>0</v>
      </c>
      <c r="BM12" s="134">
        <f t="shared" si="60"/>
        <v>0</v>
      </c>
      <c r="BN12" s="134">
        <f t="shared" si="61"/>
        <v>0</v>
      </c>
      <c r="BO12" s="134">
        <f t="shared" si="62"/>
        <v>0</v>
      </c>
      <c r="BP12" s="134">
        <f t="shared" si="63"/>
        <v>0</v>
      </c>
      <c r="BQ12" s="134">
        <f t="shared" si="64"/>
        <v>0</v>
      </c>
      <c r="BR12" s="134">
        <f t="shared" si="65"/>
        <v>0</v>
      </c>
      <c r="BS12" s="134">
        <f t="shared" si="66"/>
        <v>0</v>
      </c>
      <c r="BT12" s="134">
        <f t="shared" si="67"/>
        <v>0</v>
      </c>
      <c r="BU12" s="134">
        <f t="shared" si="68"/>
        <v>0</v>
      </c>
      <c r="BV12" s="134">
        <f t="shared" si="69"/>
        <v>0</v>
      </c>
      <c r="BW12" s="134">
        <f t="shared" si="70"/>
        <v>0</v>
      </c>
      <c r="BX12" s="134">
        <f t="shared" si="71"/>
        <v>0</v>
      </c>
      <c r="BY12" s="134">
        <f t="shared" si="72"/>
        <v>0</v>
      </c>
      <c r="BZ12" s="134">
        <f t="shared" si="73"/>
        <v>0</v>
      </c>
      <c r="CA12" s="134">
        <f t="shared" si="74"/>
        <v>0</v>
      </c>
      <c r="CB12" s="134">
        <f t="shared" si="75"/>
        <v>0</v>
      </c>
      <c r="CC12" s="134">
        <f t="shared" si="76"/>
        <v>0</v>
      </c>
      <c r="CD12" s="134">
        <f t="shared" si="77"/>
        <v>0</v>
      </c>
      <c r="CE12" s="134">
        <f t="shared" si="78"/>
        <v>0</v>
      </c>
      <c r="CF12" s="134">
        <f t="shared" si="79"/>
        <v>0</v>
      </c>
      <c r="CG12" s="134">
        <f t="shared" si="80"/>
        <v>0</v>
      </c>
      <c r="CH12" s="134">
        <f t="shared" si="81"/>
        <v>0</v>
      </c>
      <c r="CI12" s="134">
        <f t="shared" si="82"/>
        <v>0</v>
      </c>
      <c r="CJ12" s="134">
        <f t="shared" si="83"/>
        <v>0</v>
      </c>
      <c r="CK12" s="134">
        <f t="shared" si="84"/>
        <v>0</v>
      </c>
      <c r="CL12" s="134">
        <f t="shared" si="85"/>
        <v>0</v>
      </c>
      <c r="CM12" s="134">
        <f t="shared" si="86"/>
        <v>0</v>
      </c>
      <c r="CN12" s="134">
        <f t="shared" si="87"/>
        <v>0</v>
      </c>
      <c r="CO12" s="134">
        <f t="shared" si="88"/>
        <v>0</v>
      </c>
      <c r="CP12" s="134">
        <f t="shared" si="89"/>
        <v>0</v>
      </c>
      <c r="CQ12" s="134">
        <f t="shared" si="90"/>
        <v>0</v>
      </c>
      <c r="CR12" s="134">
        <f t="shared" si="91"/>
        <v>0</v>
      </c>
      <c r="CS12" s="134">
        <f t="shared" si="92"/>
        <v>0</v>
      </c>
      <c r="CT12" s="134">
        <f t="shared" si="93"/>
        <v>0</v>
      </c>
      <c r="CU12" s="134">
        <f t="shared" si="94"/>
        <v>0</v>
      </c>
      <c r="CV12" s="134">
        <f t="shared" si="95"/>
        <v>0</v>
      </c>
      <c r="CW12" s="134">
        <f t="shared" ca="1" si="96"/>
        <v>0</v>
      </c>
      <c r="CX12" s="134">
        <f t="shared" ca="1" si="97"/>
        <v>0</v>
      </c>
      <c r="CY12" s="134">
        <f t="shared" ca="1" si="98"/>
        <v>0</v>
      </c>
      <c r="CZ12" s="134">
        <f t="shared" ca="1" si="99"/>
        <v>0</v>
      </c>
      <c r="DA12" s="134">
        <f t="shared" ca="1" si="100"/>
        <v>0</v>
      </c>
      <c r="DB12" s="134">
        <f t="shared" ca="1" si="101"/>
        <v>0</v>
      </c>
      <c r="DC12" s="134">
        <f t="shared" ca="1" si="102"/>
        <v>0</v>
      </c>
      <c r="DD12" s="134">
        <f t="shared" ca="1" si="103"/>
        <v>0</v>
      </c>
      <c r="DE12" s="134">
        <f t="shared" ca="1" si="104"/>
        <v>0</v>
      </c>
      <c r="DF12" s="134">
        <f t="shared" ca="1" si="105"/>
        <v>0</v>
      </c>
      <c r="DG12" s="134">
        <f t="shared" ca="1" si="106"/>
        <v>0</v>
      </c>
      <c r="DH12" s="134">
        <f t="shared" ca="1" si="107"/>
        <v>0</v>
      </c>
      <c r="DI12" s="134">
        <f t="shared" ca="1" si="108"/>
        <v>0</v>
      </c>
      <c r="DJ12" s="134">
        <f t="shared" ca="1" si="109"/>
        <v>0</v>
      </c>
      <c r="DK12" s="134">
        <f t="shared" ca="1" si="110"/>
        <v>0</v>
      </c>
      <c r="DL12" s="134">
        <f t="shared" ca="1" si="111"/>
        <v>0</v>
      </c>
      <c r="DM12" s="134">
        <f t="shared" ca="1" si="112"/>
        <v>0</v>
      </c>
      <c r="DN12" s="134">
        <f t="shared" ca="1" si="113"/>
        <v>0</v>
      </c>
      <c r="DO12" s="134">
        <f t="shared" ca="1" si="114"/>
        <v>0</v>
      </c>
      <c r="DP12" s="134">
        <f t="shared" ca="1" si="115"/>
        <v>0</v>
      </c>
      <c r="DQ12" s="134">
        <f t="shared" ca="1" si="116"/>
        <v>0</v>
      </c>
      <c r="DR12" s="134">
        <f t="shared" ca="1" si="117"/>
        <v>0</v>
      </c>
      <c r="DS12" s="134">
        <f t="shared" ca="1" si="118"/>
        <v>0</v>
      </c>
      <c r="DT12" s="134">
        <f t="shared" ca="1" si="119"/>
        <v>0</v>
      </c>
      <c r="DU12" s="134">
        <f t="shared" ca="1" si="120"/>
        <v>0</v>
      </c>
      <c r="DV12" s="134">
        <f t="shared" ca="1" si="121"/>
        <v>0</v>
      </c>
      <c r="DW12" s="134">
        <f t="shared" ca="1" si="122"/>
        <v>0</v>
      </c>
      <c r="DX12" s="134">
        <f t="shared" ca="1" si="123"/>
        <v>0</v>
      </c>
      <c r="DY12" s="134">
        <f t="shared" ca="1" si="124"/>
        <v>0</v>
      </c>
      <c r="DZ12" s="134">
        <f t="shared" ca="1" si="125"/>
        <v>0</v>
      </c>
      <c r="EA12" s="134">
        <f t="shared" ca="1" si="126"/>
        <v>0</v>
      </c>
      <c r="EB12" s="134">
        <f t="shared" ca="1" si="127"/>
        <v>0</v>
      </c>
      <c r="EC12" s="134">
        <f t="shared" ca="1" si="128"/>
        <v>0</v>
      </c>
      <c r="ED12" s="134">
        <f t="shared" ca="1" si="129"/>
        <v>0</v>
      </c>
      <c r="EE12" s="134">
        <f t="shared" ca="1" si="130"/>
        <v>0</v>
      </c>
      <c r="EF12" s="134">
        <f t="shared" ca="1" si="131"/>
        <v>0</v>
      </c>
      <c r="EG12" s="134">
        <f t="shared" ca="1" si="132"/>
        <v>0</v>
      </c>
      <c r="EH12" s="134">
        <f t="shared" ca="1" si="133"/>
        <v>0</v>
      </c>
      <c r="EI12" s="134">
        <f t="shared" ca="1" si="134"/>
        <v>0</v>
      </c>
      <c r="EJ12" s="134">
        <f t="shared" ca="1" si="135"/>
        <v>0</v>
      </c>
      <c r="EK12" s="134">
        <f t="shared" ca="1" si="136"/>
        <v>0</v>
      </c>
      <c r="EL12" s="134">
        <f t="shared" ca="1" si="137"/>
        <v>0</v>
      </c>
      <c r="EM12" s="134">
        <f t="shared" ca="1" si="138"/>
        <v>0</v>
      </c>
      <c r="EN12" s="134">
        <f t="shared" ca="1" si="139"/>
        <v>0</v>
      </c>
      <c r="EO12" s="134">
        <f t="shared" ca="1" si="140"/>
        <v>0</v>
      </c>
      <c r="EP12" s="134">
        <f t="shared" ca="1" si="141"/>
        <v>0</v>
      </c>
      <c r="EQ12" s="134">
        <f t="shared" ca="1" si="142"/>
        <v>0</v>
      </c>
      <c r="ER12" s="134">
        <f t="shared" ca="1" si="143"/>
        <v>0</v>
      </c>
      <c r="ES12" s="134">
        <f t="shared" ca="1" si="144"/>
        <v>0</v>
      </c>
      <c r="ET12" s="134">
        <f t="shared" ca="1" si="145"/>
        <v>0</v>
      </c>
      <c r="EU12" s="134">
        <f t="shared" ca="1" si="146"/>
        <v>0</v>
      </c>
      <c r="EV12" s="134">
        <f t="shared" ca="1" si="147"/>
        <v>0</v>
      </c>
      <c r="EW12" s="134">
        <f t="shared" ca="1" si="148"/>
        <v>0</v>
      </c>
      <c r="EX12" s="134">
        <f t="shared" ca="1" si="149"/>
        <v>0</v>
      </c>
      <c r="EY12" s="134">
        <f t="shared" ca="1" si="150"/>
        <v>0</v>
      </c>
      <c r="EZ12" s="134">
        <f t="shared" ca="1" si="151"/>
        <v>0</v>
      </c>
      <c r="FA12" s="134">
        <f t="shared" ca="1" si="152"/>
        <v>0</v>
      </c>
      <c r="FB12" s="134">
        <f t="shared" ca="1" si="153"/>
        <v>0</v>
      </c>
      <c r="FC12" s="134">
        <f t="shared" ca="1" si="154"/>
        <v>0</v>
      </c>
      <c r="FD12" s="134">
        <f t="shared" ca="1" si="155"/>
        <v>0</v>
      </c>
      <c r="FE12" s="134">
        <f t="shared" ca="1" si="156"/>
        <v>0</v>
      </c>
      <c r="FF12" s="134">
        <f t="shared" ca="1" si="157"/>
        <v>0</v>
      </c>
      <c r="FG12" s="134">
        <f t="shared" ca="1" si="158"/>
        <v>0</v>
      </c>
      <c r="FH12" s="134">
        <f t="shared" ca="1" si="159"/>
        <v>0</v>
      </c>
      <c r="FI12" s="134">
        <f t="shared" ca="1" si="160"/>
        <v>0</v>
      </c>
      <c r="FJ12" s="134">
        <f t="shared" ca="1" si="161"/>
        <v>0</v>
      </c>
      <c r="FK12" s="134">
        <f t="shared" ca="1" si="162"/>
        <v>0</v>
      </c>
      <c r="FL12" s="134">
        <f t="shared" ca="1" si="163"/>
        <v>0</v>
      </c>
      <c r="FM12" s="134">
        <f t="shared" ca="1" si="164"/>
        <v>0</v>
      </c>
      <c r="FN12" s="134">
        <f t="shared" ca="1" si="165"/>
        <v>0</v>
      </c>
      <c r="FO12" s="134">
        <f t="shared" ca="1" si="166"/>
        <v>0</v>
      </c>
      <c r="FP12" s="134">
        <f t="shared" ca="1" si="167"/>
        <v>0</v>
      </c>
      <c r="FQ12" s="134">
        <f t="shared" ca="1" si="168"/>
        <v>0</v>
      </c>
      <c r="FR12" s="134">
        <f t="shared" ca="1" si="169"/>
        <v>0</v>
      </c>
      <c r="FS12" s="134">
        <f t="shared" ca="1" si="170"/>
        <v>0</v>
      </c>
      <c r="FT12" s="134">
        <f t="shared" ca="1" si="171"/>
        <v>0</v>
      </c>
      <c r="FU12" s="134">
        <f t="shared" ca="1" si="172"/>
        <v>0</v>
      </c>
      <c r="FV12" s="134">
        <f t="shared" ca="1" si="173"/>
        <v>0</v>
      </c>
      <c r="FW12" s="134">
        <f t="shared" ca="1" si="174"/>
        <v>0</v>
      </c>
      <c r="FX12" s="134">
        <f t="shared" ca="1" si="175"/>
        <v>0</v>
      </c>
      <c r="FY12" s="134">
        <f t="shared" ca="1" si="176"/>
        <v>0</v>
      </c>
      <c r="FZ12" s="134">
        <f t="shared" ca="1" si="177"/>
        <v>0</v>
      </c>
      <c r="GA12" s="134">
        <f t="shared" ca="1" si="178"/>
        <v>0</v>
      </c>
      <c r="GB12" s="134">
        <f t="shared" ca="1" si="179"/>
        <v>0</v>
      </c>
      <c r="GC12" s="134">
        <f t="shared" ca="1" si="180"/>
        <v>0</v>
      </c>
      <c r="GD12" s="134">
        <f t="shared" ca="1" si="181"/>
        <v>0</v>
      </c>
      <c r="GE12" s="134">
        <f t="shared" ca="1" si="182"/>
        <v>0</v>
      </c>
      <c r="GF12" s="134">
        <f t="shared" ca="1" si="183"/>
        <v>0</v>
      </c>
      <c r="GG12" s="134">
        <f t="shared" ca="1" si="184"/>
        <v>0</v>
      </c>
      <c r="GH12" s="134">
        <f t="shared" ca="1" si="185"/>
        <v>0</v>
      </c>
      <c r="GI12" s="134">
        <f t="shared" ca="1" si="186"/>
        <v>0</v>
      </c>
      <c r="GJ12" s="134">
        <f t="shared" ca="1" si="187"/>
        <v>0</v>
      </c>
      <c r="GK12" s="134">
        <f t="shared" ca="1" si="188"/>
        <v>0</v>
      </c>
      <c r="GL12" s="134">
        <f t="shared" ca="1" si="189"/>
        <v>0</v>
      </c>
      <c r="GM12" s="134">
        <f t="shared" ca="1" si="190"/>
        <v>0</v>
      </c>
      <c r="GN12" s="134">
        <f t="shared" ca="1" si="191"/>
        <v>0</v>
      </c>
      <c r="GO12" s="134">
        <f t="shared" ca="1" si="192"/>
        <v>0</v>
      </c>
      <c r="GP12" s="134">
        <f t="shared" ca="1" si="193"/>
        <v>0</v>
      </c>
      <c r="GQ12" s="134">
        <f t="shared" ca="1" si="194"/>
        <v>0</v>
      </c>
      <c r="GR12" s="134">
        <f t="shared" ca="1" si="195"/>
        <v>0</v>
      </c>
      <c r="GS12" s="134">
        <f t="shared" ca="1" si="196"/>
        <v>0</v>
      </c>
      <c r="GT12" s="134">
        <f t="shared" ca="1" si="197"/>
        <v>0</v>
      </c>
      <c r="GU12" s="134">
        <f t="shared" ca="1" si="198"/>
        <v>0</v>
      </c>
      <c r="GV12" s="134">
        <f t="shared" ca="1" si="199"/>
        <v>0</v>
      </c>
      <c r="GW12" s="134">
        <f t="shared" ca="1" si="200"/>
        <v>0</v>
      </c>
      <c r="GX12" s="134">
        <f t="shared" ca="1" si="201"/>
        <v>0</v>
      </c>
      <c r="GY12" s="134">
        <f t="shared" ca="1" si="202"/>
        <v>0</v>
      </c>
      <c r="GZ12" s="134">
        <f t="shared" ca="1" si="203"/>
        <v>0</v>
      </c>
      <c r="HA12" s="134">
        <f t="shared" ca="1" si="204"/>
        <v>0</v>
      </c>
      <c r="HB12" s="134">
        <f t="shared" ca="1" si="205"/>
        <v>0</v>
      </c>
      <c r="HC12" s="134">
        <f t="shared" ca="1" si="206"/>
        <v>0</v>
      </c>
      <c r="HD12" s="134">
        <f t="shared" ca="1" si="207"/>
        <v>0</v>
      </c>
      <c r="HE12" s="134">
        <f t="shared" ca="1" si="208"/>
        <v>0</v>
      </c>
      <c r="HF12" s="134">
        <f t="shared" ca="1" si="209"/>
        <v>0</v>
      </c>
      <c r="HG12" s="134">
        <f t="shared" ca="1" si="210"/>
        <v>0</v>
      </c>
      <c r="HH12" s="134">
        <f t="shared" ca="1" si="211"/>
        <v>0</v>
      </c>
      <c r="HI12" s="134">
        <f t="shared" ca="1" si="212"/>
        <v>0</v>
      </c>
      <c r="HJ12" s="134">
        <f t="shared" ca="1" si="213"/>
        <v>0</v>
      </c>
      <c r="HK12" s="134">
        <f t="shared" ca="1" si="214"/>
        <v>0</v>
      </c>
      <c r="HL12" s="134">
        <f t="shared" ca="1" si="215"/>
        <v>0</v>
      </c>
      <c r="HM12" s="134">
        <f t="shared" ca="1" si="216"/>
        <v>0</v>
      </c>
      <c r="HN12" s="134">
        <f t="shared" ca="1" si="217"/>
        <v>0</v>
      </c>
      <c r="HO12" s="134">
        <f t="shared" ca="1" si="218"/>
        <v>0</v>
      </c>
      <c r="HP12" s="134">
        <f t="shared" ca="1" si="219"/>
        <v>0</v>
      </c>
      <c r="HQ12" s="134">
        <f t="shared" ca="1" si="220"/>
        <v>0</v>
      </c>
      <c r="HR12" s="134">
        <f t="shared" ca="1" si="221"/>
        <v>0</v>
      </c>
      <c r="HS12" s="134">
        <f t="shared" ca="1" si="222"/>
        <v>0</v>
      </c>
      <c r="HT12" s="134">
        <f t="shared" ca="1" si="223"/>
        <v>0</v>
      </c>
      <c r="HU12" s="134">
        <f t="shared" ca="1" si="224"/>
        <v>0</v>
      </c>
      <c r="HV12" s="134">
        <f t="shared" ca="1" si="225"/>
        <v>0</v>
      </c>
      <c r="HW12" s="134">
        <f t="shared" ca="1" si="226"/>
        <v>0</v>
      </c>
      <c r="HX12" s="134">
        <f t="shared" ca="1" si="227"/>
        <v>0</v>
      </c>
      <c r="HY12" s="134">
        <f t="shared" ca="1" si="228"/>
        <v>0</v>
      </c>
      <c r="HZ12" s="134">
        <f t="shared" ca="1" si="229"/>
        <v>0</v>
      </c>
      <c r="IA12" s="134">
        <f t="shared" ca="1" si="230"/>
        <v>0</v>
      </c>
      <c r="IB12" s="134">
        <f t="shared" ca="1" si="231"/>
        <v>0</v>
      </c>
      <c r="IC12" s="134">
        <f t="shared" ca="1" si="232"/>
        <v>0</v>
      </c>
      <c r="ID12" s="134">
        <f t="shared" ca="1" si="233"/>
        <v>0</v>
      </c>
      <c r="IE12" s="134">
        <f t="shared" ca="1" si="234"/>
        <v>0</v>
      </c>
      <c r="IF12" s="134">
        <f t="shared" ca="1" si="235"/>
        <v>0</v>
      </c>
      <c r="IG12" s="134">
        <f t="shared" ca="1" si="236"/>
        <v>0</v>
      </c>
      <c r="IH12" s="134">
        <f t="shared" ca="1" si="237"/>
        <v>0</v>
      </c>
      <c r="II12" s="134">
        <f t="shared" ca="1" si="238"/>
        <v>0</v>
      </c>
      <c r="IJ12" s="135">
        <f t="shared" ca="1" si="239"/>
        <v>0</v>
      </c>
      <c r="IK12" s="132">
        <f t="shared" ca="1" si="240"/>
        <v>0</v>
      </c>
    </row>
    <row r="13" spans="1:245" x14ac:dyDescent="0.45">
      <c r="A13" s="67">
        <v>2024</v>
      </c>
      <c r="B13" s="112"/>
      <c r="C13" s="3">
        <f ca="1">INT(SUM(OFFSET('CAPEX Schedule'!$C$8,0,($A13-$A$4)*12):OFFSET('CAPEX Schedule'!$C$8,0,($A13-$A$4)*12+11)))</f>
        <v>0</v>
      </c>
      <c r="D13" s="3">
        <f ca="1">INT(SUM(OFFSET('CAPEX Schedule'!$C$13,0,($A13-$A$4)*12):OFFSET('CAPEX Schedule'!$C$13,0,($A13-$A$4)*12+11)))-C13</f>
        <v>0</v>
      </c>
      <c r="E13" s="130">
        <f t="shared" si="0"/>
        <v>0</v>
      </c>
      <c r="F13" s="134">
        <f t="shared" si="1"/>
        <v>0</v>
      </c>
      <c r="G13" s="134">
        <f t="shared" si="2"/>
        <v>0</v>
      </c>
      <c r="H13" s="134">
        <f t="shared" si="3"/>
        <v>0</v>
      </c>
      <c r="I13" s="134">
        <f t="shared" si="4"/>
        <v>0</v>
      </c>
      <c r="J13" s="134">
        <f t="shared" si="5"/>
        <v>0</v>
      </c>
      <c r="K13" s="134">
        <f t="shared" si="6"/>
        <v>0</v>
      </c>
      <c r="L13" s="134">
        <f t="shared" si="7"/>
        <v>0</v>
      </c>
      <c r="M13" s="134">
        <f t="shared" si="8"/>
        <v>0</v>
      </c>
      <c r="N13" s="134">
        <f t="shared" si="9"/>
        <v>0</v>
      </c>
      <c r="O13" s="134">
        <f t="shared" si="10"/>
        <v>0</v>
      </c>
      <c r="P13" s="134">
        <f t="shared" si="11"/>
        <v>0</v>
      </c>
      <c r="Q13" s="134">
        <f t="shared" si="12"/>
        <v>0</v>
      </c>
      <c r="R13" s="134">
        <f t="shared" si="13"/>
        <v>0</v>
      </c>
      <c r="S13" s="134">
        <f t="shared" si="14"/>
        <v>0</v>
      </c>
      <c r="T13" s="134">
        <f t="shared" si="15"/>
        <v>0</v>
      </c>
      <c r="U13" s="134">
        <f t="shared" si="16"/>
        <v>0</v>
      </c>
      <c r="V13" s="134">
        <f t="shared" si="17"/>
        <v>0</v>
      </c>
      <c r="W13" s="134">
        <f t="shared" si="18"/>
        <v>0</v>
      </c>
      <c r="X13" s="134">
        <f t="shared" si="19"/>
        <v>0</v>
      </c>
      <c r="Y13" s="134">
        <f t="shared" si="20"/>
        <v>0</v>
      </c>
      <c r="Z13" s="134">
        <f t="shared" si="21"/>
        <v>0</v>
      </c>
      <c r="AA13" s="134">
        <f t="shared" si="22"/>
        <v>0</v>
      </c>
      <c r="AB13" s="134">
        <f t="shared" si="23"/>
        <v>0</v>
      </c>
      <c r="AC13" s="134">
        <f t="shared" si="24"/>
        <v>0</v>
      </c>
      <c r="AD13" s="134">
        <f t="shared" si="25"/>
        <v>0</v>
      </c>
      <c r="AE13" s="134">
        <f t="shared" si="26"/>
        <v>0</v>
      </c>
      <c r="AF13" s="134">
        <f t="shared" si="27"/>
        <v>0</v>
      </c>
      <c r="AG13" s="134">
        <f t="shared" si="28"/>
        <v>0</v>
      </c>
      <c r="AH13" s="134">
        <f t="shared" si="29"/>
        <v>0</v>
      </c>
      <c r="AI13" s="134">
        <f t="shared" si="30"/>
        <v>0</v>
      </c>
      <c r="AJ13" s="134">
        <f t="shared" si="31"/>
        <v>0</v>
      </c>
      <c r="AK13" s="134">
        <f t="shared" si="32"/>
        <v>0</v>
      </c>
      <c r="AL13" s="134">
        <f t="shared" si="33"/>
        <v>0</v>
      </c>
      <c r="AM13" s="134">
        <f t="shared" si="34"/>
        <v>0</v>
      </c>
      <c r="AN13" s="134">
        <f t="shared" si="35"/>
        <v>0</v>
      </c>
      <c r="AO13" s="134">
        <f t="shared" si="36"/>
        <v>0</v>
      </c>
      <c r="AP13" s="134">
        <f t="shared" si="37"/>
        <v>0</v>
      </c>
      <c r="AQ13" s="134">
        <f t="shared" si="38"/>
        <v>0</v>
      </c>
      <c r="AR13" s="134">
        <f t="shared" si="39"/>
        <v>0</v>
      </c>
      <c r="AS13" s="134">
        <f t="shared" si="40"/>
        <v>0</v>
      </c>
      <c r="AT13" s="134">
        <f t="shared" si="41"/>
        <v>0</v>
      </c>
      <c r="AU13" s="134">
        <f t="shared" si="42"/>
        <v>0</v>
      </c>
      <c r="AV13" s="134">
        <f t="shared" si="43"/>
        <v>0</v>
      </c>
      <c r="AW13" s="134">
        <f t="shared" si="44"/>
        <v>0</v>
      </c>
      <c r="AX13" s="134">
        <f t="shared" si="45"/>
        <v>0</v>
      </c>
      <c r="AY13" s="134">
        <f t="shared" si="46"/>
        <v>0</v>
      </c>
      <c r="AZ13" s="134">
        <f t="shared" si="47"/>
        <v>0</v>
      </c>
      <c r="BA13" s="134">
        <f t="shared" si="48"/>
        <v>0</v>
      </c>
      <c r="BB13" s="134">
        <f t="shared" si="49"/>
        <v>0</v>
      </c>
      <c r="BC13" s="134">
        <f t="shared" si="50"/>
        <v>0</v>
      </c>
      <c r="BD13" s="134">
        <f t="shared" si="51"/>
        <v>0</v>
      </c>
      <c r="BE13" s="134">
        <f t="shared" si="52"/>
        <v>0</v>
      </c>
      <c r="BF13" s="134">
        <f t="shared" si="53"/>
        <v>0</v>
      </c>
      <c r="BG13" s="134">
        <f t="shared" si="54"/>
        <v>0</v>
      </c>
      <c r="BH13" s="134">
        <f t="shared" si="55"/>
        <v>0</v>
      </c>
      <c r="BI13" s="134">
        <f t="shared" si="56"/>
        <v>0</v>
      </c>
      <c r="BJ13" s="134">
        <f t="shared" si="57"/>
        <v>0</v>
      </c>
      <c r="BK13" s="134">
        <f t="shared" si="58"/>
        <v>0</v>
      </c>
      <c r="BL13" s="134">
        <f t="shared" si="59"/>
        <v>0</v>
      </c>
      <c r="BM13" s="134">
        <f t="shared" si="60"/>
        <v>0</v>
      </c>
      <c r="BN13" s="134">
        <f t="shared" si="61"/>
        <v>0</v>
      </c>
      <c r="BO13" s="134">
        <f t="shared" si="62"/>
        <v>0</v>
      </c>
      <c r="BP13" s="134">
        <f t="shared" si="63"/>
        <v>0</v>
      </c>
      <c r="BQ13" s="134">
        <f t="shared" si="64"/>
        <v>0</v>
      </c>
      <c r="BR13" s="134">
        <f t="shared" si="65"/>
        <v>0</v>
      </c>
      <c r="BS13" s="134">
        <f t="shared" si="66"/>
        <v>0</v>
      </c>
      <c r="BT13" s="134">
        <f t="shared" si="67"/>
        <v>0</v>
      </c>
      <c r="BU13" s="134">
        <f t="shared" si="68"/>
        <v>0</v>
      </c>
      <c r="BV13" s="134">
        <f t="shared" si="69"/>
        <v>0</v>
      </c>
      <c r="BW13" s="134">
        <f t="shared" si="70"/>
        <v>0</v>
      </c>
      <c r="BX13" s="134">
        <f t="shared" si="71"/>
        <v>0</v>
      </c>
      <c r="BY13" s="134">
        <f t="shared" si="72"/>
        <v>0</v>
      </c>
      <c r="BZ13" s="134">
        <f t="shared" si="73"/>
        <v>0</v>
      </c>
      <c r="CA13" s="134">
        <f t="shared" si="74"/>
        <v>0</v>
      </c>
      <c r="CB13" s="134">
        <f t="shared" si="75"/>
        <v>0</v>
      </c>
      <c r="CC13" s="134">
        <f t="shared" si="76"/>
        <v>0</v>
      </c>
      <c r="CD13" s="134">
        <f t="shared" si="77"/>
        <v>0</v>
      </c>
      <c r="CE13" s="134">
        <f t="shared" si="78"/>
        <v>0</v>
      </c>
      <c r="CF13" s="134">
        <f t="shared" si="79"/>
        <v>0</v>
      </c>
      <c r="CG13" s="134">
        <f t="shared" si="80"/>
        <v>0</v>
      </c>
      <c r="CH13" s="134">
        <f t="shared" si="81"/>
        <v>0</v>
      </c>
      <c r="CI13" s="134">
        <f t="shared" si="82"/>
        <v>0</v>
      </c>
      <c r="CJ13" s="134">
        <f t="shared" si="83"/>
        <v>0</v>
      </c>
      <c r="CK13" s="134">
        <f t="shared" si="84"/>
        <v>0</v>
      </c>
      <c r="CL13" s="134">
        <f t="shared" si="85"/>
        <v>0</v>
      </c>
      <c r="CM13" s="134">
        <f t="shared" si="86"/>
        <v>0</v>
      </c>
      <c r="CN13" s="134">
        <f t="shared" si="87"/>
        <v>0</v>
      </c>
      <c r="CO13" s="134">
        <f t="shared" si="88"/>
        <v>0</v>
      </c>
      <c r="CP13" s="134">
        <f t="shared" si="89"/>
        <v>0</v>
      </c>
      <c r="CQ13" s="134">
        <f t="shared" si="90"/>
        <v>0</v>
      </c>
      <c r="CR13" s="134">
        <f t="shared" si="91"/>
        <v>0</v>
      </c>
      <c r="CS13" s="134">
        <f t="shared" si="92"/>
        <v>0</v>
      </c>
      <c r="CT13" s="134">
        <f t="shared" si="93"/>
        <v>0</v>
      </c>
      <c r="CU13" s="134">
        <f t="shared" si="94"/>
        <v>0</v>
      </c>
      <c r="CV13" s="134">
        <f t="shared" si="95"/>
        <v>0</v>
      </c>
      <c r="CW13" s="134">
        <f t="shared" si="96"/>
        <v>0</v>
      </c>
      <c r="CX13" s="134">
        <f t="shared" si="97"/>
        <v>0</v>
      </c>
      <c r="CY13" s="134">
        <f t="shared" si="98"/>
        <v>0</v>
      </c>
      <c r="CZ13" s="134">
        <f t="shared" si="99"/>
        <v>0</v>
      </c>
      <c r="DA13" s="134">
        <f t="shared" si="100"/>
        <v>0</v>
      </c>
      <c r="DB13" s="134">
        <f t="shared" si="101"/>
        <v>0</v>
      </c>
      <c r="DC13" s="134">
        <f t="shared" si="102"/>
        <v>0</v>
      </c>
      <c r="DD13" s="134">
        <f t="shared" si="103"/>
        <v>0</v>
      </c>
      <c r="DE13" s="134">
        <f t="shared" si="104"/>
        <v>0</v>
      </c>
      <c r="DF13" s="134">
        <f t="shared" si="105"/>
        <v>0</v>
      </c>
      <c r="DG13" s="134">
        <f t="shared" si="106"/>
        <v>0</v>
      </c>
      <c r="DH13" s="134">
        <f t="shared" si="107"/>
        <v>0</v>
      </c>
      <c r="DI13" s="134">
        <f t="shared" ca="1" si="108"/>
        <v>0</v>
      </c>
      <c r="DJ13" s="134">
        <f t="shared" ca="1" si="109"/>
        <v>0</v>
      </c>
      <c r="DK13" s="134">
        <f t="shared" ca="1" si="110"/>
        <v>0</v>
      </c>
      <c r="DL13" s="134">
        <f t="shared" ca="1" si="111"/>
        <v>0</v>
      </c>
      <c r="DM13" s="134">
        <f t="shared" ca="1" si="112"/>
        <v>0</v>
      </c>
      <c r="DN13" s="134">
        <f t="shared" ca="1" si="113"/>
        <v>0</v>
      </c>
      <c r="DO13" s="134">
        <f t="shared" ca="1" si="114"/>
        <v>0</v>
      </c>
      <c r="DP13" s="134">
        <f t="shared" ca="1" si="115"/>
        <v>0</v>
      </c>
      <c r="DQ13" s="134">
        <f t="shared" ca="1" si="116"/>
        <v>0</v>
      </c>
      <c r="DR13" s="134">
        <f t="shared" ca="1" si="117"/>
        <v>0</v>
      </c>
      <c r="DS13" s="134">
        <f t="shared" ca="1" si="118"/>
        <v>0</v>
      </c>
      <c r="DT13" s="134">
        <f t="shared" ca="1" si="119"/>
        <v>0</v>
      </c>
      <c r="DU13" s="134">
        <f t="shared" ca="1" si="120"/>
        <v>0</v>
      </c>
      <c r="DV13" s="134">
        <f t="shared" ca="1" si="121"/>
        <v>0</v>
      </c>
      <c r="DW13" s="134">
        <f t="shared" ca="1" si="122"/>
        <v>0</v>
      </c>
      <c r="DX13" s="134">
        <f t="shared" ca="1" si="123"/>
        <v>0</v>
      </c>
      <c r="DY13" s="134">
        <f t="shared" ca="1" si="124"/>
        <v>0</v>
      </c>
      <c r="DZ13" s="134">
        <f t="shared" ca="1" si="125"/>
        <v>0</v>
      </c>
      <c r="EA13" s="134">
        <f t="shared" ca="1" si="126"/>
        <v>0</v>
      </c>
      <c r="EB13" s="134">
        <f t="shared" ca="1" si="127"/>
        <v>0</v>
      </c>
      <c r="EC13" s="134">
        <f t="shared" ca="1" si="128"/>
        <v>0</v>
      </c>
      <c r="ED13" s="134">
        <f t="shared" ca="1" si="129"/>
        <v>0</v>
      </c>
      <c r="EE13" s="134">
        <f t="shared" ca="1" si="130"/>
        <v>0</v>
      </c>
      <c r="EF13" s="134">
        <f t="shared" ca="1" si="131"/>
        <v>0</v>
      </c>
      <c r="EG13" s="134">
        <f t="shared" ca="1" si="132"/>
        <v>0</v>
      </c>
      <c r="EH13" s="134">
        <f t="shared" ca="1" si="133"/>
        <v>0</v>
      </c>
      <c r="EI13" s="134">
        <f t="shared" ca="1" si="134"/>
        <v>0</v>
      </c>
      <c r="EJ13" s="134">
        <f t="shared" ca="1" si="135"/>
        <v>0</v>
      </c>
      <c r="EK13" s="134">
        <f t="shared" ca="1" si="136"/>
        <v>0</v>
      </c>
      <c r="EL13" s="134">
        <f t="shared" ca="1" si="137"/>
        <v>0</v>
      </c>
      <c r="EM13" s="134">
        <f t="shared" ca="1" si="138"/>
        <v>0</v>
      </c>
      <c r="EN13" s="134">
        <f t="shared" ca="1" si="139"/>
        <v>0</v>
      </c>
      <c r="EO13" s="134">
        <f t="shared" ca="1" si="140"/>
        <v>0</v>
      </c>
      <c r="EP13" s="134">
        <f t="shared" ca="1" si="141"/>
        <v>0</v>
      </c>
      <c r="EQ13" s="134">
        <f t="shared" ca="1" si="142"/>
        <v>0</v>
      </c>
      <c r="ER13" s="134">
        <f t="shared" ca="1" si="143"/>
        <v>0</v>
      </c>
      <c r="ES13" s="134">
        <f t="shared" ca="1" si="144"/>
        <v>0</v>
      </c>
      <c r="ET13" s="134">
        <f t="shared" ca="1" si="145"/>
        <v>0</v>
      </c>
      <c r="EU13" s="134">
        <f t="shared" ca="1" si="146"/>
        <v>0</v>
      </c>
      <c r="EV13" s="134">
        <f t="shared" ca="1" si="147"/>
        <v>0</v>
      </c>
      <c r="EW13" s="134">
        <f t="shared" ca="1" si="148"/>
        <v>0</v>
      </c>
      <c r="EX13" s="134">
        <f t="shared" ca="1" si="149"/>
        <v>0</v>
      </c>
      <c r="EY13" s="134">
        <f t="shared" ca="1" si="150"/>
        <v>0</v>
      </c>
      <c r="EZ13" s="134">
        <f t="shared" ca="1" si="151"/>
        <v>0</v>
      </c>
      <c r="FA13" s="134">
        <f t="shared" ca="1" si="152"/>
        <v>0</v>
      </c>
      <c r="FB13" s="134">
        <f t="shared" ca="1" si="153"/>
        <v>0</v>
      </c>
      <c r="FC13" s="134">
        <f t="shared" ca="1" si="154"/>
        <v>0</v>
      </c>
      <c r="FD13" s="134">
        <f t="shared" ca="1" si="155"/>
        <v>0</v>
      </c>
      <c r="FE13" s="134">
        <f t="shared" ca="1" si="156"/>
        <v>0</v>
      </c>
      <c r="FF13" s="134">
        <f t="shared" ca="1" si="157"/>
        <v>0</v>
      </c>
      <c r="FG13" s="134">
        <f t="shared" ca="1" si="158"/>
        <v>0</v>
      </c>
      <c r="FH13" s="134">
        <f t="shared" ca="1" si="159"/>
        <v>0</v>
      </c>
      <c r="FI13" s="134">
        <f t="shared" ca="1" si="160"/>
        <v>0</v>
      </c>
      <c r="FJ13" s="134">
        <f t="shared" ca="1" si="161"/>
        <v>0</v>
      </c>
      <c r="FK13" s="134">
        <f t="shared" ca="1" si="162"/>
        <v>0</v>
      </c>
      <c r="FL13" s="134">
        <f t="shared" ca="1" si="163"/>
        <v>0</v>
      </c>
      <c r="FM13" s="134">
        <f t="shared" ca="1" si="164"/>
        <v>0</v>
      </c>
      <c r="FN13" s="134">
        <f t="shared" ca="1" si="165"/>
        <v>0</v>
      </c>
      <c r="FO13" s="134">
        <f t="shared" ca="1" si="166"/>
        <v>0</v>
      </c>
      <c r="FP13" s="134">
        <f t="shared" ca="1" si="167"/>
        <v>0</v>
      </c>
      <c r="FQ13" s="134">
        <f t="shared" ca="1" si="168"/>
        <v>0</v>
      </c>
      <c r="FR13" s="134">
        <f t="shared" ca="1" si="169"/>
        <v>0</v>
      </c>
      <c r="FS13" s="134">
        <f t="shared" ca="1" si="170"/>
        <v>0</v>
      </c>
      <c r="FT13" s="134">
        <f t="shared" ca="1" si="171"/>
        <v>0</v>
      </c>
      <c r="FU13" s="134">
        <f t="shared" ca="1" si="172"/>
        <v>0</v>
      </c>
      <c r="FV13" s="134">
        <f t="shared" ca="1" si="173"/>
        <v>0</v>
      </c>
      <c r="FW13" s="134">
        <f t="shared" ca="1" si="174"/>
        <v>0</v>
      </c>
      <c r="FX13" s="134">
        <f t="shared" ca="1" si="175"/>
        <v>0</v>
      </c>
      <c r="FY13" s="134">
        <f t="shared" ca="1" si="176"/>
        <v>0</v>
      </c>
      <c r="FZ13" s="134">
        <f t="shared" ca="1" si="177"/>
        <v>0</v>
      </c>
      <c r="GA13" s="134">
        <f t="shared" ca="1" si="178"/>
        <v>0</v>
      </c>
      <c r="GB13" s="134">
        <f t="shared" ca="1" si="179"/>
        <v>0</v>
      </c>
      <c r="GC13" s="134">
        <f t="shared" ca="1" si="180"/>
        <v>0</v>
      </c>
      <c r="GD13" s="134">
        <f t="shared" ca="1" si="181"/>
        <v>0</v>
      </c>
      <c r="GE13" s="134">
        <f t="shared" ca="1" si="182"/>
        <v>0</v>
      </c>
      <c r="GF13" s="134">
        <f t="shared" ca="1" si="183"/>
        <v>0</v>
      </c>
      <c r="GG13" s="134">
        <f t="shared" ca="1" si="184"/>
        <v>0</v>
      </c>
      <c r="GH13" s="134">
        <f t="shared" ca="1" si="185"/>
        <v>0</v>
      </c>
      <c r="GI13" s="134">
        <f t="shared" ca="1" si="186"/>
        <v>0</v>
      </c>
      <c r="GJ13" s="134">
        <f t="shared" ca="1" si="187"/>
        <v>0</v>
      </c>
      <c r="GK13" s="134">
        <f t="shared" ca="1" si="188"/>
        <v>0</v>
      </c>
      <c r="GL13" s="134">
        <f t="shared" ca="1" si="189"/>
        <v>0</v>
      </c>
      <c r="GM13" s="134">
        <f t="shared" ca="1" si="190"/>
        <v>0</v>
      </c>
      <c r="GN13" s="134">
        <f t="shared" ca="1" si="191"/>
        <v>0</v>
      </c>
      <c r="GO13" s="134">
        <f t="shared" ca="1" si="192"/>
        <v>0</v>
      </c>
      <c r="GP13" s="134">
        <f t="shared" ca="1" si="193"/>
        <v>0</v>
      </c>
      <c r="GQ13" s="134">
        <f t="shared" ca="1" si="194"/>
        <v>0</v>
      </c>
      <c r="GR13" s="134">
        <f t="shared" ca="1" si="195"/>
        <v>0</v>
      </c>
      <c r="GS13" s="134">
        <f t="shared" ca="1" si="196"/>
        <v>0</v>
      </c>
      <c r="GT13" s="134">
        <f t="shared" ca="1" si="197"/>
        <v>0</v>
      </c>
      <c r="GU13" s="134">
        <f t="shared" ca="1" si="198"/>
        <v>0</v>
      </c>
      <c r="GV13" s="134">
        <f t="shared" ca="1" si="199"/>
        <v>0</v>
      </c>
      <c r="GW13" s="134">
        <f t="shared" ca="1" si="200"/>
        <v>0</v>
      </c>
      <c r="GX13" s="134">
        <f t="shared" ca="1" si="201"/>
        <v>0</v>
      </c>
      <c r="GY13" s="134">
        <f t="shared" ca="1" si="202"/>
        <v>0</v>
      </c>
      <c r="GZ13" s="134">
        <f t="shared" ca="1" si="203"/>
        <v>0</v>
      </c>
      <c r="HA13" s="134">
        <f t="shared" ca="1" si="204"/>
        <v>0</v>
      </c>
      <c r="HB13" s="134">
        <f t="shared" ca="1" si="205"/>
        <v>0</v>
      </c>
      <c r="HC13" s="134">
        <f t="shared" ca="1" si="206"/>
        <v>0</v>
      </c>
      <c r="HD13" s="134">
        <f t="shared" ca="1" si="207"/>
        <v>0</v>
      </c>
      <c r="HE13" s="134">
        <f t="shared" ca="1" si="208"/>
        <v>0</v>
      </c>
      <c r="HF13" s="134">
        <f t="shared" ca="1" si="209"/>
        <v>0</v>
      </c>
      <c r="HG13" s="134">
        <f t="shared" ca="1" si="210"/>
        <v>0</v>
      </c>
      <c r="HH13" s="134">
        <f t="shared" ca="1" si="211"/>
        <v>0</v>
      </c>
      <c r="HI13" s="134">
        <f t="shared" ca="1" si="212"/>
        <v>0</v>
      </c>
      <c r="HJ13" s="134">
        <f t="shared" ca="1" si="213"/>
        <v>0</v>
      </c>
      <c r="HK13" s="134">
        <f t="shared" ca="1" si="214"/>
        <v>0</v>
      </c>
      <c r="HL13" s="134">
        <f t="shared" ca="1" si="215"/>
        <v>0</v>
      </c>
      <c r="HM13" s="134">
        <f t="shared" ca="1" si="216"/>
        <v>0</v>
      </c>
      <c r="HN13" s="134">
        <f t="shared" ca="1" si="217"/>
        <v>0</v>
      </c>
      <c r="HO13" s="134">
        <f t="shared" ca="1" si="218"/>
        <v>0</v>
      </c>
      <c r="HP13" s="134">
        <f t="shared" ca="1" si="219"/>
        <v>0</v>
      </c>
      <c r="HQ13" s="134">
        <f t="shared" ca="1" si="220"/>
        <v>0</v>
      </c>
      <c r="HR13" s="134">
        <f t="shared" ca="1" si="221"/>
        <v>0</v>
      </c>
      <c r="HS13" s="134">
        <f t="shared" ca="1" si="222"/>
        <v>0</v>
      </c>
      <c r="HT13" s="134">
        <f t="shared" ca="1" si="223"/>
        <v>0</v>
      </c>
      <c r="HU13" s="134">
        <f t="shared" ca="1" si="224"/>
        <v>0</v>
      </c>
      <c r="HV13" s="134">
        <f t="shared" ca="1" si="225"/>
        <v>0</v>
      </c>
      <c r="HW13" s="134">
        <f t="shared" ca="1" si="226"/>
        <v>0</v>
      </c>
      <c r="HX13" s="134">
        <f t="shared" ca="1" si="227"/>
        <v>0</v>
      </c>
      <c r="HY13" s="134">
        <f t="shared" ca="1" si="228"/>
        <v>0</v>
      </c>
      <c r="HZ13" s="134">
        <f t="shared" ca="1" si="229"/>
        <v>0</v>
      </c>
      <c r="IA13" s="134">
        <f t="shared" ca="1" si="230"/>
        <v>0</v>
      </c>
      <c r="IB13" s="134">
        <f t="shared" ca="1" si="231"/>
        <v>0</v>
      </c>
      <c r="IC13" s="134">
        <f t="shared" ca="1" si="232"/>
        <v>0</v>
      </c>
      <c r="ID13" s="134">
        <f t="shared" ca="1" si="233"/>
        <v>0</v>
      </c>
      <c r="IE13" s="134">
        <f t="shared" ca="1" si="234"/>
        <v>0</v>
      </c>
      <c r="IF13" s="134">
        <f t="shared" ca="1" si="235"/>
        <v>0</v>
      </c>
      <c r="IG13" s="134">
        <f t="shared" ca="1" si="236"/>
        <v>0</v>
      </c>
      <c r="IH13" s="134">
        <f t="shared" ca="1" si="237"/>
        <v>0</v>
      </c>
      <c r="II13" s="134">
        <f t="shared" ca="1" si="238"/>
        <v>0</v>
      </c>
      <c r="IJ13" s="135">
        <f t="shared" ca="1" si="239"/>
        <v>0</v>
      </c>
      <c r="IK13" s="132">
        <f t="shared" ca="1" si="240"/>
        <v>0</v>
      </c>
    </row>
    <row r="14" spans="1:245" x14ac:dyDescent="0.45">
      <c r="A14" s="67">
        <v>2025</v>
      </c>
      <c r="B14" s="112"/>
      <c r="C14" s="3">
        <f ca="1">INT(SUM(OFFSET('CAPEX Schedule'!$C$8,0,($A14-$A$4)*12):OFFSET('CAPEX Schedule'!$C$8,0,($A14-$A$4)*12+11)))</f>
        <v>0</v>
      </c>
      <c r="D14" s="3">
        <f ca="1">INT(SUM(OFFSET('CAPEX Schedule'!$C$13,0,($A14-$A$4)*12):OFFSET('CAPEX Schedule'!$C$13,0,($A14-$A$4)*12+11)))-C14</f>
        <v>35000000</v>
      </c>
      <c r="E14" s="130">
        <f t="shared" si="0"/>
        <v>0</v>
      </c>
      <c r="F14" s="134">
        <f t="shared" si="1"/>
        <v>0</v>
      </c>
      <c r="G14" s="134">
        <f t="shared" si="2"/>
        <v>0</v>
      </c>
      <c r="H14" s="134">
        <f t="shared" si="3"/>
        <v>0</v>
      </c>
      <c r="I14" s="134">
        <f t="shared" si="4"/>
        <v>0</v>
      </c>
      <c r="J14" s="134">
        <f t="shared" si="5"/>
        <v>0</v>
      </c>
      <c r="K14" s="134">
        <f t="shared" si="6"/>
        <v>0</v>
      </c>
      <c r="L14" s="134">
        <f t="shared" si="7"/>
        <v>0</v>
      </c>
      <c r="M14" s="134">
        <f t="shared" si="8"/>
        <v>0</v>
      </c>
      <c r="N14" s="134">
        <f t="shared" si="9"/>
        <v>0</v>
      </c>
      <c r="O14" s="134">
        <f t="shared" si="10"/>
        <v>0</v>
      </c>
      <c r="P14" s="134">
        <f t="shared" si="11"/>
        <v>0</v>
      </c>
      <c r="Q14" s="134">
        <f t="shared" si="12"/>
        <v>0</v>
      </c>
      <c r="R14" s="134">
        <f t="shared" si="13"/>
        <v>0</v>
      </c>
      <c r="S14" s="134">
        <f t="shared" si="14"/>
        <v>0</v>
      </c>
      <c r="T14" s="134">
        <f t="shared" si="15"/>
        <v>0</v>
      </c>
      <c r="U14" s="134">
        <f t="shared" si="16"/>
        <v>0</v>
      </c>
      <c r="V14" s="134">
        <f t="shared" si="17"/>
        <v>0</v>
      </c>
      <c r="W14" s="134">
        <f t="shared" si="18"/>
        <v>0</v>
      </c>
      <c r="X14" s="134">
        <f t="shared" si="19"/>
        <v>0</v>
      </c>
      <c r="Y14" s="134">
        <f t="shared" si="20"/>
        <v>0</v>
      </c>
      <c r="Z14" s="134">
        <f t="shared" si="21"/>
        <v>0</v>
      </c>
      <c r="AA14" s="134">
        <f t="shared" si="22"/>
        <v>0</v>
      </c>
      <c r="AB14" s="134">
        <f t="shared" si="23"/>
        <v>0</v>
      </c>
      <c r="AC14" s="134">
        <f t="shared" si="24"/>
        <v>0</v>
      </c>
      <c r="AD14" s="134">
        <f t="shared" si="25"/>
        <v>0</v>
      </c>
      <c r="AE14" s="134">
        <f t="shared" si="26"/>
        <v>0</v>
      </c>
      <c r="AF14" s="134">
        <f t="shared" si="27"/>
        <v>0</v>
      </c>
      <c r="AG14" s="134">
        <f t="shared" si="28"/>
        <v>0</v>
      </c>
      <c r="AH14" s="134">
        <f t="shared" si="29"/>
        <v>0</v>
      </c>
      <c r="AI14" s="134">
        <f t="shared" si="30"/>
        <v>0</v>
      </c>
      <c r="AJ14" s="134">
        <f t="shared" si="31"/>
        <v>0</v>
      </c>
      <c r="AK14" s="134">
        <f t="shared" si="32"/>
        <v>0</v>
      </c>
      <c r="AL14" s="134">
        <f t="shared" si="33"/>
        <v>0</v>
      </c>
      <c r="AM14" s="134">
        <f t="shared" si="34"/>
        <v>0</v>
      </c>
      <c r="AN14" s="134">
        <f t="shared" si="35"/>
        <v>0</v>
      </c>
      <c r="AO14" s="134">
        <f t="shared" si="36"/>
        <v>0</v>
      </c>
      <c r="AP14" s="134">
        <f t="shared" si="37"/>
        <v>0</v>
      </c>
      <c r="AQ14" s="134">
        <f t="shared" si="38"/>
        <v>0</v>
      </c>
      <c r="AR14" s="134">
        <f t="shared" si="39"/>
        <v>0</v>
      </c>
      <c r="AS14" s="134">
        <f t="shared" si="40"/>
        <v>0</v>
      </c>
      <c r="AT14" s="134">
        <f t="shared" si="41"/>
        <v>0</v>
      </c>
      <c r="AU14" s="134">
        <f t="shared" si="42"/>
        <v>0</v>
      </c>
      <c r="AV14" s="134">
        <f t="shared" si="43"/>
        <v>0</v>
      </c>
      <c r="AW14" s="134">
        <f t="shared" si="44"/>
        <v>0</v>
      </c>
      <c r="AX14" s="134">
        <f t="shared" si="45"/>
        <v>0</v>
      </c>
      <c r="AY14" s="134">
        <f t="shared" si="46"/>
        <v>0</v>
      </c>
      <c r="AZ14" s="134">
        <f t="shared" si="47"/>
        <v>0</v>
      </c>
      <c r="BA14" s="134">
        <f t="shared" si="48"/>
        <v>0</v>
      </c>
      <c r="BB14" s="134">
        <f t="shared" si="49"/>
        <v>0</v>
      </c>
      <c r="BC14" s="134">
        <f t="shared" si="50"/>
        <v>0</v>
      </c>
      <c r="BD14" s="134">
        <f t="shared" si="51"/>
        <v>0</v>
      </c>
      <c r="BE14" s="134">
        <f t="shared" si="52"/>
        <v>0</v>
      </c>
      <c r="BF14" s="134">
        <f t="shared" si="53"/>
        <v>0</v>
      </c>
      <c r="BG14" s="134">
        <f t="shared" si="54"/>
        <v>0</v>
      </c>
      <c r="BH14" s="134">
        <f t="shared" si="55"/>
        <v>0</v>
      </c>
      <c r="BI14" s="134">
        <f t="shared" si="56"/>
        <v>0</v>
      </c>
      <c r="BJ14" s="134">
        <f t="shared" si="57"/>
        <v>0</v>
      </c>
      <c r="BK14" s="134">
        <f t="shared" si="58"/>
        <v>0</v>
      </c>
      <c r="BL14" s="134">
        <f t="shared" si="59"/>
        <v>0</v>
      </c>
      <c r="BM14" s="134">
        <f t="shared" si="60"/>
        <v>0</v>
      </c>
      <c r="BN14" s="134">
        <f t="shared" si="61"/>
        <v>0</v>
      </c>
      <c r="BO14" s="134">
        <f t="shared" si="62"/>
        <v>0</v>
      </c>
      <c r="BP14" s="134">
        <f t="shared" si="63"/>
        <v>0</v>
      </c>
      <c r="BQ14" s="134">
        <f t="shared" si="64"/>
        <v>0</v>
      </c>
      <c r="BR14" s="134">
        <f t="shared" si="65"/>
        <v>0</v>
      </c>
      <c r="BS14" s="134">
        <f t="shared" si="66"/>
        <v>0</v>
      </c>
      <c r="BT14" s="134">
        <f t="shared" si="67"/>
        <v>0</v>
      </c>
      <c r="BU14" s="134">
        <f t="shared" si="68"/>
        <v>0</v>
      </c>
      <c r="BV14" s="134">
        <f t="shared" si="69"/>
        <v>0</v>
      </c>
      <c r="BW14" s="134">
        <f t="shared" si="70"/>
        <v>0</v>
      </c>
      <c r="BX14" s="134">
        <f t="shared" si="71"/>
        <v>0</v>
      </c>
      <c r="BY14" s="134">
        <f t="shared" si="72"/>
        <v>0</v>
      </c>
      <c r="BZ14" s="134">
        <f t="shared" si="73"/>
        <v>0</v>
      </c>
      <c r="CA14" s="134">
        <f t="shared" si="74"/>
        <v>0</v>
      </c>
      <c r="CB14" s="134">
        <f t="shared" si="75"/>
        <v>0</v>
      </c>
      <c r="CC14" s="134">
        <f t="shared" si="76"/>
        <v>0</v>
      </c>
      <c r="CD14" s="134">
        <f t="shared" si="77"/>
        <v>0</v>
      </c>
      <c r="CE14" s="134">
        <f t="shared" si="78"/>
        <v>0</v>
      </c>
      <c r="CF14" s="134">
        <f t="shared" si="79"/>
        <v>0</v>
      </c>
      <c r="CG14" s="134">
        <f t="shared" si="80"/>
        <v>0</v>
      </c>
      <c r="CH14" s="134">
        <f t="shared" si="81"/>
        <v>0</v>
      </c>
      <c r="CI14" s="134">
        <f t="shared" si="82"/>
        <v>0</v>
      </c>
      <c r="CJ14" s="134">
        <f t="shared" si="83"/>
        <v>0</v>
      </c>
      <c r="CK14" s="134">
        <f t="shared" si="84"/>
        <v>0</v>
      </c>
      <c r="CL14" s="134">
        <f t="shared" si="85"/>
        <v>0</v>
      </c>
      <c r="CM14" s="134">
        <f t="shared" si="86"/>
        <v>0</v>
      </c>
      <c r="CN14" s="134">
        <f t="shared" si="87"/>
        <v>0</v>
      </c>
      <c r="CO14" s="134">
        <f t="shared" si="88"/>
        <v>0</v>
      </c>
      <c r="CP14" s="134">
        <f t="shared" si="89"/>
        <v>0</v>
      </c>
      <c r="CQ14" s="134">
        <f t="shared" si="90"/>
        <v>0</v>
      </c>
      <c r="CR14" s="134">
        <f t="shared" si="91"/>
        <v>0</v>
      </c>
      <c r="CS14" s="134">
        <f t="shared" si="92"/>
        <v>0</v>
      </c>
      <c r="CT14" s="134">
        <f t="shared" si="93"/>
        <v>0</v>
      </c>
      <c r="CU14" s="134">
        <f t="shared" si="94"/>
        <v>0</v>
      </c>
      <c r="CV14" s="134">
        <f t="shared" si="95"/>
        <v>0</v>
      </c>
      <c r="CW14" s="134">
        <f t="shared" si="96"/>
        <v>0</v>
      </c>
      <c r="CX14" s="134">
        <f t="shared" si="97"/>
        <v>0</v>
      </c>
      <c r="CY14" s="134">
        <f t="shared" si="98"/>
        <v>0</v>
      </c>
      <c r="CZ14" s="134">
        <f t="shared" si="99"/>
        <v>0</v>
      </c>
      <c r="DA14" s="134">
        <f t="shared" si="100"/>
        <v>0</v>
      </c>
      <c r="DB14" s="134">
        <f t="shared" si="101"/>
        <v>0</v>
      </c>
      <c r="DC14" s="134">
        <f t="shared" si="102"/>
        <v>0</v>
      </c>
      <c r="DD14" s="134">
        <f t="shared" si="103"/>
        <v>0</v>
      </c>
      <c r="DE14" s="134">
        <f t="shared" si="104"/>
        <v>0</v>
      </c>
      <c r="DF14" s="134">
        <f t="shared" si="105"/>
        <v>0</v>
      </c>
      <c r="DG14" s="134">
        <f t="shared" si="106"/>
        <v>0</v>
      </c>
      <c r="DH14" s="134">
        <f t="shared" si="107"/>
        <v>0</v>
      </c>
      <c r="DI14" s="134">
        <f t="shared" si="108"/>
        <v>0</v>
      </c>
      <c r="DJ14" s="134">
        <f t="shared" si="109"/>
        <v>0</v>
      </c>
      <c r="DK14" s="134">
        <f t="shared" si="110"/>
        <v>0</v>
      </c>
      <c r="DL14" s="134">
        <f t="shared" si="111"/>
        <v>0</v>
      </c>
      <c r="DM14" s="134">
        <f t="shared" si="112"/>
        <v>0</v>
      </c>
      <c r="DN14" s="134">
        <f t="shared" si="113"/>
        <v>0</v>
      </c>
      <c r="DO14" s="134">
        <f t="shared" si="114"/>
        <v>0</v>
      </c>
      <c r="DP14" s="134">
        <f t="shared" si="115"/>
        <v>0</v>
      </c>
      <c r="DQ14" s="134">
        <f t="shared" si="116"/>
        <v>0</v>
      </c>
      <c r="DR14" s="134">
        <f t="shared" si="117"/>
        <v>0</v>
      </c>
      <c r="DS14" s="134">
        <f t="shared" si="118"/>
        <v>0</v>
      </c>
      <c r="DT14" s="134">
        <f t="shared" si="119"/>
        <v>0</v>
      </c>
      <c r="DU14" s="134">
        <f t="shared" ca="1" si="120"/>
        <v>0</v>
      </c>
      <c r="DV14" s="134">
        <f t="shared" ca="1" si="121"/>
        <v>0</v>
      </c>
      <c r="DW14" s="134">
        <f t="shared" ca="1" si="122"/>
        <v>0</v>
      </c>
      <c r="DX14" s="134">
        <f t="shared" ca="1" si="123"/>
        <v>0</v>
      </c>
      <c r="DY14" s="134">
        <f t="shared" ca="1" si="124"/>
        <v>0</v>
      </c>
      <c r="DZ14" s="134">
        <f t="shared" ca="1" si="125"/>
        <v>0</v>
      </c>
      <c r="EA14" s="134">
        <f t="shared" ca="1" si="126"/>
        <v>0</v>
      </c>
      <c r="EB14" s="134">
        <f t="shared" ca="1" si="127"/>
        <v>0</v>
      </c>
      <c r="EC14" s="134">
        <f t="shared" ca="1" si="128"/>
        <v>0</v>
      </c>
      <c r="ED14" s="134">
        <f t="shared" ca="1" si="129"/>
        <v>0</v>
      </c>
      <c r="EE14" s="134">
        <f t="shared" ca="1" si="130"/>
        <v>0</v>
      </c>
      <c r="EF14" s="134">
        <f t="shared" ca="1" si="131"/>
        <v>0</v>
      </c>
      <c r="EG14" s="134">
        <f t="shared" ca="1" si="132"/>
        <v>0</v>
      </c>
      <c r="EH14" s="134">
        <f t="shared" ca="1" si="133"/>
        <v>0</v>
      </c>
      <c r="EI14" s="134">
        <f t="shared" ca="1" si="134"/>
        <v>0</v>
      </c>
      <c r="EJ14" s="134">
        <f t="shared" ca="1" si="135"/>
        <v>0</v>
      </c>
      <c r="EK14" s="134">
        <f t="shared" ca="1" si="136"/>
        <v>0</v>
      </c>
      <c r="EL14" s="134">
        <f t="shared" ca="1" si="137"/>
        <v>0</v>
      </c>
      <c r="EM14" s="134">
        <f t="shared" ca="1" si="138"/>
        <v>0</v>
      </c>
      <c r="EN14" s="134">
        <f t="shared" ca="1" si="139"/>
        <v>0</v>
      </c>
      <c r="EO14" s="134">
        <f t="shared" ca="1" si="140"/>
        <v>0</v>
      </c>
      <c r="EP14" s="134">
        <f t="shared" ca="1" si="141"/>
        <v>0</v>
      </c>
      <c r="EQ14" s="134">
        <f t="shared" ca="1" si="142"/>
        <v>0</v>
      </c>
      <c r="ER14" s="134">
        <f t="shared" ca="1" si="143"/>
        <v>0</v>
      </c>
      <c r="ES14" s="134">
        <f t="shared" ca="1" si="144"/>
        <v>0</v>
      </c>
      <c r="ET14" s="134">
        <f t="shared" ca="1" si="145"/>
        <v>0</v>
      </c>
      <c r="EU14" s="134">
        <f t="shared" ca="1" si="146"/>
        <v>0</v>
      </c>
      <c r="EV14" s="134">
        <f t="shared" ca="1" si="147"/>
        <v>0</v>
      </c>
      <c r="EW14" s="134">
        <f t="shared" ca="1" si="148"/>
        <v>0</v>
      </c>
      <c r="EX14" s="134">
        <f t="shared" ca="1" si="149"/>
        <v>0</v>
      </c>
      <c r="EY14" s="134">
        <f t="shared" ca="1" si="150"/>
        <v>0</v>
      </c>
      <c r="EZ14" s="134">
        <f t="shared" ca="1" si="151"/>
        <v>0</v>
      </c>
      <c r="FA14" s="134">
        <f t="shared" ca="1" si="152"/>
        <v>0</v>
      </c>
      <c r="FB14" s="134">
        <f t="shared" ca="1" si="153"/>
        <v>0</v>
      </c>
      <c r="FC14" s="134">
        <f t="shared" ca="1" si="154"/>
        <v>0</v>
      </c>
      <c r="FD14" s="134">
        <f t="shared" ca="1" si="155"/>
        <v>0</v>
      </c>
      <c r="FE14" s="134">
        <f t="shared" ca="1" si="156"/>
        <v>0</v>
      </c>
      <c r="FF14" s="134">
        <f t="shared" ca="1" si="157"/>
        <v>0</v>
      </c>
      <c r="FG14" s="134">
        <f t="shared" ca="1" si="158"/>
        <v>0</v>
      </c>
      <c r="FH14" s="134">
        <f t="shared" ca="1" si="159"/>
        <v>0</v>
      </c>
      <c r="FI14" s="134">
        <f t="shared" ca="1" si="160"/>
        <v>0</v>
      </c>
      <c r="FJ14" s="134">
        <f t="shared" ca="1" si="161"/>
        <v>0</v>
      </c>
      <c r="FK14" s="134">
        <f t="shared" ca="1" si="162"/>
        <v>0</v>
      </c>
      <c r="FL14" s="134">
        <f t="shared" ca="1" si="163"/>
        <v>0</v>
      </c>
      <c r="FM14" s="134">
        <f t="shared" ca="1" si="164"/>
        <v>0</v>
      </c>
      <c r="FN14" s="134">
        <f t="shared" ca="1" si="165"/>
        <v>0</v>
      </c>
      <c r="FO14" s="134">
        <f t="shared" ca="1" si="166"/>
        <v>0</v>
      </c>
      <c r="FP14" s="134">
        <f t="shared" ca="1" si="167"/>
        <v>0</v>
      </c>
      <c r="FQ14" s="134">
        <f t="shared" ca="1" si="168"/>
        <v>0</v>
      </c>
      <c r="FR14" s="134">
        <f t="shared" ca="1" si="169"/>
        <v>0</v>
      </c>
      <c r="FS14" s="134">
        <f t="shared" ca="1" si="170"/>
        <v>0</v>
      </c>
      <c r="FT14" s="134">
        <f t="shared" ca="1" si="171"/>
        <v>0</v>
      </c>
      <c r="FU14" s="134">
        <f t="shared" ca="1" si="172"/>
        <v>0</v>
      </c>
      <c r="FV14" s="134">
        <f t="shared" ca="1" si="173"/>
        <v>0</v>
      </c>
      <c r="FW14" s="134">
        <f t="shared" ca="1" si="174"/>
        <v>0</v>
      </c>
      <c r="FX14" s="134">
        <f t="shared" ca="1" si="175"/>
        <v>0</v>
      </c>
      <c r="FY14" s="134">
        <f t="shared" ca="1" si="176"/>
        <v>0</v>
      </c>
      <c r="FZ14" s="134">
        <f t="shared" ca="1" si="177"/>
        <v>0</v>
      </c>
      <c r="GA14" s="134">
        <f t="shared" ca="1" si="178"/>
        <v>0</v>
      </c>
      <c r="GB14" s="134">
        <f t="shared" ca="1" si="179"/>
        <v>0</v>
      </c>
      <c r="GC14" s="134">
        <f t="shared" ca="1" si="180"/>
        <v>0</v>
      </c>
      <c r="GD14" s="134">
        <f t="shared" ca="1" si="181"/>
        <v>0</v>
      </c>
      <c r="GE14" s="134">
        <f t="shared" ca="1" si="182"/>
        <v>0</v>
      </c>
      <c r="GF14" s="134">
        <f t="shared" ca="1" si="183"/>
        <v>0</v>
      </c>
      <c r="GG14" s="134">
        <f t="shared" ca="1" si="184"/>
        <v>0</v>
      </c>
      <c r="GH14" s="134">
        <f t="shared" ca="1" si="185"/>
        <v>0</v>
      </c>
      <c r="GI14" s="134">
        <f t="shared" ca="1" si="186"/>
        <v>0</v>
      </c>
      <c r="GJ14" s="134">
        <f t="shared" ca="1" si="187"/>
        <v>0</v>
      </c>
      <c r="GK14" s="134">
        <f t="shared" ca="1" si="188"/>
        <v>0</v>
      </c>
      <c r="GL14" s="134">
        <f t="shared" ca="1" si="189"/>
        <v>0</v>
      </c>
      <c r="GM14" s="134">
        <f t="shared" ca="1" si="190"/>
        <v>0</v>
      </c>
      <c r="GN14" s="134">
        <f t="shared" ca="1" si="191"/>
        <v>0</v>
      </c>
      <c r="GO14" s="134">
        <f t="shared" ca="1" si="192"/>
        <v>0</v>
      </c>
      <c r="GP14" s="134">
        <f t="shared" ca="1" si="193"/>
        <v>0</v>
      </c>
      <c r="GQ14" s="134">
        <f t="shared" ca="1" si="194"/>
        <v>0</v>
      </c>
      <c r="GR14" s="134">
        <f t="shared" ca="1" si="195"/>
        <v>0</v>
      </c>
      <c r="GS14" s="134">
        <f t="shared" ca="1" si="196"/>
        <v>0</v>
      </c>
      <c r="GT14" s="134">
        <f t="shared" ca="1" si="197"/>
        <v>0</v>
      </c>
      <c r="GU14" s="134">
        <f t="shared" ca="1" si="198"/>
        <v>0</v>
      </c>
      <c r="GV14" s="134">
        <f t="shared" ca="1" si="199"/>
        <v>0</v>
      </c>
      <c r="GW14" s="134">
        <f t="shared" ca="1" si="200"/>
        <v>0</v>
      </c>
      <c r="GX14" s="134">
        <f t="shared" ca="1" si="201"/>
        <v>0</v>
      </c>
      <c r="GY14" s="134">
        <f t="shared" ca="1" si="202"/>
        <v>0</v>
      </c>
      <c r="GZ14" s="134">
        <f t="shared" ca="1" si="203"/>
        <v>0</v>
      </c>
      <c r="HA14" s="134">
        <f t="shared" ca="1" si="204"/>
        <v>0</v>
      </c>
      <c r="HB14" s="134">
        <f t="shared" ca="1" si="205"/>
        <v>0</v>
      </c>
      <c r="HC14" s="134">
        <f t="shared" ca="1" si="206"/>
        <v>0</v>
      </c>
      <c r="HD14" s="134">
        <f t="shared" ca="1" si="207"/>
        <v>0</v>
      </c>
      <c r="HE14" s="134">
        <f t="shared" ca="1" si="208"/>
        <v>0</v>
      </c>
      <c r="HF14" s="134">
        <f t="shared" ca="1" si="209"/>
        <v>0</v>
      </c>
      <c r="HG14" s="134">
        <f t="shared" ca="1" si="210"/>
        <v>0</v>
      </c>
      <c r="HH14" s="134">
        <f t="shared" ca="1" si="211"/>
        <v>0</v>
      </c>
      <c r="HI14" s="134">
        <f t="shared" ca="1" si="212"/>
        <v>0</v>
      </c>
      <c r="HJ14" s="134">
        <f t="shared" ca="1" si="213"/>
        <v>0</v>
      </c>
      <c r="HK14" s="134">
        <f t="shared" ca="1" si="214"/>
        <v>0</v>
      </c>
      <c r="HL14" s="134">
        <f t="shared" ca="1" si="215"/>
        <v>0</v>
      </c>
      <c r="HM14" s="134">
        <f t="shared" ca="1" si="216"/>
        <v>0</v>
      </c>
      <c r="HN14" s="134">
        <f t="shared" ca="1" si="217"/>
        <v>0</v>
      </c>
      <c r="HO14" s="134">
        <f t="shared" ca="1" si="218"/>
        <v>0</v>
      </c>
      <c r="HP14" s="134">
        <f t="shared" ca="1" si="219"/>
        <v>0</v>
      </c>
      <c r="HQ14" s="134">
        <f t="shared" ca="1" si="220"/>
        <v>0</v>
      </c>
      <c r="HR14" s="134">
        <f t="shared" ca="1" si="221"/>
        <v>0</v>
      </c>
      <c r="HS14" s="134">
        <f t="shared" ca="1" si="222"/>
        <v>0</v>
      </c>
      <c r="HT14" s="134">
        <f t="shared" ca="1" si="223"/>
        <v>0</v>
      </c>
      <c r="HU14" s="134">
        <f t="shared" ca="1" si="224"/>
        <v>0</v>
      </c>
      <c r="HV14" s="134">
        <f t="shared" ca="1" si="225"/>
        <v>0</v>
      </c>
      <c r="HW14" s="134">
        <f t="shared" ca="1" si="226"/>
        <v>0</v>
      </c>
      <c r="HX14" s="134">
        <f t="shared" ca="1" si="227"/>
        <v>0</v>
      </c>
      <c r="HY14" s="134">
        <f t="shared" ca="1" si="228"/>
        <v>0</v>
      </c>
      <c r="HZ14" s="134">
        <f t="shared" ca="1" si="229"/>
        <v>0</v>
      </c>
      <c r="IA14" s="134">
        <f t="shared" ca="1" si="230"/>
        <v>0</v>
      </c>
      <c r="IB14" s="134">
        <f t="shared" ca="1" si="231"/>
        <v>0</v>
      </c>
      <c r="IC14" s="134">
        <f t="shared" ca="1" si="232"/>
        <v>0</v>
      </c>
      <c r="ID14" s="134">
        <f t="shared" ca="1" si="233"/>
        <v>0</v>
      </c>
      <c r="IE14" s="134">
        <f t="shared" ca="1" si="234"/>
        <v>0</v>
      </c>
      <c r="IF14" s="134">
        <f t="shared" ca="1" si="235"/>
        <v>0</v>
      </c>
      <c r="IG14" s="134">
        <f t="shared" ca="1" si="236"/>
        <v>0</v>
      </c>
      <c r="IH14" s="134">
        <f t="shared" ca="1" si="237"/>
        <v>0</v>
      </c>
      <c r="II14" s="134">
        <f t="shared" ca="1" si="238"/>
        <v>0</v>
      </c>
      <c r="IJ14" s="135">
        <f t="shared" ca="1" si="239"/>
        <v>0</v>
      </c>
      <c r="IK14" s="132">
        <f t="shared" ca="1" si="240"/>
        <v>0</v>
      </c>
    </row>
    <row r="15" spans="1:245" x14ac:dyDescent="0.45">
      <c r="A15" s="67">
        <v>2026</v>
      </c>
      <c r="B15" s="112"/>
      <c r="C15" s="3">
        <f ca="1">INT(SUM(OFFSET('CAPEX Schedule'!$C$8,0,($A15-$A$4)*12):OFFSET('CAPEX Schedule'!$C$8,0,($A15-$A$4)*12+11)))</f>
        <v>0</v>
      </c>
      <c r="D15" s="3">
        <f ca="1">INT(SUM(OFFSET('CAPEX Schedule'!$C$13,0,($A15-$A$4)*12):OFFSET('CAPEX Schedule'!$C$13,0,($A15-$A$4)*12+11)))-C15</f>
        <v>15000000</v>
      </c>
      <c r="E15" s="130">
        <f t="shared" si="0"/>
        <v>0</v>
      </c>
      <c r="F15" s="134">
        <f t="shared" si="1"/>
        <v>0</v>
      </c>
      <c r="G15" s="134">
        <f t="shared" si="2"/>
        <v>0</v>
      </c>
      <c r="H15" s="134">
        <f t="shared" si="3"/>
        <v>0</v>
      </c>
      <c r="I15" s="134">
        <f t="shared" si="4"/>
        <v>0</v>
      </c>
      <c r="J15" s="134">
        <f t="shared" si="5"/>
        <v>0</v>
      </c>
      <c r="K15" s="134">
        <f t="shared" si="6"/>
        <v>0</v>
      </c>
      <c r="L15" s="134">
        <f t="shared" si="7"/>
        <v>0</v>
      </c>
      <c r="M15" s="134">
        <f t="shared" si="8"/>
        <v>0</v>
      </c>
      <c r="N15" s="134">
        <f t="shared" si="9"/>
        <v>0</v>
      </c>
      <c r="O15" s="134">
        <f t="shared" si="10"/>
        <v>0</v>
      </c>
      <c r="P15" s="134">
        <f t="shared" si="11"/>
        <v>0</v>
      </c>
      <c r="Q15" s="134">
        <f t="shared" si="12"/>
        <v>0</v>
      </c>
      <c r="R15" s="134">
        <f t="shared" si="13"/>
        <v>0</v>
      </c>
      <c r="S15" s="134">
        <f t="shared" si="14"/>
        <v>0</v>
      </c>
      <c r="T15" s="134">
        <f t="shared" si="15"/>
        <v>0</v>
      </c>
      <c r="U15" s="134">
        <f t="shared" si="16"/>
        <v>0</v>
      </c>
      <c r="V15" s="134">
        <f t="shared" si="17"/>
        <v>0</v>
      </c>
      <c r="W15" s="134">
        <f t="shared" si="18"/>
        <v>0</v>
      </c>
      <c r="X15" s="134">
        <f t="shared" si="19"/>
        <v>0</v>
      </c>
      <c r="Y15" s="134">
        <f t="shared" si="20"/>
        <v>0</v>
      </c>
      <c r="Z15" s="134">
        <f t="shared" si="21"/>
        <v>0</v>
      </c>
      <c r="AA15" s="134">
        <f t="shared" si="22"/>
        <v>0</v>
      </c>
      <c r="AB15" s="134">
        <f t="shared" si="23"/>
        <v>0</v>
      </c>
      <c r="AC15" s="134">
        <f t="shared" si="24"/>
        <v>0</v>
      </c>
      <c r="AD15" s="134">
        <f t="shared" si="25"/>
        <v>0</v>
      </c>
      <c r="AE15" s="134">
        <f t="shared" si="26"/>
        <v>0</v>
      </c>
      <c r="AF15" s="134">
        <f t="shared" si="27"/>
        <v>0</v>
      </c>
      <c r="AG15" s="134">
        <f t="shared" si="28"/>
        <v>0</v>
      </c>
      <c r="AH15" s="134">
        <f t="shared" si="29"/>
        <v>0</v>
      </c>
      <c r="AI15" s="134">
        <f t="shared" si="30"/>
        <v>0</v>
      </c>
      <c r="AJ15" s="134">
        <f t="shared" si="31"/>
        <v>0</v>
      </c>
      <c r="AK15" s="134">
        <f t="shared" si="32"/>
        <v>0</v>
      </c>
      <c r="AL15" s="134">
        <f t="shared" si="33"/>
        <v>0</v>
      </c>
      <c r="AM15" s="134">
        <f t="shared" si="34"/>
        <v>0</v>
      </c>
      <c r="AN15" s="134">
        <f t="shared" si="35"/>
        <v>0</v>
      </c>
      <c r="AO15" s="134">
        <f t="shared" si="36"/>
        <v>0</v>
      </c>
      <c r="AP15" s="134">
        <f t="shared" si="37"/>
        <v>0</v>
      </c>
      <c r="AQ15" s="134">
        <f t="shared" si="38"/>
        <v>0</v>
      </c>
      <c r="AR15" s="134">
        <f t="shared" si="39"/>
        <v>0</v>
      </c>
      <c r="AS15" s="134">
        <f t="shared" si="40"/>
        <v>0</v>
      </c>
      <c r="AT15" s="134">
        <f t="shared" si="41"/>
        <v>0</v>
      </c>
      <c r="AU15" s="134">
        <f t="shared" si="42"/>
        <v>0</v>
      </c>
      <c r="AV15" s="134">
        <f t="shared" si="43"/>
        <v>0</v>
      </c>
      <c r="AW15" s="134">
        <f t="shared" si="44"/>
        <v>0</v>
      </c>
      <c r="AX15" s="134">
        <f t="shared" si="45"/>
        <v>0</v>
      </c>
      <c r="AY15" s="134">
        <f t="shared" si="46"/>
        <v>0</v>
      </c>
      <c r="AZ15" s="134">
        <f t="shared" si="47"/>
        <v>0</v>
      </c>
      <c r="BA15" s="134">
        <f t="shared" si="48"/>
        <v>0</v>
      </c>
      <c r="BB15" s="134">
        <f t="shared" si="49"/>
        <v>0</v>
      </c>
      <c r="BC15" s="134">
        <f t="shared" si="50"/>
        <v>0</v>
      </c>
      <c r="BD15" s="134">
        <f t="shared" si="51"/>
        <v>0</v>
      </c>
      <c r="BE15" s="134">
        <f t="shared" si="52"/>
        <v>0</v>
      </c>
      <c r="BF15" s="134">
        <f t="shared" si="53"/>
        <v>0</v>
      </c>
      <c r="BG15" s="134">
        <f t="shared" si="54"/>
        <v>0</v>
      </c>
      <c r="BH15" s="134">
        <f t="shared" si="55"/>
        <v>0</v>
      </c>
      <c r="BI15" s="134">
        <f t="shared" si="56"/>
        <v>0</v>
      </c>
      <c r="BJ15" s="134">
        <f t="shared" si="57"/>
        <v>0</v>
      </c>
      <c r="BK15" s="134">
        <f t="shared" si="58"/>
        <v>0</v>
      </c>
      <c r="BL15" s="134">
        <f t="shared" si="59"/>
        <v>0</v>
      </c>
      <c r="BM15" s="134">
        <f t="shared" si="60"/>
        <v>0</v>
      </c>
      <c r="BN15" s="134">
        <f t="shared" si="61"/>
        <v>0</v>
      </c>
      <c r="BO15" s="134">
        <f t="shared" si="62"/>
        <v>0</v>
      </c>
      <c r="BP15" s="134">
        <f t="shared" si="63"/>
        <v>0</v>
      </c>
      <c r="BQ15" s="134">
        <f t="shared" si="64"/>
        <v>0</v>
      </c>
      <c r="BR15" s="134">
        <f t="shared" si="65"/>
        <v>0</v>
      </c>
      <c r="BS15" s="134">
        <f t="shared" si="66"/>
        <v>0</v>
      </c>
      <c r="BT15" s="134">
        <f t="shared" si="67"/>
        <v>0</v>
      </c>
      <c r="BU15" s="134">
        <f t="shared" si="68"/>
        <v>0</v>
      </c>
      <c r="BV15" s="134">
        <f t="shared" si="69"/>
        <v>0</v>
      </c>
      <c r="BW15" s="134">
        <f t="shared" si="70"/>
        <v>0</v>
      </c>
      <c r="BX15" s="134">
        <f t="shared" si="71"/>
        <v>0</v>
      </c>
      <c r="BY15" s="134">
        <f t="shared" si="72"/>
        <v>0</v>
      </c>
      <c r="BZ15" s="134">
        <f t="shared" si="73"/>
        <v>0</v>
      </c>
      <c r="CA15" s="134">
        <f t="shared" si="74"/>
        <v>0</v>
      </c>
      <c r="CB15" s="134">
        <f t="shared" si="75"/>
        <v>0</v>
      </c>
      <c r="CC15" s="134">
        <f t="shared" si="76"/>
        <v>0</v>
      </c>
      <c r="CD15" s="134">
        <f t="shared" si="77"/>
        <v>0</v>
      </c>
      <c r="CE15" s="134">
        <f t="shared" si="78"/>
        <v>0</v>
      </c>
      <c r="CF15" s="134">
        <f t="shared" si="79"/>
        <v>0</v>
      </c>
      <c r="CG15" s="134">
        <f t="shared" si="80"/>
        <v>0</v>
      </c>
      <c r="CH15" s="134">
        <f t="shared" si="81"/>
        <v>0</v>
      </c>
      <c r="CI15" s="134">
        <f t="shared" si="82"/>
        <v>0</v>
      </c>
      <c r="CJ15" s="134">
        <f t="shared" si="83"/>
        <v>0</v>
      </c>
      <c r="CK15" s="134">
        <f t="shared" si="84"/>
        <v>0</v>
      </c>
      <c r="CL15" s="134">
        <f t="shared" si="85"/>
        <v>0</v>
      </c>
      <c r="CM15" s="134">
        <f t="shared" si="86"/>
        <v>0</v>
      </c>
      <c r="CN15" s="134">
        <f t="shared" si="87"/>
        <v>0</v>
      </c>
      <c r="CO15" s="134">
        <f t="shared" si="88"/>
        <v>0</v>
      </c>
      <c r="CP15" s="134">
        <f t="shared" si="89"/>
        <v>0</v>
      </c>
      <c r="CQ15" s="134">
        <f t="shared" si="90"/>
        <v>0</v>
      </c>
      <c r="CR15" s="134">
        <f t="shared" si="91"/>
        <v>0</v>
      </c>
      <c r="CS15" s="134">
        <f t="shared" si="92"/>
        <v>0</v>
      </c>
      <c r="CT15" s="134">
        <f t="shared" si="93"/>
        <v>0</v>
      </c>
      <c r="CU15" s="134">
        <f t="shared" si="94"/>
        <v>0</v>
      </c>
      <c r="CV15" s="134">
        <f t="shared" si="95"/>
        <v>0</v>
      </c>
      <c r="CW15" s="134">
        <f t="shared" si="96"/>
        <v>0</v>
      </c>
      <c r="CX15" s="134">
        <f t="shared" si="97"/>
        <v>0</v>
      </c>
      <c r="CY15" s="134">
        <f t="shared" si="98"/>
        <v>0</v>
      </c>
      <c r="CZ15" s="134">
        <f t="shared" si="99"/>
        <v>0</v>
      </c>
      <c r="DA15" s="134">
        <f t="shared" si="100"/>
        <v>0</v>
      </c>
      <c r="DB15" s="134">
        <f t="shared" si="101"/>
        <v>0</v>
      </c>
      <c r="DC15" s="134">
        <f t="shared" si="102"/>
        <v>0</v>
      </c>
      <c r="DD15" s="134">
        <f t="shared" si="103"/>
        <v>0</v>
      </c>
      <c r="DE15" s="134">
        <f t="shared" si="104"/>
        <v>0</v>
      </c>
      <c r="DF15" s="134">
        <f t="shared" si="105"/>
        <v>0</v>
      </c>
      <c r="DG15" s="134">
        <f t="shared" si="106"/>
        <v>0</v>
      </c>
      <c r="DH15" s="134">
        <f t="shared" si="107"/>
        <v>0</v>
      </c>
      <c r="DI15" s="134">
        <f t="shared" si="108"/>
        <v>0</v>
      </c>
      <c r="DJ15" s="134">
        <f t="shared" si="109"/>
        <v>0</v>
      </c>
      <c r="DK15" s="134">
        <f t="shared" si="110"/>
        <v>0</v>
      </c>
      <c r="DL15" s="134">
        <f t="shared" si="111"/>
        <v>0</v>
      </c>
      <c r="DM15" s="134">
        <f t="shared" si="112"/>
        <v>0</v>
      </c>
      <c r="DN15" s="134">
        <f t="shared" si="113"/>
        <v>0</v>
      </c>
      <c r="DO15" s="134">
        <f t="shared" si="114"/>
        <v>0</v>
      </c>
      <c r="DP15" s="134">
        <f t="shared" si="115"/>
        <v>0</v>
      </c>
      <c r="DQ15" s="134">
        <f t="shared" si="116"/>
        <v>0</v>
      </c>
      <c r="DR15" s="134">
        <f t="shared" si="117"/>
        <v>0</v>
      </c>
      <c r="DS15" s="134">
        <f t="shared" si="118"/>
        <v>0</v>
      </c>
      <c r="DT15" s="134">
        <f t="shared" si="119"/>
        <v>0</v>
      </c>
      <c r="DU15" s="134">
        <f t="shared" si="120"/>
        <v>0</v>
      </c>
      <c r="DV15" s="134">
        <f t="shared" si="121"/>
        <v>0</v>
      </c>
      <c r="DW15" s="134">
        <f t="shared" si="122"/>
        <v>0</v>
      </c>
      <c r="DX15" s="134">
        <f t="shared" si="123"/>
        <v>0</v>
      </c>
      <c r="DY15" s="134">
        <f t="shared" si="124"/>
        <v>0</v>
      </c>
      <c r="DZ15" s="134">
        <f t="shared" si="125"/>
        <v>0</v>
      </c>
      <c r="EA15" s="134">
        <f t="shared" si="126"/>
        <v>0</v>
      </c>
      <c r="EB15" s="134">
        <f t="shared" si="127"/>
        <v>0</v>
      </c>
      <c r="EC15" s="134">
        <f t="shared" si="128"/>
        <v>0</v>
      </c>
      <c r="ED15" s="134">
        <f t="shared" si="129"/>
        <v>0</v>
      </c>
      <c r="EE15" s="134">
        <f t="shared" si="130"/>
        <v>0</v>
      </c>
      <c r="EF15" s="134">
        <f t="shared" si="131"/>
        <v>0</v>
      </c>
      <c r="EG15" s="134">
        <f t="shared" ca="1" si="132"/>
        <v>1166666.6666666667</v>
      </c>
      <c r="EH15" s="134">
        <f t="shared" ca="1" si="133"/>
        <v>1127777.7777777778</v>
      </c>
      <c r="EI15" s="134">
        <f t="shared" ca="1" si="134"/>
        <v>1090185.1851851854</v>
      </c>
      <c r="EJ15" s="134">
        <f t="shared" ca="1" si="135"/>
        <v>1053845.6790123458</v>
      </c>
      <c r="EK15" s="134">
        <f t="shared" ca="1" si="136"/>
        <v>1018717.4897119342</v>
      </c>
      <c r="EL15" s="134">
        <f t="shared" ca="1" si="137"/>
        <v>984760.24005486979</v>
      </c>
      <c r="EM15" s="134">
        <f t="shared" ca="1" si="138"/>
        <v>951934.8987197075</v>
      </c>
      <c r="EN15" s="134">
        <f t="shared" ca="1" si="139"/>
        <v>920203.73542905052</v>
      </c>
      <c r="EO15" s="134">
        <f t="shared" ca="1" si="140"/>
        <v>889530.27758141549</v>
      </c>
      <c r="EP15" s="134">
        <f t="shared" ca="1" si="141"/>
        <v>859879.26832870161</v>
      </c>
      <c r="EQ15" s="134">
        <f t="shared" ca="1" si="142"/>
        <v>831216.6260510782</v>
      </c>
      <c r="ER15" s="134">
        <f t="shared" ca="1" si="143"/>
        <v>803509.40518270887</v>
      </c>
      <c r="ES15" s="134">
        <f t="shared" ca="1" si="144"/>
        <v>776725.7583432853</v>
      </c>
      <c r="ET15" s="134">
        <f t="shared" ca="1" si="145"/>
        <v>750834.89973184245</v>
      </c>
      <c r="EU15" s="134">
        <f t="shared" ca="1" si="146"/>
        <v>725807.06974078109</v>
      </c>
      <c r="EV15" s="134">
        <f t="shared" ca="1" si="147"/>
        <v>701613.50074942177</v>
      </c>
      <c r="EW15" s="134">
        <f t="shared" ca="1" si="148"/>
        <v>678226.38405777444</v>
      </c>
      <c r="EX15" s="134">
        <f t="shared" ca="1" si="149"/>
        <v>655618.83792251523</v>
      </c>
      <c r="EY15" s="134">
        <f t="shared" ca="1" si="150"/>
        <v>633764.87665843149</v>
      </c>
      <c r="EZ15" s="134">
        <f t="shared" ca="1" si="151"/>
        <v>612639.38076981704</v>
      </c>
      <c r="FA15" s="134">
        <f t="shared" ca="1" si="152"/>
        <v>592218.06807748985</v>
      </c>
      <c r="FB15" s="134">
        <f t="shared" ca="1" si="153"/>
        <v>572477.46580824023</v>
      </c>
      <c r="FC15" s="134">
        <f t="shared" ca="1" si="154"/>
        <v>553394.88361463218</v>
      </c>
      <c r="FD15" s="134">
        <f t="shared" ca="1" si="155"/>
        <v>534948.3874941445</v>
      </c>
      <c r="FE15" s="134">
        <f t="shared" ca="1" si="156"/>
        <v>517116.77457767294</v>
      </c>
      <c r="FF15" s="134">
        <f t="shared" ca="1" si="157"/>
        <v>499879.54875841719</v>
      </c>
      <c r="FG15" s="134">
        <f t="shared" ca="1" si="158"/>
        <v>483216.89713313658</v>
      </c>
      <c r="FH15" s="134">
        <f t="shared" ca="1" si="159"/>
        <v>467109.66722869873</v>
      </c>
      <c r="FI15" s="134">
        <f t="shared" ca="1" si="160"/>
        <v>451539.34498774208</v>
      </c>
      <c r="FJ15" s="134">
        <f t="shared" ca="1" si="161"/>
        <v>436488.03348815069</v>
      </c>
      <c r="FK15" s="134">
        <f t="shared" ca="1" si="162"/>
        <v>421938.432371879</v>
      </c>
      <c r="FL15" s="134">
        <f t="shared" ca="1" si="163"/>
        <v>421938.432371879</v>
      </c>
      <c r="FM15" s="134">
        <f t="shared" ca="1" si="164"/>
        <v>421938.432371879</v>
      </c>
      <c r="FN15" s="134">
        <f t="shared" ca="1" si="165"/>
        <v>421938.432371879</v>
      </c>
      <c r="FO15" s="134">
        <f t="shared" ca="1" si="166"/>
        <v>421938.432371879</v>
      </c>
      <c r="FP15" s="134">
        <f t="shared" ca="1" si="167"/>
        <v>421938.432371879</v>
      </c>
      <c r="FQ15" s="134">
        <f t="shared" ca="1" si="168"/>
        <v>421938.432371879</v>
      </c>
      <c r="FR15" s="134">
        <f t="shared" ca="1" si="169"/>
        <v>421938.432371879</v>
      </c>
      <c r="FS15" s="134">
        <f t="shared" ca="1" si="170"/>
        <v>421938.432371879</v>
      </c>
      <c r="FT15" s="134">
        <f t="shared" ca="1" si="171"/>
        <v>421938.432371879</v>
      </c>
      <c r="FU15" s="134">
        <f t="shared" ca="1" si="172"/>
        <v>421938.432371879</v>
      </c>
      <c r="FV15" s="134">
        <f t="shared" ca="1" si="173"/>
        <v>421938.432371879</v>
      </c>
      <c r="FW15" s="134">
        <f t="shared" ca="1" si="174"/>
        <v>421938.432371879</v>
      </c>
      <c r="FX15" s="134">
        <f t="shared" ca="1" si="175"/>
        <v>421938.432371879</v>
      </c>
      <c r="FY15" s="134">
        <f t="shared" ca="1" si="176"/>
        <v>421938.432371879</v>
      </c>
      <c r="FZ15" s="134">
        <f t="shared" ca="1" si="177"/>
        <v>421938.432371879</v>
      </c>
      <c r="GA15" s="134">
        <f t="shared" ca="1" si="178"/>
        <v>421938.432371879</v>
      </c>
      <c r="GB15" s="134">
        <f t="shared" ca="1" si="179"/>
        <v>421938.432371879</v>
      </c>
      <c r="GC15" s="134">
        <f t="shared" ca="1" si="180"/>
        <v>421938.432371879</v>
      </c>
      <c r="GD15" s="134">
        <f t="shared" ca="1" si="181"/>
        <v>421938.432371879</v>
      </c>
      <c r="GE15" s="134">
        <f t="shared" ca="1" si="182"/>
        <v>421938.432371879</v>
      </c>
      <c r="GF15" s="134">
        <f t="shared" ca="1" si="183"/>
        <v>421938.432371879</v>
      </c>
      <c r="GG15" s="134">
        <f t="shared" ca="1" si="184"/>
        <v>421938.432371879</v>
      </c>
      <c r="GH15" s="134">
        <f t="shared" ca="1" si="185"/>
        <v>421938.432371879</v>
      </c>
      <c r="GI15" s="134">
        <f t="shared" ca="1" si="186"/>
        <v>421938.432371879</v>
      </c>
      <c r="GJ15" s="134">
        <f t="shared" ca="1" si="187"/>
        <v>421938.432371879</v>
      </c>
      <c r="GK15" s="134">
        <f t="shared" ca="1" si="188"/>
        <v>421938.432371879</v>
      </c>
      <c r="GL15" s="134">
        <f t="shared" ca="1" si="189"/>
        <v>421938.432371879</v>
      </c>
      <c r="GM15" s="134">
        <f t="shared" ca="1" si="190"/>
        <v>421938.432371879</v>
      </c>
      <c r="GN15" s="134">
        <f t="shared" ca="1" si="191"/>
        <v>421938.432371879</v>
      </c>
      <c r="GO15" s="134">
        <f t="shared" ca="1" si="192"/>
        <v>0</v>
      </c>
      <c r="GP15" s="134">
        <f t="shared" ca="1" si="193"/>
        <v>0</v>
      </c>
      <c r="GQ15" s="134">
        <f t="shared" ca="1" si="194"/>
        <v>0</v>
      </c>
      <c r="GR15" s="134">
        <f t="shared" ca="1" si="195"/>
        <v>0</v>
      </c>
      <c r="GS15" s="134">
        <f t="shared" ca="1" si="196"/>
        <v>0</v>
      </c>
      <c r="GT15" s="134">
        <f t="shared" ca="1" si="197"/>
        <v>0</v>
      </c>
      <c r="GU15" s="134">
        <f t="shared" ca="1" si="198"/>
        <v>0</v>
      </c>
      <c r="GV15" s="134">
        <f t="shared" ca="1" si="199"/>
        <v>0</v>
      </c>
      <c r="GW15" s="134">
        <f t="shared" ca="1" si="200"/>
        <v>0</v>
      </c>
      <c r="GX15" s="134">
        <f t="shared" ca="1" si="201"/>
        <v>0</v>
      </c>
      <c r="GY15" s="134">
        <f t="shared" ca="1" si="202"/>
        <v>0</v>
      </c>
      <c r="GZ15" s="134">
        <f t="shared" ca="1" si="203"/>
        <v>0</v>
      </c>
      <c r="HA15" s="134">
        <f t="shared" ca="1" si="204"/>
        <v>0</v>
      </c>
      <c r="HB15" s="134">
        <f t="shared" ca="1" si="205"/>
        <v>0</v>
      </c>
      <c r="HC15" s="134">
        <f t="shared" ca="1" si="206"/>
        <v>0</v>
      </c>
      <c r="HD15" s="134">
        <f t="shared" ca="1" si="207"/>
        <v>0</v>
      </c>
      <c r="HE15" s="134">
        <f t="shared" ca="1" si="208"/>
        <v>0</v>
      </c>
      <c r="HF15" s="134">
        <f t="shared" ca="1" si="209"/>
        <v>0</v>
      </c>
      <c r="HG15" s="134">
        <f t="shared" ca="1" si="210"/>
        <v>0</v>
      </c>
      <c r="HH15" s="134">
        <f t="shared" ca="1" si="211"/>
        <v>0</v>
      </c>
      <c r="HI15" s="134">
        <f t="shared" ca="1" si="212"/>
        <v>0</v>
      </c>
      <c r="HJ15" s="134">
        <f t="shared" ca="1" si="213"/>
        <v>0</v>
      </c>
      <c r="HK15" s="134">
        <f t="shared" ca="1" si="214"/>
        <v>0</v>
      </c>
      <c r="HL15" s="134">
        <f t="shared" ca="1" si="215"/>
        <v>0</v>
      </c>
      <c r="HM15" s="134">
        <f t="shared" ca="1" si="216"/>
        <v>0</v>
      </c>
      <c r="HN15" s="134">
        <f t="shared" ca="1" si="217"/>
        <v>0</v>
      </c>
      <c r="HO15" s="134">
        <f t="shared" ca="1" si="218"/>
        <v>0</v>
      </c>
      <c r="HP15" s="134">
        <f t="shared" ca="1" si="219"/>
        <v>0</v>
      </c>
      <c r="HQ15" s="134">
        <f t="shared" ca="1" si="220"/>
        <v>0</v>
      </c>
      <c r="HR15" s="134">
        <f t="shared" ca="1" si="221"/>
        <v>0</v>
      </c>
      <c r="HS15" s="134">
        <f t="shared" ca="1" si="222"/>
        <v>0</v>
      </c>
      <c r="HT15" s="134">
        <f t="shared" ca="1" si="223"/>
        <v>0</v>
      </c>
      <c r="HU15" s="134">
        <f t="shared" ca="1" si="224"/>
        <v>0</v>
      </c>
      <c r="HV15" s="134">
        <f t="shared" ca="1" si="225"/>
        <v>0</v>
      </c>
      <c r="HW15" s="134">
        <f t="shared" ca="1" si="226"/>
        <v>0</v>
      </c>
      <c r="HX15" s="134">
        <f t="shared" ca="1" si="227"/>
        <v>0</v>
      </c>
      <c r="HY15" s="134">
        <f t="shared" ca="1" si="228"/>
        <v>0</v>
      </c>
      <c r="HZ15" s="134">
        <f t="shared" ca="1" si="229"/>
        <v>0</v>
      </c>
      <c r="IA15" s="134">
        <f t="shared" ca="1" si="230"/>
        <v>0</v>
      </c>
      <c r="IB15" s="134">
        <f t="shared" ca="1" si="231"/>
        <v>0</v>
      </c>
      <c r="IC15" s="134">
        <f t="shared" ca="1" si="232"/>
        <v>0</v>
      </c>
      <c r="ID15" s="134">
        <f t="shared" ca="1" si="233"/>
        <v>0</v>
      </c>
      <c r="IE15" s="134">
        <f t="shared" ca="1" si="234"/>
        <v>0</v>
      </c>
      <c r="IF15" s="134">
        <f t="shared" ca="1" si="235"/>
        <v>0</v>
      </c>
      <c r="IG15" s="134">
        <f t="shared" ca="1" si="236"/>
        <v>0</v>
      </c>
      <c r="IH15" s="134">
        <f t="shared" ca="1" si="237"/>
        <v>0</v>
      </c>
      <c r="II15" s="134">
        <f t="shared" ca="1" si="238"/>
        <v>0</v>
      </c>
      <c r="IJ15" s="135">
        <f t="shared" ca="1" si="239"/>
        <v>0</v>
      </c>
      <c r="IK15" s="132">
        <f t="shared" ca="1" si="240"/>
        <v>34999999.999999955</v>
      </c>
    </row>
    <row r="16" spans="1:245" x14ac:dyDescent="0.45">
      <c r="A16" s="67">
        <v>2027</v>
      </c>
      <c r="B16" s="112"/>
      <c r="C16" s="3">
        <f ca="1">INT(SUM(OFFSET('CAPEX Schedule'!$C$8,0,($A16-$A$4)*12):OFFSET('CAPEX Schedule'!$C$8,0,($A16-$A$4)*12+11)))</f>
        <v>0</v>
      </c>
      <c r="D16" s="3">
        <f ca="1">INT(SUM(OFFSET('CAPEX Schedule'!$C$13,0,($A16-$A$4)*12):OFFSET('CAPEX Schedule'!$C$13,0,($A16-$A$4)*12+11)))-C16</f>
        <v>5000000</v>
      </c>
      <c r="E16" s="130">
        <f t="shared" si="0"/>
        <v>0</v>
      </c>
      <c r="F16" s="134">
        <f t="shared" si="1"/>
        <v>0</v>
      </c>
      <c r="G16" s="134">
        <f t="shared" si="2"/>
        <v>0</v>
      </c>
      <c r="H16" s="134">
        <f t="shared" si="3"/>
        <v>0</v>
      </c>
      <c r="I16" s="134">
        <f t="shared" si="4"/>
        <v>0</v>
      </c>
      <c r="J16" s="134">
        <f t="shared" si="5"/>
        <v>0</v>
      </c>
      <c r="K16" s="134">
        <f t="shared" si="6"/>
        <v>0</v>
      </c>
      <c r="L16" s="134">
        <f t="shared" si="7"/>
        <v>0</v>
      </c>
      <c r="M16" s="134">
        <f t="shared" si="8"/>
        <v>0</v>
      </c>
      <c r="N16" s="134">
        <f t="shared" si="9"/>
        <v>0</v>
      </c>
      <c r="O16" s="134">
        <f t="shared" si="10"/>
        <v>0</v>
      </c>
      <c r="P16" s="134">
        <f t="shared" si="11"/>
        <v>0</v>
      </c>
      <c r="Q16" s="134">
        <f t="shared" si="12"/>
        <v>0</v>
      </c>
      <c r="R16" s="134">
        <f t="shared" si="13"/>
        <v>0</v>
      </c>
      <c r="S16" s="134">
        <f t="shared" si="14"/>
        <v>0</v>
      </c>
      <c r="T16" s="134">
        <f t="shared" si="15"/>
        <v>0</v>
      </c>
      <c r="U16" s="134">
        <f t="shared" si="16"/>
        <v>0</v>
      </c>
      <c r="V16" s="134">
        <f t="shared" si="17"/>
        <v>0</v>
      </c>
      <c r="W16" s="134">
        <f t="shared" si="18"/>
        <v>0</v>
      </c>
      <c r="X16" s="134">
        <f t="shared" si="19"/>
        <v>0</v>
      </c>
      <c r="Y16" s="134">
        <f t="shared" si="20"/>
        <v>0</v>
      </c>
      <c r="Z16" s="134">
        <f t="shared" si="21"/>
        <v>0</v>
      </c>
      <c r="AA16" s="134">
        <f t="shared" si="22"/>
        <v>0</v>
      </c>
      <c r="AB16" s="134">
        <f t="shared" si="23"/>
        <v>0</v>
      </c>
      <c r="AC16" s="134">
        <f t="shared" si="24"/>
        <v>0</v>
      </c>
      <c r="AD16" s="134">
        <f t="shared" si="25"/>
        <v>0</v>
      </c>
      <c r="AE16" s="134">
        <f t="shared" si="26"/>
        <v>0</v>
      </c>
      <c r="AF16" s="134">
        <f t="shared" si="27"/>
        <v>0</v>
      </c>
      <c r="AG16" s="134">
        <f t="shared" si="28"/>
        <v>0</v>
      </c>
      <c r="AH16" s="134">
        <f t="shared" si="29"/>
        <v>0</v>
      </c>
      <c r="AI16" s="134">
        <f t="shared" si="30"/>
        <v>0</v>
      </c>
      <c r="AJ16" s="134">
        <f t="shared" si="31"/>
        <v>0</v>
      </c>
      <c r="AK16" s="134">
        <f t="shared" si="32"/>
        <v>0</v>
      </c>
      <c r="AL16" s="134">
        <f t="shared" si="33"/>
        <v>0</v>
      </c>
      <c r="AM16" s="134">
        <f t="shared" si="34"/>
        <v>0</v>
      </c>
      <c r="AN16" s="134">
        <f t="shared" si="35"/>
        <v>0</v>
      </c>
      <c r="AO16" s="134">
        <f t="shared" si="36"/>
        <v>0</v>
      </c>
      <c r="AP16" s="134">
        <f t="shared" si="37"/>
        <v>0</v>
      </c>
      <c r="AQ16" s="134">
        <f t="shared" si="38"/>
        <v>0</v>
      </c>
      <c r="AR16" s="134">
        <f t="shared" si="39"/>
        <v>0</v>
      </c>
      <c r="AS16" s="134">
        <f t="shared" si="40"/>
        <v>0</v>
      </c>
      <c r="AT16" s="134">
        <f t="shared" si="41"/>
        <v>0</v>
      </c>
      <c r="AU16" s="134">
        <f t="shared" si="42"/>
        <v>0</v>
      </c>
      <c r="AV16" s="134">
        <f t="shared" si="43"/>
        <v>0</v>
      </c>
      <c r="AW16" s="134">
        <f t="shared" si="44"/>
        <v>0</v>
      </c>
      <c r="AX16" s="134">
        <f t="shared" si="45"/>
        <v>0</v>
      </c>
      <c r="AY16" s="134">
        <f t="shared" si="46"/>
        <v>0</v>
      </c>
      <c r="AZ16" s="134">
        <f t="shared" si="47"/>
        <v>0</v>
      </c>
      <c r="BA16" s="134">
        <f t="shared" si="48"/>
        <v>0</v>
      </c>
      <c r="BB16" s="134">
        <f t="shared" si="49"/>
        <v>0</v>
      </c>
      <c r="BC16" s="134">
        <f t="shared" si="50"/>
        <v>0</v>
      </c>
      <c r="BD16" s="134">
        <f t="shared" si="51"/>
        <v>0</v>
      </c>
      <c r="BE16" s="134">
        <f t="shared" si="52"/>
        <v>0</v>
      </c>
      <c r="BF16" s="134">
        <f t="shared" si="53"/>
        <v>0</v>
      </c>
      <c r="BG16" s="134">
        <f t="shared" si="54"/>
        <v>0</v>
      </c>
      <c r="BH16" s="134">
        <f t="shared" si="55"/>
        <v>0</v>
      </c>
      <c r="BI16" s="134">
        <f t="shared" si="56"/>
        <v>0</v>
      </c>
      <c r="BJ16" s="134">
        <f t="shared" si="57"/>
        <v>0</v>
      </c>
      <c r="BK16" s="134">
        <f t="shared" si="58"/>
        <v>0</v>
      </c>
      <c r="BL16" s="134">
        <f t="shared" si="59"/>
        <v>0</v>
      </c>
      <c r="BM16" s="134">
        <f t="shared" si="60"/>
        <v>0</v>
      </c>
      <c r="BN16" s="134">
        <f t="shared" si="61"/>
        <v>0</v>
      </c>
      <c r="BO16" s="134">
        <f t="shared" si="62"/>
        <v>0</v>
      </c>
      <c r="BP16" s="134">
        <f t="shared" si="63"/>
        <v>0</v>
      </c>
      <c r="BQ16" s="134">
        <f t="shared" si="64"/>
        <v>0</v>
      </c>
      <c r="BR16" s="134">
        <f t="shared" si="65"/>
        <v>0</v>
      </c>
      <c r="BS16" s="134">
        <f t="shared" si="66"/>
        <v>0</v>
      </c>
      <c r="BT16" s="134">
        <f t="shared" si="67"/>
        <v>0</v>
      </c>
      <c r="BU16" s="134">
        <f t="shared" si="68"/>
        <v>0</v>
      </c>
      <c r="BV16" s="134">
        <f t="shared" si="69"/>
        <v>0</v>
      </c>
      <c r="BW16" s="134">
        <f t="shared" si="70"/>
        <v>0</v>
      </c>
      <c r="BX16" s="134">
        <f t="shared" si="71"/>
        <v>0</v>
      </c>
      <c r="BY16" s="134">
        <f t="shared" si="72"/>
        <v>0</v>
      </c>
      <c r="BZ16" s="134">
        <f t="shared" si="73"/>
        <v>0</v>
      </c>
      <c r="CA16" s="134">
        <f t="shared" si="74"/>
        <v>0</v>
      </c>
      <c r="CB16" s="134">
        <f t="shared" si="75"/>
        <v>0</v>
      </c>
      <c r="CC16" s="134">
        <f t="shared" si="76"/>
        <v>0</v>
      </c>
      <c r="CD16" s="134">
        <f t="shared" si="77"/>
        <v>0</v>
      </c>
      <c r="CE16" s="134">
        <f t="shared" si="78"/>
        <v>0</v>
      </c>
      <c r="CF16" s="134">
        <f t="shared" si="79"/>
        <v>0</v>
      </c>
      <c r="CG16" s="134">
        <f t="shared" si="80"/>
        <v>0</v>
      </c>
      <c r="CH16" s="134">
        <f t="shared" si="81"/>
        <v>0</v>
      </c>
      <c r="CI16" s="134">
        <f t="shared" si="82"/>
        <v>0</v>
      </c>
      <c r="CJ16" s="134">
        <f t="shared" si="83"/>
        <v>0</v>
      </c>
      <c r="CK16" s="134">
        <f t="shared" si="84"/>
        <v>0</v>
      </c>
      <c r="CL16" s="134">
        <f t="shared" si="85"/>
        <v>0</v>
      </c>
      <c r="CM16" s="134">
        <f t="shared" si="86"/>
        <v>0</v>
      </c>
      <c r="CN16" s="134">
        <f t="shared" si="87"/>
        <v>0</v>
      </c>
      <c r="CO16" s="134">
        <f t="shared" si="88"/>
        <v>0</v>
      </c>
      <c r="CP16" s="134">
        <f t="shared" si="89"/>
        <v>0</v>
      </c>
      <c r="CQ16" s="134">
        <f t="shared" si="90"/>
        <v>0</v>
      </c>
      <c r="CR16" s="134">
        <f t="shared" si="91"/>
        <v>0</v>
      </c>
      <c r="CS16" s="134">
        <f t="shared" si="92"/>
        <v>0</v>
      </c>
      <c r="CT16" s="134">
        <f t="shared" si="93"/>
        <v>0</v>
      </c>
      <c r="CU16" s="134">
        <f t="shared" si="94"/>
        <v>0</v>
      </c>
      <c r="CV16" s="134">
        <f t="shared" si="95"/>
        <v>0</v>
      </c>
      <c r="CW16" s="134">
        <f t="shared" si="96"/>
        <v>0</v>
      </c>
      <c r="CX16" s="134">
        <f t="shared" si="97"/>
        <v>0</v>
      </c>
      <c r="CY16" s="134">
        <f t="shared" si="98"/>
        <v>0</v>
      </c>
      <c r="CZ16" s="134">
        <f t="shared" si="99"/>
        <v>0</v>
      </c>
      <c r="DA16" s="134">
        <f t="shared" si="100"/>
        <v>0</v>
      </c>
      <c r="DB16" s="134">
        <f t="shared" si="101"/>
        <v>0</v>
      </c>
      <c r="DC16" s="134">
        <f t="shared" si="102"/>
        <v>0</v>
      </c>
      <c r="DD16" s="134">
        <f t="shared" si="103"/>
        <v>0</v>
      </c>
      <c r="DE16" s="134">
        <f t="shared" si="104"/>
        <v>0</v>
      </c>
      <c r="DF16" s="134">
        <f t="shared" si="105"/>
        <v>0</v>
      </c>
      <c r="DG16" s="134">
        <f t="shared" si="106"/>
        <v>0</v>
      </c>
      <c r="DH16" s="134">
        <f t="shared" si="107"/>
        <v>0</v>
      </c>
      <c r="DI16" s="134">
        <f t="shared" si="108"/>
        <v>0</v>
      </c>
      <c r="DJ16" s="134">
        <f t="shared" si="109"/>
        <v>0</v>
      </c>
      <c r="DK16" s="134">
        <f t="shared" si="110"/>
        <v>0</v>
      </c>
      <c r="DL16" s="134">
        <f t="shared" si="111"/>
        <v>0</v>
      </c>
      <c r="DM16" s="134">
        <f t="shared" si="112"/>
        <v>0</v>
      </c>
      <c r="DN16" s="134">
        <f t="shared" si="113"/>
        <v>0</v>
      </c>
      <c r="DO16" s="134">
        <f t="shared" si="114"/>
        <v>0</v>
      </c>
      <c r="DP16" s="134">
        <f t="shared" si="115"/>
        <v>0</v>
      </c>
      <c r="DQ16" s="134">
        <f t="shared" si="116"/>
        <v>0</v>
      </c>
      <c r="DR16" s="134">
        <f t="shared" si="117"/>
        <v>0</v>
      </c>
      <c r="DS16" s="134">
        <f t="shared" si="118"/>
        <v>0</v>
      </c>
      <c r="DT16" s="134">
        <f t="shared" si="119"/>
        <v>0</v>
      </c>
      <c r="DU16" s="134">
        <f t="shared" si="120"/>
        <v>0</v>
      </c>
      <c r="DV16" s="134">
        <f t="shared" si="121"/>
        <v>0</v>
      </c>
      <c r="DW16" s="134">
        <f t="shared" si="122"/>
        <v>0</v>
      </c>
      <c r="DX16" s="134">
        <f t="shared" si="123"/>
        <v>0</v>
      </c>
      <c r="DY16" s="134">
        <f t="shared" si="124"/>
        <v>0</v>
      </c>
      <c r="DZ16" s="134">
        <f t="shared" si="125"/>
        <v>0</v>
      </c>
      <c r="EA16" s="134">
        <f t="shared" si="126"/>
        <v>0</v>
      </c>
      <c r="EB16" s="134">
        <f t="shared" si="127"/>
        <v>0</v>
      </c>
      <c r="EC16" s="134">
        <f t="shared" si="128"/>
        <v>0</v>
      </c>
      <c r="ED16" s="134">
        <f t="shared" si="129"/>
        <v>0</v>
      </c>
      <c r="EE16" s="134">
        <f t="shared" si="130"/>
        <v>0</v>
      </c>
      <c r="EF16" s="134">
        <f t="shared" si="131"/>
        <v>0</v>
      </c>
      <c r="EG16" s="134">
        <f t="shared" si="132"/>
        <v>0</v>
      </c>
      <c r="EH16" s="134">
        <f t="shared" si="133"/>
        <v>0</v>
      </c>
      <c r="EI16" s="134">
        <f t="shared" si="134"/>
        <v>0</v>
      </c>
      <c r="EJ16" s="134">
        <f t="shared" si="135"/>
        <v>0</v>
      </c>
      <c r="EK16" s="134">
        <f t="shared" si="136"/>
        <v>0</v>
      </c>
      <c r="EL16" s="134">
        <f t="shared" si="137"/>
        <v>0</v>
      </c>
      <c r="EM16" s="134">
        <f t="shared" si="138"/>
        <v>0</v>
      </c>
      <c r="EN16" s="134">
        <f t="shared" si="139"/>
        <v>0</v>
      </c>
      <c r="EO16" s="134">
        <f t="shared" si="140"/>
        <v>0</v>
      </c>
      <c r="EP16" s="134">
        <f t="shared" si="141"/>
        <v>0</v>
      </c>
      <c r="EQ16" s="134">
        <f t="shared" si="142"/>
        <v>0</v>
      </c>
      <c r="ER16" s="134">
        <f t="shared" si="143"/>
        <v>0</v>
      </c>
      <c r="ES16" s="134">
        <f t="shared" ca="1" si="144"/>
        <v>500000</v>
      </c>
      <c r="ET16" s="134">
        <f t="shared" ca="1" si="145"/>
        <v>483333.33333333331</v>
      </c>
      <c r="EU16" s="134">
        <f t="shared" ca="1" si="146"/>
        <v>467222.22222222219</v>
      </c>
      <c r="EV16" s="134">
        <f t="shared" ca="1" si="147"/>
        <v>451648.14814814815</v>
      </c>
      <c r="EW16" s="134">
        <f t="shared" ca="1" si="148"/>
        <v>436593.2098765432</v>
      </c>
      <c r="EX16" s="134">
        <f t="shared" ca="1" si="149"/>
        <v>422040.10288065847</v>
      </c>
      <c r="EY16" s="134">
        <f t="shared" ca="1" si="150"/>
        <v>407972.09945130319</v>
      </c>
      <c r="EZ16" s="134">
        <f t="shared" ca="1" si="151"/>
        <v>394373.02946959308</v>
      </c>
      <c r="FA16" s="134">
        <f t="shared" ca="1" si="152"/>
        <v>381227.26182060665</v>
      </c>
      <c r="FB16" s="134">
        <f t="shared" ca="1" si="153"/>
        <v>368519.68642658641</v>
      </c>
      <c r="FC16" s="134">
        <f t="shared" ca="1" si="154"/>
        <v>356235.69687903358</v>
      </c>
      <c r="FD16" s="134">
        <f t="shared" ca="1" si="155"/>
        <v>344361.17364973243</v>
      </c>
      <c r="FE16" s="134">
        <f t="shared" ca="1" si="156"/>
        <v>332882.46786140808</v>
      </c>
      <c r="FF16" s="134">
        <f t="shared" ca="1" si="157"/>
        <v>321786.38559936109</v>
      </c>
      <c r="FG16" s="134">
        <f t="shared" ca="1" si="158"/>
        <v>311060.17274604907</v>
      </c>
      <c r="FH16" s="134">
        <f t="shared" ca="1" si="159"/>
        <v>300691.50032118073</v>
      </c>
      <c r="FI16" s="134">
        <f t="shared" ca="1" si="160"/>
        <v>290668.45031047467</v>
      </c>
      <c r="FJ16" s="134">
        <f t="shared" ca="1" si="161"/>
        <v>280979.50196679222</v>
      </c>
      <c r="FK16" s="134">
        <f t="shared" ca="1" si="162"/>
        <v>271613.51856789913</v>
      </c>
      <c r="FL16" s="134">
        <f t="shared" ca="1" si="163"/>
        <v>262559.73461563583</v>
      </c>
      <c r="FM16" s="134">
        <f t="shared" ca="1" si="164"/>
        <v>253807.7434617813</v>
      </c>
      <c r="FN16" s="134">
        <f t="shared" ca="1" si="165"/>
        <v>245347.4853463886</v>
      </c>
      <c r="FO16" s="134">
        <f t="shared" ca="1" si="166"/>
        <v>237169.23583484229</v>
      </c>
      <c r="FP16" s="134">
        <f t="shared" ca="1" si="167"/>
        <v>229263.59464034755</v>
      </c>
      <c r="FQ16" s="134">
        <f t="shared" ca="1" si="168"/>
        <v>221621.47481900264</v>
      </c>
      <c r="FR16" s="134">
        <f t="shared" ca="1" si="169"/>
        <v>214234.09232503589</v>
      </c>
      <c r="FS16" s="134">
        <f t="shared" ca="1" si="170"/>
        <v>207092.95591420136</v>
      </c>
      <c r="FT16" s="134">
        <f t="shared" ca="1" si="171"/>
        <v>200189.857383728</v>
      </c>
      <c r="FU16" s="134">
        <f t="shared" ca="1" si="172"/>
        <v>193516.86213760372</v>
      </c>
      <c r="FV16" s="134">
        <f t="shared" ca="1" si="173"/>
        <v>187066.30006635026</v>
      </c>
      <c r="FW16" s="134">
        <f t="shared" ca="1" si="174"/>
        <v>180830.75673080527</v>
      </c>
      <c r="FX16" s="134">
        <f t="shared" ca="1" si="175"/>
        <v>180830.75673080527</v>
      </c>
      <c r="FY16" s="134">
        <f t="shared" ca="1" si="176"/>
        <v>180830.75673080527</v>
      </c>
      <c r="FZ16" s="134">
        <f t="shared" ca="1" si="177"/>
        <v>180830.75673080527</v>
      </c>
      <c r="GA16" s="134">
        <f t="shared" ca="1" si="178"/>
        <v>180830.75673080527</v>
      </c>
      <c r="GB16" s="134">
        <f t="shared" ca="1" si="179"/>
        <v>180830.75673080527</v>
      </c>
      <c r="GC16" s="134">
        <f t="shared" ca="1" si="180"/>
        <v>180830.75673080527</v>
      </c>
      <c r="GD16" s="134">
        <f t="shared" ca="1" si="181"/>
        <v>180830.75673080527</v>
      </c>
      <c r="GE16" s="134">
        <f t="shared" ca="1" si="182"/>
        <v>180830.75673080527</v>
      </c>
      <c r="GF16" s="134">
        <f t="shared" ca="1" si="183"/>
        <v>180830.75673080527</v>
      </c>
      <c r="GG16" s="134">
        <f t="shared" ca="1" si="184"/>
        <v>180830.75673080527</v>
      </c>
      <c r="GH16" s="134">
        <f t="shared" ca="1" si="185"/>
        <v>180830.75673080527</v>
      </c>
      <c r="GI16" s="134">
        <f t="shared" ca="1" si="186"/>
        <v>180830.75673080527</v>
      </c>
      <c r="GJ16" s="134">
        <f t="shared" ca="1" si="187"/>
        <v>180830.75673080527</v>
      </c>
      <c r="GK16" s="134">
        <f t="shared" ca="1" si="188"/>
        <v>180830.75673080527</v>
      </c>
      <c r="GL16" s="134">
        <f t="shared" ca="1" si="189"/>
        <v>180830.75673080527</v>
      </c>
      <c r="GM16" s="134">
        <f t="shared" ca="1" si="190"/>
        <v>180830.75673080527</v>
      </c>
      <c r="GN16" s="134">
        <f t="shared" ca="1" si="191"/>
        <v>180830.75673080527</v>
      </c>
      <c r="GO16" s="134">
        <f t="shared" ca="1" si="192"/>
        <v>180830.75673080527</v>
      </c>
      <c r="GP16" s="134">
        <f t="shared" ca="1" si="193"/>
        <v>180830.75673080527</v>
      </c>
      <c r="GQ16" s="134">
        <f t="shared" ca="1" si="194"/>
        <v>180830.75673080527</v>
      </c>
      <c r="GR16" s="134">
        <f t="shared" ca="1" si="195"/>
        <v>180830.75673080527</v>
      </c>
      <c r="GS16" s="134">
        <f t="shared" ca="1" si="196"/>
        <v>180830.75673080527</v>
      </c>
      <c r="GT16" s="134">
        <f t="shared" ca="1" si="197"/>
        <v>180830.75673080527</v>
      </c>
      <c r="GU16" s="134">
        <f t="shared" ca="1" si="198"/>
        <v>180830.75673080527</v>
      </c>
      <c r="GV16" s="134">
        <f t="shared" ca="1" si="199"/>
        <v>180830.75673080527</v>
      </c>
      <c r="GW16" s="134">
        <f t="shared" ca="1" si="200"/>
        <v>180830.75673080527</v>
      </c>
      <c r="GX16" s="134">
        <f t="shared" ca="1" si="201"/>
        <v>180830.75673080527</v>
      </c>
      <c r="GY16" s="134">
        <f t="shared" ca="1" si="202"/>
        <v>180830.75673080527</v>
      </c>
      <c r="GZ16" s="134">
        <f t="shared" ca="1" si="203"/>
        <v>180830.75673080527</v>
      </c>
      <c r="HA16" s="134">
        <f t="shared" ca="1" si="204"/>
        <v>0</v>
      </c>
      <c r="HB16" s="134">
        <f t="shared" ca="1" si="205"/>
        <v>0</v>
      </c>
      <c r="HC16" s="134">
        <f t="shared" ca="1" si="206"/>
        <v>0</v>
      </c>
      <c r="HD16" s="134">
        <f t="shared" ca="1" si="207"/>
        <v>0</v>
      </c>
      <c r="HE16" s="134">
        <f t="shared" ca="1" si="208"/>
        <v>0</v>
      </c>
      <c r="HF16" s="134">
        <f t="shared" ca="1" si="209"/>
        <v>0</v>
      </c>
      <c r="HG16" s="134">
        <f t="shared" ca="1" si="210"/>
        <v>0</v>
      </c>
      <c r="HH16" s="134">
        <f t="shared" ca="1" si="211"/>
        <v>0</v>
      </c>
      <c r="HI16" s="134">
        <f t="shared" ca="1" si="212"/>
        <v>0</v>
      </c>
      <c r="HJ16" s="134">
        <f t="shared" ca="1" si="213"/>
        <v>0</v>
      </c>
      <c r="HK16" s="134">
        <f t="shared" ca="1" si="214"/>
        <v>0</v>
      </c>
      <c r="HL16" s="134">
        <f t="shared" ca="1" si="215"/>
        <v>0</v>
      </c>
      <c r="HM16" s="134">
        <f t="shared" ca="1" si="216"/>
        <v>0</v>
      </c>
      <c r="HN16" s="134">
        <f t="shared" ca="1" si="217"/>
        <v>0</v>
      </c>
      <c r="HO16" s="134">
        <f t="shared" ca="1" si="218"/>
        <v>0</v>
      </c>
      <c r="HP16" s="134">
        <f t="shared" ca="1" si="219"/>
        <v>0</v>
      </c>
      <c r="HQ16" s="134">
        <f t="shared" ca="1" si="220"/>
        <v>0</v>
      </c>
      <c r="HR16" s="134">
        <f t="shared" ca="1" si="221"/>
        <v>0</v>
      </c>
      <c r="HS16" s="134">
        <f t="shared" ca="1" si="222"/>
        <v>0</v>
      </c>
      <c r="HT16" s="134">
        <f t="shared" ca="1" si="223"/>
        <v>0</v>
      </c>
      <c r="HU16" s="134">
        <f t="shared" ca="1" si="224"/>
        <v>0</v>
      </c>
      <c r="HV16" s="134">
        <f t="shared" ca="1" si="225"/>
        <v>0</v>
      </c>
      <c r="HW16" s="134">
        <f t="shared" ca="1" si="226"/>
        <v>0</v>
      </c>
      <c r="HX16" s="134">
        <f t="shared" ca="1" si="227"/>
        <v>0</v>
      </c>
      <c r="HY16" s="134">
        <f t="shared" ca="1" si="228"/>
        <v>0</v>
      </c>
      <c r="HZ16" s="134">
        <f t="shared" ca="1" si="229"/>
        <v>0</v>
      </c>
      <c r="IA16" s="134">
        <f t="shared" ca="1" si="230"/>
        <v>0</v>
      </c>
      <c r="IB16" s="134">
        <f t="shared" ca="1" si="231"/>
        <v>0</v>
      </c>
      <c r="IC16" s="134">
        <f t="shared" ca="1" si="232"/>
        <v>0</v>
      </c>
      <c r="ID16" s="134">
        <f t="shared" ca="1" si="233"/>
        <v>0</v>
      </c>
      <c r="IE16" s="134">
        <f t="shared" ca="1" si="234"/>
        <v>0</v>
      </c>
      <c r="IF16" s="134">
        <f t="shared" ca="1" si="235"/>
        <v>0</v>
      </c>
      <c r="IG16" s="134">
        <f t="shared" ca="1" si="236"/>
        <v>0</v>
      </c>
      <c r="IH16" s="134">
        <f t="shared" ca="1" si="237"/>
        <v>0</v>
      </c>
      <c r="II16" s="134">
        <f t="shared" ca="1" si="238"/>
        <v>0</v>
      </c>
      <c r="IJ16" s="135">
        <f t="shared" ca="1" si="239"/>
        <v>0</v>
      </c>
      <c r="IK16" s="132">
        <f t="shared" ca="1" si="240"/>
        <v>15000000.000000024</v>
      </c>
    </row>
    <row r="17" spans="1:245" x14ac:dyDescent="0.45">
      <c r="A17" s="67">
        <v>2028</v>
      </c>
      <c r="B17" s="112"/>
      <c r="C17" s="3">
        <f ca="1">INT(SUM(OFFSET('CAPEX Schedule'!$C$8,0,($A17-$A$4)*12):OFFSET('CAPEX Schedule'!$C$8,0,($A17-$A$4)*12+11)))</f>
        <v>0</v>
      </c>
      <c r="D17" s="3">
        <f ca="1">INT(SUM(OFFSET('CAPEX Schedule'!$C$13,0,($A17-$A$4)*12):OFFSET('CAPEX Schedule'!$C$13,0,($A17-$A$4)*12+11)))-C17</f>
        <v>10000000</v>
      </c>
      <c r="E17" s="130">
        <f t="shared" si="0"/>
        <v>0</v>
      </c>
      <c r="F17" s="134">
        <f t="shared" si="1"/>
        <v>0</v>
      </c>
      <c r="G17" s="134">
        <f t="shared" si="2"/>
        <v>0</v>
      </c>
      <c r="H17" s="134">
        <f t="shared" si="3"/>
        <v>0</v>
      </c>
      <c r="I17" s="134">
        <f t="shared" si="4"/>
        <v>0</v>
      </c>
      <c r="J17" s="134">
        <f t="shared" si="5"/>
        <v>0</v>
      </c>
      <c r="K17" s="134">
        <f t="shared" si="6"/>
        <v>0</v>
      </c>
      <c r="L17" s="134">
        <f t="shared" si="7"/>
        <v>0</v>
      </c>
      <c r="M17" s="134">
        <f t="shared" si="8"/>
        <v>0</v>
      </c>
      <c r="N17" s="134">
        <f t="shared" si="9"/>
        <v>0</v>
      </c>
      <c r="O17" s="134">
        <f t="shared" si="10"/>
        <v>0</v>
      </c>
      <c r="P17" s="134">
        <f t="shared" si="11"/>
        <v>0</v>
      </c>
      <c r="Q17" s="134">
        <f t="shared" si="12"/>
        <v>0</v>
      </c>
      <c r="R17" s="134">
        <f t="shared" si="13"/>
        <v>0</v>
      </c>
      <c r="S17" s="134">
        <f t="shared" si="14"/>
        <v>0</v>
      </c>
      <c r="T17" s="134">
        <f t="shared" si="15"/>
        <v>0</v>
      </c>
      <c r="U17" s="134">
        <f t="shared" si="16"/>
        <v>0</v>
      </c>
      <c r="V17" s="134">
        <f t="shared" si="17"/>
        <v>0</v>
      </c>
      <c r="W17" s="134">
        <f t="shared" si="18"/>
        <v>0</v>
      </c>
      <c r="X17" s="134">
        <f t="shared" si="19"/>
        <v>0</v>
      </c>
      <c r="Y17" s="134">
        <f t="shared" si="20"/>
        <v>0</v>
      </c>
      <c r="Z17" s="134">
        <f t="shared" si="21"/>
        <v>0</v>
      </c>
      <c r="AA17" s="134">
        <f t="shared" si="22"/>
        <v>0</v>
      </c>
      <c r="AB17" s="134">
        <f t="shared" si="23"/>
        <v>0</v>
      </c>
      <c r="AC17" s="134">
        <f t="shared" si="24"/>
        <v>0</v>
      </c>
      <c r="AD17" s="134">
        <f t="shared" si="25"/>
        <v>0</v>
      </c>
      <c r="AE17" s="134">
        <f t="shared" si="26"/>
        <v>0</v>
      </c>
      <c r="AF17" s="134">
        <f t="shared" si="27"/>
        <v>0</v>
      </c>
      <c r="AG17" s="134">
        <f t="shared" si="28"/>
        <v>0</v>
      </c>
      <c r="AH17" s="134">
        <f t="shared" si="29"/>
        <v>0</v>
      </c>
      <c r="AI17" s="134">
        <f t="shared" si="30"/>
        <v>0</v>
      </c>
      <c r="AJ17" s="134">
        <f t="shared" si="31"/>
        <v>0</v>
      </c>
      <c r="AK17" s="134">
        <f t="shared" si="32"/>
        <v>0</v>
      </c>
      <c r="AL17" s="134">
        <f t="shared" si="33"/>
        <v>0</v>
      </c>
      <c r="AM17" s="134">
        <f t="shared" si="34"/>
        <v>0</v>
      </c>
      <c r="AN17" s="134">
        <f t="shared" si="35"/>
        <v>0</v>
      </c>
      <c r="AO17" s="134">
        <f t="shared" si="36"/>
        <v>0</v>
      </c>
      <c r="AP17" s="134">
        <f t="shared" si="37"/>
        <v>0</v>
      </c>
      <c r="AQ17" s="134">
        <f t="shared" si="38"/>
        <v>0</v>
      </c>
      <c r="AR17" s="134">
        <f t="shared" si="39"/>
        <v>0</v>
      </c>
      <c r="AS17" s="134">
        <f t="shared" si="40"/>
        <v>0</v>
      </c>
      <c r="AT17" s="134">
        <f t="shared" si="41"/>
        <v>0</v>
      </c>
      <c r="AU17" s="134">
        <f t="shared" si="42"/>
        <v>0</v>
      </c>
      <c r="AV17" s="134">
        <f t="shared" si="43"/>
        <v>0</v>
      </c>
      <c r="AW17" s="134">
        <f t="shared" si="44"/>
        <v>0</v>
      </c>
      <c r="AX17" s="134">
        <f t="shared" si="45"/>
        <v>0</v>
      </c>
      <c r="AY17" s="134">
        <f t="shared" si="46"/>
        <v>0</v>
      </c>
      <c r="AZ17" s="134">
        <f t="shared" si="47"/>
        <v>0</v>
      </c>
      <c r="BA17" s="134">
        <f t="shared" si="48"/>
        <v>0</v>
      </c>
      <c r="BB17" s="134">
        <f t="shared" si="49"/>
        <v>0</v>
      </c>
      <c r="BC17" s="134">
        <f t="shared" si="50"/>
        <v>0</v>
      </c>
      <c r="BD17" s="134">
        <f t="shared" si="51"/>
        <v>0</v>
      </c>
      <c r="BE17" s="134">
        <f t="shared" si="52"/>
        <v>0</v>
      </c>
      <c r="BF17" s="134">
        <f t="shared" si="53"/>
        <v>0</v>
      </c>
      <c r="BG17" s="134">
        <f t="shared" si="54"/>
        <v>0</v>
      </c>
      <c r="BH17" s="134">
        <f t="shared" si="55"/>
        <v>0</v>
      </c>
      <c r="BI17" s="134">
        <f t="shared" si="56"/>
        <v>0</v>
      </c>
      <c r="BJ17" s="134">
        <f t="shared" si="57"/>
        <v>0</v>
      </c>
      <c r="BK17" s="134">
        <f t="shared" si="58"/>
        <v>0</v>
      </c>
      <c r="BL17" s="134">
        <f t="shared" si="59"/>
        <v>0</v>
      </c>
      <c r="BM17" s="134">
        <f t="shared" si="60"/>
        <v>0</v>
      </c>
      <c r="BN17" s="134">
        <f t="shared" si="61"/>
        <v>0</v>
      </c>
      <c r="BO17" s="134">
        <f t="shared" si="62"/>
        <v>0</v>
      </c>
      <c r="BP17" s="134">
        <f t="shared" si="63"/>
        <v>0</v>
      </c>
      <c r="BQ17" s="134">
        <f t="shared" si="64"/>
        <v>0</v>
      </c>
      <c r="BR17" s="134">
        <f t="shared" si="65"/>
        <v>0</v>
      </c>
      <c r="BS17" s="134">
        <f t="shared" si="66"/>
        <v>0</v>
      </c>
      <c r="BT17" s="134">
        <f t="shared" si="67"/>
        <v>0</v>
      </c>
      <c r="BU17" s="134">
        <f t="shared" si="68"/>
        <v>0</v>
      </c>
      <c r="BV17" s="134">
        <f t="shared" si="69"/>
        <v>0</v>
      </c>
      <c r="BW17" s="134">
        <f t="shared" si="70"/>
        <v>0</v>
      </c>
      <c r="BX17" s="134">
        <f t="shared" si="71"/>
        <v>0</v>
      </c>
      <c r="BY17" s="134">
        <f t="shared" si="72"/>
        <v>0</v>
      </c>
      <c r="BZ17" s="134">
        <f t="shared" si="73"/>
        <v>0</v>
      </c>
      <c r="CA17" s="134">
        <f t="shared" si="74"/>
        <v>0</v>
      </c>
      <c r="CB17" s="134">
        <f t="shared" si="75"/>
        <v>0</v>
      </c>
      <c r="CC17" s="134">
        <f t="shared" si="76"/>
        <v>0</v>
      </c>
      <c r="CD17" s="134">
        <f t="shared" si="77"/>
        <v>0</v>
      </c>
      <c r="CE17" s="134">
        <f t="shared" si="78"/>
        <v>0</v>
      </c>
      <c r="CF17" s="134">
        <f t="shared" si="79"/>
        <v>0</v>
      </c>
      <c r="CG17" s="134">
        <f t="shared" si="80"/>
        <v>0</v>
      </c>
      <c r="CH17" s="134">
        <f t="shared" si="81"/>
        <v>0</v>
      </c>
      <c r="CI17" s="134">
        <f t="shared" si="82"/>
        <v>0</v>
      </c>
      <c r="CJ17" s="134">
        <f t="shared" si="83"/>
        <v>0</v>
      </c>
      <c r="CK17" s="134">
        <f t="shared" si="84"/>
        <v>0</v>
      </c>
      <c r="CL17" s="134">
        <f t="shared" si="85"/>
        <v>0</v>
      </c>
      <c r="CM17" s="134">
        <f t="shared" si="86"/>
        <v>0</v>
      </c>
      <c r="CN17" s="134">
        <f t="shared" si="87"/>
        <v>0</v>
      </c>
      <c r="CO17" s="134">
        <f t="shared" si="88"/>
        <v>0</v>
      </c>
      <c r="CP17" s="134">
        <f t="shared" si="89"/>
        <v>0</v>
      </c>
      <c r="CQ17" s="134">
        <f t="shared" si="90"/>
        <v>0</v>
      </c>
      <c r="CR17" s="134">
        <f t="shared" si="91"/>
        <v>0</v>
      </c>
      <c r="CS17" s="134">
        <f t="shared" si="92"/>
        <v>0</v>
      </c>
      <c r="CT17" s="134">
        <f t="shared" si="93"/>
        <v>0</v>
      </c>
      <c r="CU17" s="134">
        <f t="shared" si="94"/>
        <v>0</v>
      </c>
      <c r="CV17" s="134">
        <f t="shared" si="95"/>
        <v>0</v>
      </c>
      <c r="CW17" s="134">
        <f t="shared" si="96"/>
        <v>0</v>
      </c>
      <c r="CX17" s="134">
        <f t="shared" si="97"/>
        <v>0</v>
      </c>
      <c r="CY17" s="134">
        <f t="shared" si="98"/>
        <v>0</v>
      </c>
      <c r="CZ17" s="134">
        <f t="shared" si="99"/>
        <v>0</v>
      </c>
      <c r="DA17" s="134">
        <f t="shared" si="100"/>
        <v>0</v>
      </c>
      <c r="DB17" s="134">
        <f t="shared" si="101"/>
        <v>0</v>
      </c>
      <c r="DC17" s="134">
        <f t="shared" si="102"/>
        <v>0</v>
      </c>
      <c r="DD17" s="134">
        <f t="shared" si="103"/>
        <v>0</v>
      </c>
      <c r="DE17" s="134">
        <f t="shared" si="104"/>
        <v>0</v>
      </c>
      <c r="DF17" s="134">
        <f t="shared" si="105"/>
        <v>0</v>
      </c>
      <c r="DG17" s="134">
        <f t="shared" si="106"/>
        <v>0</v>
      </c>
      <c r="DH17" s="134">
        <f t="shared" si="107"/>
        <v>0</v>
      </c>
      <c r="DI17" s="134">
        <f t="shared" si="108"/>
        <v>0</v>
      </c>
      <c r="DJ17" s="134">
        <f t="shared" si="109"/>
        <v>0</v>
      </c>
      <c r="DK17" s="134">
        <f t="shared" si="110"/>
        <v>0</v>
      </c>
      <c r="DL17" s="134">
        <f t="shared" si="111"/>
        <v>0</v>
      </c>
      <c r="DM17" s="134">
        <f t="shared" si="112"/>
        <v>0</v>
      </c>
      <c r="DN17" s="134">
        <f t="shared" si="113"/>
        <v>0</v>
      </c>
      <c r="DO17" s="134">
        <f t="shared" si="114"/>
        <v>0</v>
      </c>
      <c r="DP17" s="134">
        <f t="shared" si="115"/>
        <v>0</v>
      </c>
      <c r="DQ17" s="134">
        <f t="shared" si="116"/>
        <v>0</v>
      </c>
      <c r="DR17" s="134">
        <f t="shared" si="117"/>
        <v>0</v>
      </c>
      <c r="DS17" s="134">
        <f t="shared" si="118"/>
        <v>0</v>
      </c>
      <c r="DT17" s="134">
        <f t="shared" si="119"/>
        <v>0</v>
      </c>
      <c r="DU17" s="134">
        <f t="shared" si="120"/>
        <v>0</v>
      </c>
      <c r="DV17" s="134">
        <f t="shared" si="121"/>
        <v>0</v>
      </c>
      <c r="DW17" s="134">
        <f t="shared" si="122"/>
        <v>0</v>
      </c>
      <c r="DX17" s="134">
        <f t="shared" si="123"/>
        <v>0</v>
      </c>
      <c r="DY17" s="134">
        <f t="shared" si="124"/>
        <v>0</v>
      </c>
      <c r="DZ17" s="134">
        <f t="shared" si="125"/>
        <v>0</v>
      </c>
      <c r="EA17" s="134">
        <f t="shared" si="126"/>
        <v>0</v>
      </c>
      <c r="EB17" s="134">
        <f t="shared" si="127"/>
        <v>0</v>
      </c>
      <c r="EC17" s="134">
        <f t="shared" si="128"/>
        <v>0</v>
      </c>
      <c r="ED17" s="134">
        <f t="shared" si="129"/>
        <v>0</v>
      </c>
      <c r="EE17" s="134">
        <f t="shared" si="130"/>
        <v>0</v>
      </c>
      <c r="EF17" s="134">
        <f t="shared" si="131"/>
        <v>0</v>
      </c>
      <c r="EG17" s="134">
        <f t="shared" si="132"/>
        <v>0</v>
      </c>
      <c r="EH17" s="134">
        <f t="shared" si="133"/>
        <v>0</v>
      </c>
      <c r="EI17" s="134">
        <f t="shared" si="134"/>
        <v>0</v>
      </c>
      <c r="EJ17" s="134">
        <f t="shared" si="135"/>
        <v>0</v>
      </c>
      <c r="EK17" s="134">
        <f t="shared" si="136"/>
        <v>0</v>
      </c>
      <c r="EL17" s="134">
        <f t="shared" si="137"/>
        <v>0</v>
      </c>
      <c r="EM17" s="134">
        <f t="shared" si="138"/>
        <v>0</v>
      </c>
      <c r="EN17" s="134">
        <f t="shared" si="139"/>
        <v>0</v>
      </c>
      <c r="EO17" s="134">
        <f t="shared" si="140"/>
        <v>0</v>
      </c>
      <c r="EP17" s="134">
        <f t="shared" si="141"/>
        <v>0</v>
      </c>
      <c r="EQ17" s="134">
        <f t="shared" si="142"/>
        <v>0</v>
      </c>
      <c r="ER17" s="134">
        <f t="shared" si="143"/>
        <v>0</v>
      </c>
      <c r="ES17" s="134">
        <f t="shared" si="144"/>
        <v>0</v>
      </c>
      <c r="ET17" s="134">
        <f t="shared" si="145"/>
        <v>0</v>
      </c>
      <c r="EU17" s="134">
        <f t="shared" si="146"/>
        <v>0</v>
      </c>
      <c r="EV17" s="134">
        <f t="shared" si="147"/>
        <v>0</v>
      </c>
      <c r="EW17" s="134">
        <f t="shared" si="148"/>
        <v>0</v>
      </c>
      <c r="EX17" s="134">
        <f t="shared" si="149"/>
        <v>0</v>
      </c>
      <c r="EY17" s="134">
        <f t="shared" si="150"/>
        <v>0</v>
      </c>
      <c r="EZ17" s="134">
        <f t="shared" si="151"/>
        <v>0</v>
      </c>
      <c r="FA17" s="134">
        <f t="shared" si="152"/>
        <v>0</v>
      </c>
      <c r="FB17" s="134">
        <f t="shared" si="153"/>
        <v>0</v>
      </c>
      <c r="FC17" s="134">
        <f t="shared" si="154"/>
        <v>0</v>
      </c>
      <c r="FD17" s="134">
        <f t="shared" si="155"/>
        <v>0</v>
      </c>
      <c r="FE17" s="134">
        <f t="shared" ca="1" si="156"/>
        <v>166666.66666666666</v>
      </c>
      <c r="FF17" s="134">
        <f t="shared" ca="1" si="157"/>
        <v>161111.11111111109</v>
      </c>
      <c r="FG17" s="134">
        <f t="shared" ca="1" si="158"/>
        <v>155740.74074074073</v>
      </c>
      <c r="FH17" s="134">
        <f t="shared" ca="1" si="159"/>
        <v>150549.38271604938</v>
      </c>
      <c r="FI17" s="134">
        <f t="shared" ca="1" si="160"/>
        <v>145531.06995884771</v>
      </c>
      <c r="FJ17" s="134">
        <f t="shared" ca="1" si="161"/>
        <v>140680.0342935528</v>
      </c>
      <c r="FK17" s="134">
        <f t="shared" ca="1" si="162"/>
        <v>135990.69981710103</v>
      </c>
      <c r="FL17" s="134">
        <f t="shared" ca="1" si="163"/>
        <v>131457.67648986433</v>
      </c>
      <c r="FM17" s="134">
        <f t="shared" ca="1" si="164"/>
        <v>127075.75394020218</v>
      </c>
      <c r="FN17" s="134">
        <f t="shared" ca="1" si="165"/>
        <v>122839.89547552877</v>
      </c>
      <c r="FO17" s="134">
        <f t="shared" ca="1" si="166"/>
        <v>118745.23229301115</v>
      </c>
      <c r="FP17" s="134">
        <f t="shared" ca="1" si="167"/>
        <v>114787.05788324411</v>
      </c>
      <c r="FQ17" s="134">
        <f t="shared" ca="1" si="168"/>
        <v>110960.82262046932</v>
      </c>
      <c r="FR17" s="134">
        <f t="shared" ca="1" si="169"/>
        <v>107262.12853312034</v>
      </c>
      <c r="FS17" s="134">
        <f t="shared" ca="1" si="170"/>
        <v>103686.72424868301</v>
      </c>
      <c r="FT17" s="134">
        <f t="shared" ca="1" si="171"/>
        <v>100230.50010706023</v>
      </c>
      <c r="FU17" s="134">
        <f t="shared" ca="1" si="172"/>
        <v>96889.483436824899</v>
      </c>
      <c r="FV17" s="134">
        <f t="shared" ca="1" si="173"/>
        <v>93659.833988930739</v>
      </c>
      <c r="FW17" s="134">
        <f t="shared" ca="1" si="174"/>
        <v>90537.839522633047</v>
      </c>
      <c r="FX17" s="134">
        <f t="shared" ca="1" si="175"/>
        <v>87519.911538545275</v>
      </c>
      <c r="FY17" s="134">
        <f t="shared" ca="1" si="176"/>
        <v>84602.581153927094</v>
      </c>
      <c r="FZ17" s="134">
        <f t="shared" ca="1" si="177"/>
        <v>81782.495115462865</v>
      </c>
      <c r="GA17" s="134">
        <f t="shared" ca="1" si="178"/>
        <v>79056.411944947438</v>
      </c>
      <c r="GB17" s="134">
        <f t="shared" ca="1" si="179"/>
        <v>76421.198213449185</v>
      </c>
      <c r="GC17" s="134">
        <f t="shared" ca="1" si="180"/>
        <v>73873.824939667538</v>
      </c>
      <c r="GD17" s="134">
        <f t="shared" ca="1" si="181"/>
        <v>71411.364108345282</v>
      </c>
      <c r="GE17" s="134">
        <f t="shared" ca="1" si="182"/>
        <v>69030.985304733782</v>
      </c>
      <c r="GF17" s="134">
        <f t="shared" ca="1" si="183"/>
        <v>66729.952461242647</v>
      </c>
      <c r="GG17" s="134">
        <f t="shared" ca="1" si="184"/>
        <v>64505.620712534561</v>
      </c>
      <c r="GH17" s="134">
        <f t="shared" ca="1" si="185"/>
        <v>62355.433355450077</v>
      </c>
      <c r="GI17" s="134">
        <f t="shared" ca="1" si="186"/>
        <v>60276.91891026841</v>
      </c>
      <c r="GJ17" s="134">
        <f t="shared" ca="1" si="187"/>
        <v>60276.91891026841</v>
      </c>
      <c r="GK17" s="134">
        <f t="shared" ca="1" si="188"/>
        <v>60276.91891026841</v>
      </c>
      <c r="GL17" s="134">
        <f t="shared" ca="1" si="189"/>
        <v>60276.91891026841</v>
      </c>
      <c r="GM17" s="134">
        <f t="shared" ca="1" si="190"/>
        <v>60276.91891026841</v>
      </c>
      <c r="GN17" s="134">
        <f t="shared" ca="1" si="191"/>
        <v>60276.91891026841</v>
      </c>
      <c r="GO17" s="134">
        <f t="shared" ca="1" si="192"/>
        <v>60276.91891026841</v>
      </c>
      <c r="GP17" s="134">
        <f t="shared" ca="1" si="193"/>
        <v>60276.91891026841</v>
      </c>
      <c r="GQ17" s="134">
        <f t="shared" ca="1" si="194"/>
        <v>60276.91891026841</v>
      </c>
      <c r="GR17" s="134">
        <f t="shared" ca="1" si="195"/>
        <v>60276.91891026841</v>
      </c>
      <c r="GS17" s="134">
        <f t="shared" ca="1" si="196"/>
        <v>60276.91891026841</v>
      </c>
      <c r="GT17" s="134">
        <f t="shared" ca="1" si="197"/>
        <v>60276.91891026841</v>
      </c>
      <c r="GU17" s="134">
        <f t="shared" ca="1" si="198"/>
        <v>60276.91891026841</v>
      </c>
      <c r="GV17" s="134">
        <f t="shared" ca="1" si="199"/>
        <v>60276.91891026841</v>
      </c>
      <c r="GW17" s="134">
        <f t="shared" ca="1" si="200"/>
        <v>60276.91891026841</v>
      </c>
      <c r="GX17" s="134">
        <f t="shared" ca="1" si="201"/>
        <v>60276.91891026841</v>
      </c>
      <c r="GY17" s="134">
        <f t="shared" ca="1" si="202"/>
        <v>60276.91891026841</v>
      </c>
      <c r="GZ17" s="134">
        <f t="shared" ca="1" si="203"/>
        <v>60276.91891026841</v>
      </c>
      <c r="HA17" s="134">
        <f t="shared" ca="1" si="204"/>
        <v>60276.91891026841</v>
      </c>
      <c r="HB17" s="134">
        <f t="shared" ca="1" si="205"/>
        <v>60276.91891026841</v>
      </c>
      <c r="HC17" s="134">
        <f t="shared" ca="1" si="206"/>
        <v>60276.91891026841</v>
      </c>
      <c r="HD17" s="134">
        <f t="shared" ca="1" si="207"/>
        <v>60276.91891026841</v>
      </c>
      <c r="HE17" s="134">
        <f t="shared" ca="1" si="208"/>
        <v>60276.91891026841</v>
      </c>
      <c r="HF17" s="134">
        <f t="shared" ca="1" si="209"/>
        <v>60276.91891026841</v>
      </c>
      <c r="HG17" s="134">
        <f t="shared" ca="1" si="210"/>
        <v>60276.91891026841</v>
      </c>
      <c r="HH17" s="134">
        <f t="shared" ca="1" si="211"/>
        <v>60276.91891026841</v>
      </c>
      <c r="HI17" s="134">
        <f t="shared" ca="1" si="212"/>
        <v>60276.91891026841</v>
      </c>
      <c r="HJ17" s="134">
        <f t="shared" ca="1" si="213"/>
        <v>60276.91891026841</v>
      </c>
      <c r="HK17" s="134">
        <f t="shared" ca="1" si="214"/>
        <v>60276.91891026841</v>
      </c>
      <c r="HL17" s="134">
        <f t="shared" ca="1" si="215"/>
        <v>60276.91891026841</v>
      </c>
      <c r="HM17" s="134">
        <f t="shared" ca="1" si="216"/>
        <v>0</v>
      </c>
      <c r="HN17" s="134">
        <f t="shared" ca="1" si="217"/>
        <v>0</v>
      </c>
      <c r="HO17" s="134">
        <f t="shared" ca="1" si="218"/>
        <v>0</v>
      </c>
      <c r="HP17" s="134">
        <f t="shared" ca="1" si="219"/>
        <v>0</v>
      </c>
      <c r="HQ17" s="134">
        <f t="shared" ca="1" si="220"/>
        <v>0</v>
      </c>
      <c r="HR17" s="134">
        <f t="shared" ca="1" si="221"/>
        <v>0</v>
      </c>
      <c r="HS17" s="134">
        <f t="shared" ca="1" si="222"/>
        <v>0</v>
      </c>
      <c r="HT17" s="134">
        <f t="shared" ca="1" si="223"/>
        <v>0</v>
      </c>
      <c r="HU17" s="134">
        <f t="shared" ca="1" si="224"/>
        <v>0</v>
      </c>
      <c r="HV17" s="134">
        <f t="shared" ca="1" si="225"/>
        <v>0</v>
      </c>
      <c r="HW17" s="134">
        <f t="shared" ca="1" si="226"/>
        <v>0</v>
      </c>
      <c r="HX17" s="134">
        <f t="shared" ca="1" si="227"/>
        <v>0</v>
      </c>
      <c r="HY17" s="134">
        <f t="shared" ca="1" si="228"/>
        <v>0</v>
      </c>
      <c r="HZ17" s="134">
        <f t="shared" ca="1" si="229"/>
        <v>0</v>
      </c>
      <c r="IA17" s="134">
        <f t="shared" ca="1" si="230"/>
        <v>0</v>
      </c>
      <c r="IB17" s="134">
        <f t="shared" ca="1" si="231"/>
        <v>0</v>
      </c>
      <c r="IC17" s="134">
        <f t="shared" ca="1" si="232"/>
        <v>0</v>
      </c>
      <c r="ID17" s="134">
        <f t="shared" ca="1" si="233"/>
        <v>0</v>
      </c>
      <c r="IE17" s="134">
        <f t="shared" ca="1" si="234"/>
        <v>0</v>
      </c>
      <c r="IF17" s="134">
        <f t="shared" ca="1" si="235"/>
        <v>0</v>
      </c>
      <c r="IG17" s="134">
        <f t="shared" ca="1" si="236"/>
        <v>0</v>
      </c>
      <c r="IH17" s="134">
        <f t="shared" ca="1" si="237"/>
        <v>0</v>
      </c>
      <c r="II17" s="134">
        <f t="shared" ca="1" si="238"/>
        <v>0</v>
      </c>
      <c r="IJ17" s="135">
        <f t="shared" ca="1" si="239"/>
        <v>0</v>
      </c>
      <c r="IK17" s="132">
        <f t="shared" ca="1" si="240"/>
        <v>5000000</v>
      </c>
    </row>
    <row r="18" spans="1:245" x14ac:dyDescent="0.45">
      <c r="A18" s="67">
        <v>2029</v>
      </c>
      <c r="B18" s="112"/>
      <c r="C18" s="3">
        <f ca="1">INT(SUM(OFFSET('CAPEX Schedule'!$C$8,0,($A18-$A$4)*12):OFFSET('CAPEX Schedule'!$C$8,0,($A18-$A$4)*12+11)))</f>
        <v>0</v>
      </c>
      <c r="D18" s="3">
        <f ca="1">INT(SUM(OFFSET('CAPEX Schedule'!$C$13,0,($A18-$A$4)*12):OFFSET('CAPEX Schedule'!$C$13,0,($A18-$A$4)*12+11)))-C18</f>
        <v>0</v>
      </c>
      <c r="E18" s="130">
        <f t="shared" si="0"/>
        <v>0</v>
      </c>
      <c r="F18" s="134">
        <f t="shared" si="1"/>
        <v>0</v>
      </c>
      <c r="G18" s="134">
        <f t="shared" si="2"/>
        <v>0</v>
      </c>
      <c r="H18" s="134">
        <f t="shared" si="3"/>
        <v>0</v>
      </c>
      <c r="I18" s="134">
        <f t="shared" si="4"/>
        <v>0</v>
      </c>
      <c r="J18" s="134">
        <f t="shared" si="5"/>
        <v>0</v>
      </c>
      <c r="K18" s="134">
        <f t="shared" si="6"/>
        <v>0</v>
      </c>
      <c r="L18" s="134">
        <f t="shared" si="7"/>
        <v>0</v>
      </c>
      <c r="M18" s="134">
        <f t="shared" si="8"/>
        <v>0</v>
      </c>
      <c r="N18" s="134">
        <f t="shared" si="9"/>
        <v>0</v>
      </c>
      <c r="O18" s="134">
        <f t="shared" si="10"/>
        <v>0</v>
      </c>
      <c r="P18" s="134">
        <f t="shared" si="11"/>
        <v>0</v>
      </c>
      <c r="Q18" s="134">
        <f t="shared" si="12"/>
        <v>0</v>
      </c>
      <c r="R18" s="134">
        <f t="shared" si="13"/>
        <v>0</v>
      </c>
      <c r="S18" s="134">
        <f t="shared" si="14"/>
        <v>0</v>
      </c>
      <c r="T18" s="134">
        <f t="shared" si="15"/>
        <v>0</v>
      </c>
      <c r="U18" s="134">
        <f t="shared" si="16"/>
        <v>0</v>
      </c>
      <c r="V18" s="134">
        <f t="shared" si="17"/>
        <v>0</v>
      </c>
      <c r="W18" s="134">
        <f t="shared" si="18"/>
        <v>0</v>
      </c>
      <c r="X18" s="134">
        <f t="shared" si="19"/>
        <v>0</v>
      </c>
      <c r="Y18" s="134">
        <f t="shared" si="20"/>
        <v>0</v>
      </c>
      <c r="Z18" s="134">
        <f t="shared" si="21"/>
        <v>0</v>
      </c>
      <c r="AA18" s="134">
        <f t="shared" si="22"/>
        <v>0</v>
      </c>
      <c r="AB18" s="134">
        <f t="shared" si="23"/>
        <v>0</v>
      </c>
      <c r="AC18" s="134">
        <f t="shared" si="24"/>
        <v>0</v>
      </c>
      <c r="AD18" s="134">
        <f t="shared" si="25"/>
        <v>0</v>
      </c>
      <c r="AE18" s="134">
        <f t="shared" si="26"/>
        <v>0</v>
      </c>
      <c r="AF18" s="134">
        <f t="shared" si="27"/>
        <v>0</v>
      </c>
      <c r="AG18" s="134">
        <f t="shared" si="28"/>
        <v>0</v>
      </c>
      <c r="AH18" s="134">
        <f t="shared" si="29"/>
        <v>0</v>
      </c>
      <c r="AI18" s="134">
        <f t="shared" si="30"/>
        <v>0</v>
      </c>
      <c r="AJ18" s="134">
        <f t="shared" si="31"/>
        <v>0</v>
      </c>
      <c r="AK18" s="134">
        <f t="shared" si="32"/>
        <v>0</v>
      </c>
      <c r="AL18" s="134">
        <f t="shared" si="33"/>
        <v>0</v>
      </c>
      <c r="AM18" s="134">
        <f t="shared" si="34"/>
        <v>0</v>
      </c>
      <c r="AN18" s="134">
        <f t="shared" si="35"/>
        <v>0</v>
      </c>
      <c r="AO18" s="134">
        <f t="shared" si="36"/>
        <v>0</v>
      </c>
      <c r="AP18" s="134">
        <f t="shared" si="37"/>
        <v>0</v>
      </c>
      <c r="AQ18" s="134">
        <f t="shared" si="38"/>
        <v>0</v>
      </c>
      <c r="AR18" s="134">
        <f t="shared" si="39"/>
        <v>0</v>
      </c>
      <c r="AS18" s="134">
        <f t="shared" si="40"/>
        <v>0</v>
      </c>
      <c r="AT18" s="134">
        <f t="shared" si="41"/>
        <v>0</v>
      </c>
      <c r="AU18" s="134">
        <f t="shared" si="42"/>
        <v>0</v>
      </c>
      <c r="AV18" s="134">
        <f t="shared" si="43"/>
        <v>0</v>
      </c>
      <c r="AW18" s="134">
        <f t="shared" si="44"/>
        <v>0</v>
      </c>
      <c r="AX18" s="134">
        <f t="shared" si="45"/>
        <v>0</v>
      </c>
      <c r="AY18" s="134">
        <f t="shared" si="46"/>
        <v>0</v>
      </c>
      <c r="AZ18" s="134">
        <f t="shared" si="47"/>
        <v>0</v>
      </c>
      <c r="BA18" s="134">
        <f t="shared" si="48"/>
        <v>0</v>
      </c>
      <c r="BB18" s="134">
        <f t="shared" si="49"/>
        <v>0</v>
      </c>
      <c r="BC18" s="134">
        <f t="shared" si="50"/>
        <v>0</v>
      </c>
      <c r="BD18" s="134">
        <f t="shared" si="51"/>
        <v>0</v>
      </c>
      <c r="BE18" s="134">
        <f t="shared" si="52"/>
        <v>0</v>
      </c>
      <c r="BF18" s="134">
        <f t="shared" si="53"/>
        <v>0</v>
      </c>
      <c r="BG18" s="134">
        <f t="shared" si="54"/>
        <v>0</v>
      </c>
      <c r="BH18" s="134">
        <f t="shared" si="55"/>
        <v>0</v>
      </c>
      <c r="BI18" s="134">
        <f t="shared" si="56"/>
        <v>0</v>
      </c>
      <c r="BJ18" s="134">
        <f t="shared" si="57"/>
        <v>0</v>
      </c>
      <c r="BK18" s="134">
        <f t="shared" si="58"/>
        <v>0</v>
      </c>
      <c r="BL18" s="134">
        <f t="shared" si="59"/>
        <v>0</v>
      </c>
      <c r="BM18" s="134">
        <f t="shared" si="60"/>
        <v>0</v>
      </c>
      <c r="BN18" s="134">
        <f t="shared" si="61"/>
        <v>0</v>
      </c>
      <c r="BO18" s="134">
        <f t="shared" si="62"/>
        <v>0</v>
      </c>
      <c r="BP18" s="134">
        <f t="shared" si="63"/>
        <v>0</v>
      </c>
      <c r="BQ18" s="134">
        <f t="shared" si="64"/>
        <v>0</v>
      </c>
      <c r="BR18" s="134">
        <f t="shared" si="65"/>
        <v>0</v>
      </c>
      <c r="BS18" s="134">
        <f t="shared" si="66"/>
        <v>0</v>
      </c>
      <c r="BT18" s="134">
        <f t="shared" si="67"/>
        <v>0</v>
      </c>
      <c r="BU18" s="134">
        <f t="shared" si="68"/>
        <v>0</v>
      </c>
      <c r="BV18" s="134">
        <f t="shared" si="69"/>
        <v>0</v>
      </c>
      <c r="BW18" s="134">
        <f t="shared" si="70"/>
        <v>0</v>
      </c>
      <c r="BX18" s="134">
        <f t="shared" si="71"/>
        <v>0</v>
      </c>
      <c r="BY18" s="134">
        <f t="shared" si="72"/>
        <v>0</v>
      </c>
      <c r="BZ18" s="134">
        <f t="shared" si="73"/>
        <v>0</v>
      </c>
      <c r="CA18" s="134">
        <f t="shared" si="74"/>
        <v>0</v>
      </c>
      <c r="CB18" s="134">
        <f t="shared" si="75"/>
        <v>0</v>
      </c>
      <c r="CC18" s="134">
        <f t="shared" si="76"/>
        <v>0</v>
      </c>
      <c r="CD18" s="134">
        <f t="shared" si="77"/>
        <v>0</v>
      </c>
      <c r="CE18" s="134">
        <f t="shared" si="78"/>
        <v>0</v>
      </c>
      <c r="CF18" s="134">
        <f t="shared" si="79"/>
        <v>0</v>
      </c>
      <c r="CG18" s="134">
        <f t="shared" si="80"/>
        <v>0</v>
      </c>
      <c r="CH18" s="134">
        <f t="shared" si="81"/>
        <v>0</v>
      </c>
      <c r="CI18" s="134">
        <f t="shared" si="82"/>
        <v>0</v>
      </c>
      <c r="CJ18" s="134">
        <f t="shared" si="83"/>
        <v>0</v>
      </c>
      <c r="CK18" s="134">
        <f t="shared" si="84"/>
        <v>0</v>
      </c>
      <c r="CL18" s="134">
        <f t="shared" si="85"/>
        <v>0</v>
      </c>
      <c r="CM18" s="134">
        <f t="shared" si="86"/>
        <v>0</v>
      </c>
      <c r="CN18" s="134">
        <f t="shared" si="87"/>
        <v>0</v>
      </c>
      <c r="CO18" s="134">
        <f t="shared" si="88"/>
        <v>0</v>
      </c>
      <c r="CP18" s="134">
        <f t="shared" si="89"/>
        <v>0</v>
      </c>
      <c r="CQ18" s="134">
        <f t="shared" si="90"/>
        <v>0</v>
      </c>
      <c r="CR18" s="134">
        <f t="shared" si="91"/>
        <v>0</v>
      </c>
      <c r="CS18" s="134">
        <f t="shared" si="92"/>
        <v>0</v>
      </c>
      <c r="CT18" s="134">
        <f t="shared" si="93"/>
        <v>0</v>
      </c>
      <c r="CU18" s="134">
        <f t="shared" si="94"/>
        <v>0</v>
      </c>
      <c r="CV18" s="134">
        <f t="shared" si="95"/>
        <v>0</v>
      </c>
      <c r="CW18" s="134">
        <f t="shared" si="96"/>
        <v>0</v>
      </c>
      <c r="CX18" s="134">
        <f t="shared" si="97"/>
        <v>0</v>
      </c>
      <c r="CY18" s="134">
        <f t="shared" si="98"/>
        <v>0</v>
      </c>
      <c r="CZ18" s="134">
        <f t="shared" si="99"/>
        <v>0</v>
      </c>
      <c r="DA18" s="134">
        <f t="shared" si="100"/>
        <v>0</v>
      </c>
      <c r="DB18" s="134">
        <f t="shared" si="101"/>
        <v>0</v>
      </c>
      <c r="DC18" s="134">
        <f t="shared" si="102"/>
        <v>0</v>
      </c>
      <c r="DD18" s="134">
        <f t="shared" si="103"/>
        <v>0</v>
      </c>
      <c r="DE18" s="134">
        <f t="shared" si="104"/>
        <v>0</v>
      </c>
      <c r="DF18" s="134">
        <f t="shared" si="105"/>
        <v>0</v>
      </c>
      <c r="DG18" s="134">
        <f t="shared" si="106"/>
        <v>0</v>
      </c>
      <c r="DH18" s="134">
        <f t="shared" si="107"/>
        <v>0</v>
      </c>
      <c r="DI18" s="134">
        <f t="shared" si="108"/>
        <v>0</v>
      </c>
      <c r="DJ18" s="134">
        <f t="shared" si="109"/>
        <v>0</v>
      </c>
      <c r="DK18" s="134">
        <f t="shared" si="110"/>
        <v>0</v>
      </c>
      <c r="DL18" s="134">
        <f t="shared" si="111"/>
        <v>0</v>
      </c>
      <c r="DM18" s="134">
        <f t="shared" si="112"/>
        <v>0</v>
      </c>
      <c r="DN18" s="134">
        <f t="shared" si="113"/>
        <v>0</v>
      </c>
      <c r="DO18" s="134">
        <f t="shared" si="114"/>
        <v>0</v>
      </c>
      <c r="DP18" s="134">
        <f t="shared" si="115"/>
        <v>0</v>
      </c>
      <c r="DQ18" s="134">
        <f t="shared" si="116"/>
        <v>0</v>
      </c>
      <c r="DR18" s="134">
        <f t="shared" si="117"/>
        <v>0</v>
      </c>
      <c r="DS18" s="134">
        <f t="shared" si="118"/>
        <v>0</v>
      </c>
      <c r="DT18" s="134">
        <f t="shared" si="119"/>
        <v>0</v>
      </c>
      <c r="DU18" s="134">
        <f t="shared" si="120"/>
        <v>0</v>
      </c>
      <c r="DV18" s="134">
        <f t="shared" si="121"/>
        <v>0</v>
      </c>
      <c r="DW18" s="134">
        <f t="shared" si="122"/>
        <v>0</v>
      </c>
      <c r="DX18" s="134">
        <f t="shared" si="123"/>
        <v>0</v>
      </c>
      <c r="DY18" s="134">
        <f t="shared" si="124"/>
        <v>0</v>
      </c>
      <c r="DZ18" s="134">
        <f t="shared" si="125"/>
        <v>0</v>
      </c>
      <c r="EA18" s="134">
        <f t="shared" si="126"/>
        <v>0</v>
      </c>
      <c r="EB18" s="134">
        <f t="shared" si="127"/>
        <v>0</v>
      </c>
      <c r="EC18" s="134">
        <f t="shared" si="128"/>
        <v>0</v>
      </c>
      <c r="ED18" s="134">
        <f t="shared" si="129"/>
        <v>0</v>
      </c>
      <c r="EE18" s="134">
        <f t="shared" si="130"/>
        <v>0</v>
      </c>
      <c r="EF18" s="134">
        <f t="shared" si="131"/>
        <v>0</v>
      </c>
      <c r="EG18" s="134">
        <f t="shared" si="132"/>
        <v>0</v>
      </c>
      <c r="EH18" s="134">
        <f t="shared" si="133"/>
        <v>0</v>
      </c>
      <c r="EI18" s="134">
        <f t="shared" si="134"/>
        <v>0</v>
      </c>
      <c r="EJ18" s="134">
        <f t="shared" si="135"/>
        <v>0</v>
      </c>
      <c r="EK18" s="134">
        <f t="shared" si="136"/>
        <v>0</v>
      </c>
      <c r="EL18" s="134">
        <f t="shared" si="137"/>
        <v>0</v>
      </c>
      <c r="EM18" s="134">
        <f t="shared" si="138"/>
        <v>0</v>
      </c>
      <c r="EN18" s="134">
        <f t="shared" si="139"/>
        <v>0</v>
      </c>
      <c r="EO18" s="134">
        <f t="shared" si="140"/>
        <v>0</v>
      </c>
      <c r="EP18" s="134">
        <f t="shared" si="141"/>
        <v>0</v>
      </c>
      <c r="EQ18" s="134">
        <f t="shared" si="142"/>
        <v>0</v>
      </c>
      <c r="ER18" s="134">
        <f t="shared" si="143"/>
        <v>0</v>
      </c>
      <c r="ES18" s="134">
        <f t="shared" si="144"/>
        <v>0</v>
      </c>
      <c r="ET18" s="134">
        <f t="shared" si="145"/>
        <v>0</v>
      </c>
      <c r="EU18" s="134">
        <f t="shared" si="146"/>
        <v>0</v>
      </c>
      <c r="EV18" s="134">
        <f t="shared" si="147"/>
        <v>0</v>
      </c>
      <c r="EW18" s="134">
        <f t="shared" si="148"/>
        <v>0</v>
      </c>
      <c r="EX18" s="134">
        <f t="shared" si="149"/>
        <v>0</v>
      </c>
      <c r="EY18" s="134">
        <f t="shared" si="150"/>
        <v>0</v>
      </c>
      <c r="EZ18" s="134">
        <f t="shared" si="151"/>
        <v>0</v>
      </c>
      <c r="FA18" s="134">
        <f t="shared" si="152"/>
        <v>0</v>
      </c>
      <c r="FB18" s="134">
        <f t="shared" si="153"/>
        <v>0</v>
      </c>
      <c r="FC18" s="134">
        <f t="shared" si="154"/>
        <v>0</v>
      </c>
      <c r="FD18" s="134">
        <f t="shared" si="155"/>
        <v>0</v>
      </c>
      <c r="FE18" s="134">
        <f t="shared" si="156"/>
        <v>0</v>
      </c>
      <c r="FF18" s="134">
        <f t="shared" si="157"/>
        <v>0</v>
      </c>
      <c r="FG18" s="134">
        <f t="shared" si="158"/>
        <v>0</v>
      </c>
      <c r="FH18" s="134">
        <f t="shared" si="159"/>
        <v>0</v>
      </c>
      <c r="FI18" s="134">
        <f t="shared" si="160"/>
        <v>0</v>
      </c>
      <c r="FJ18" s="134">
        <f t="shared" si="161"/>
        <v>0</v>
      </c>
      <c r="FK18" s="134">
        <f t="shared" si="162"/>
        <v>0</v>
      </c>
      <c r="FL18" s="134">
        <f t="shared" si="163"/>
        <v>0</v>
      </c>
      <c r="FM18" s="134">
        <f t="shared" si="164"/>
        <v>0</v>
      </c>
      <c r="FN18" s="134">
        <f t="shared" si="165"/>
        <v>0</v>
      </c>
      <c r="FO18" s="134">
        <f t="shared" si="166"/>
        <v>0</v>
      </c>
      <c r="FP18" s="134">
        <f t="shared" si="167"/>
        <v>0</v>
      </c>
      <c r="FQ18" s="134">
        <f t="shared" ca="1" si="168"/>
        <v>333333.33333333331</v>
      </c>
      <c r="FR18" s="134">
        <f t="shared" ca="1" si="169"/>
        <v>322222.22222222219</v>
      </c>
      <c r="FS18" s="134">
        <f t="shared" ca="1" si="170"/>
        <v>311481.48148148146</v>
      </c>
      <c r="FT18" s="134">
        <f t="shared" ca="1" si="171"/>
        <v>301098.76543209876</v>
      </c>
      <c r="FU18" s="134">
        <f t="shared" ca="1" si="172"/>
        <v>291062.13991769543</v>
      </c>
      <c r="FV18" s="134">
        <f t="shared" ca="1" si="173"/>
        <v>281360.0685871056</v>
      </c>
      <c r="FW18" s="134">
        <f t="shared" ca="1" si="174"/>
        <v>271981.39963420207</v>
      </c>
      <c r="FX18" s="134">
        <f t="shared" ca="1" si="175"/>
        <v>262915.35297972866</v>
      </c>
      <c r="FY18" s="134">
        <f t="shared" ca="1" si="176"/>
        <v>254151.50788040436</v>
      </c>
      <c r="FZ18" s="134">
        <f t="shared" ca="1" si="177"/>
        <v>245679.79095105754</v>
      </c>
      <c r="GA18" s="134">
        <f t="shared" ca="1" si="178"/>
        <v>237490.46458602231</v>
      </c>
      <c r="GB18" s="134">
        <f t="shared" ca="1" si="179"/>
        <v>229574.11576648822</v>
      </c>
      <c r="GC18" s="134">
        <f t="shared" ca="1" si="180"/>
        <v>221921.64524093864</v>
      </c>
      <c r="GD18" s="134">
        <f t="shared" ca="1" si="181"/>
        <v>214524.25706624068</v>
      </c>
      <c r="GE18" s="134">
        <f t="shared" ca="1" si="182"/>
        <v>207373.44849736601</v>
      </c>
      <c r="GF18" s="134">
        <f t="shared" ca="1" si="183"/>
        <v>200461.00021412046</v>
      </c>
      <c r="GG18" s="134">
        <f t="shared" ca="1" si="184"/>
        <v>193778.9668736498</v>
      </c>
      <c r="GH18" s="134">
        <f t="shared" ca="1" si="185"/>
        <v>187319.66797786148</v>
      </c>
      <c r="GI18" s="134">
        <f t="shared" ca="1" si="186"/>
        <v>181075.67904526609</v>
      </c>
      <c r="GJ18" s="134">
        <f t="shared" ca="1" si="187"/>
        <v>175039.82307709055</v>
      </c>
      <c r="GK18" s="134">
        <f t="shared" ca="1" si="188"/>
        <v>169205.16230785419</v>
      </c>
      <c r="GL18" s="134">
        <f t="shared" ca="1" si="189"/>
        <v>163564.99023092573</v>
      </c>
      <c r="GM18" s="134">
        <f t="shared" ca="1" si="190"/>
        <v>158112.82388989488</v>
      </c>
      <c r="GN18" s="134">
        <f t="shared" ca="1" si="191"/>
        <v>152842.39642689837</v>
      </c>
      <c r="GO18" s="134">
        <f t="shared" ca="1" si="192"/>
        <v>147747.64987933508</v>
      </c>
      <c r="GP18" s="134">
        <f t="shared" ca="1" si="193"/>
        <v>142822.72821669056</v>
      </c>
      <c r="GQ18" s="134">
        <f t="shared" ca="1" si="194"/>
        <v>138061.97060946756</v>
      </c>
      <c r="GR18" s="134">
        <f t="shared" ca="1" si="195"/>
        <v>133459.90492248529</v>
      </c>
      <c r="GS18" s="134">
        <f t="shared" ca="1" si="196"/>
        <v>129011.24142506912</v>
      </c>
      <c r="GT18" s="134">
        <f t="shared" ca="1" si="197"/>
        <v>124710.86671090015</v>
      </c>
      <c r="GU18" s="134">
        <f t="shared" ca="1" si="198"/>
        <v>120553.83782053682</v>
      </c>
      <c r="GV18" s="134">
        <f t="shared" ca="1" si="199"/>
        <v>120553.83782053682</v>
      </c>
      <c r="GW18" s="134">
        <f t="shared" ca="1" si="200"/>
        <v>120553.83782053682</v>
      </c>
      <c r="GX18" s="134">
        <f t="shared" ca="1" si="201"/>
        <v>120553.83782053682</v>
      </c>
      <c r="GY18" s="134">
        <f t="shared" ca="1" si="202"/>
        <v>120553.83782053682</v>
      </c>
      <c r="GZ18" s="134">
        <f t="shared" ca="1" si="203"/>
        <v>120553.83782053682</v>
      </c>
      <c r="HA18" s="134">
        <f t="shared" ca="1" si="204"/>
        <v>120553.83782053682</v>
      </c>
      <c r="HB18" s="134">
        <f t="shared" ca="1" si="205"/>
        <v>120553.83782053682</v>
      </c>
      <c r="HC18" s="134">
        <f t="shared" ca="1" si="206"/>
        <v>120553.83782053682</v>
      </c>
      <c r="HD18" s="134">
        <f t="shared" ca="1" si="207"/>
        <v>120553.83782053682</v>
      </c>
      <c r="HE18" s="134">
        <f t="shared" ca="1" si="208"/>
        <v>120553.83782053682</v>
      </c>
      <c r="HF18" s="134">
        <f t="shared" ca="1" si="209"/>
        <v>120553.83782053682</v>
      </c>
      <c r="HG18" s="134">
        <f t="shared" ca="1" si="210"/>
        <v>120553.83782053682</v>
      </c>
      <c r="HH18" s="134">
        <f t="shared" ca="1" si="211"/>
        <v>120553.83782053682</v>
      </c>
      <c r="HI18" s="134">
        <f t="shared" ca="1" si="212"/>
        <v>120553.83782053682</v>
      </c>
      <c r="HJ18" s="134">
        <f t="shared" ca="1" si="213"/>
        <v>120553.83782053682</v>
      </c>
      <c r="HK18" s="134">
        <f t="shared" ca="1" si="214"/>
        <v>120553.83782053682</v>
      </c>
      <c r="HL18" s="134">
        <f t="shared" ca="1" si="215"/>
        <v>120553.83782053682</v>
      </c>
      <c r="HM18" s="134">
        <f t="shared" ca="1" si="216"/>
        <v>120553.83782053682</v>
      </c>
      <c r="HN18" s="134">
        <f t="shared" ca="1" si="217"/>
        <v>120553.83782053682</v>
      </c>
      <c r="HO18" s="134">
        <f t="shared" ca="1" si="218"/>
        <v>120553.83782053682</v>
      </c>
      <c r="HP18" s="134">
        <f t="shared" ca="1" si="219"/>
        <v>120553.83782053682</v>
      </c>
      <c r="HQ18" s="134">
        <f t="shared" ca="1" si="220"/>
        <v>120553.83782053682</v>
      </c>
      <c r="HR18" s="134">
        <f t="shared" ca="1" si="221"/>
        <v>120553.83782053682</v>
      </c>
      <c r="HS18" s="134">
        <f t="shared" ca="1" si="222"/>
        <v>120553.83782053682</v>
      </c>
      <c r="HT18" s="134">
        <f t="shared" ca="1" si="223"/>
        <v>120553.83782053682</v>
      </c>
      <c r="HU18" s="134">
        <f t="shared" ca="1" si="224"/>
        <v>120553.83782053682</v>
      </c>
      <c r="HV18" s="134">
        <f t="shared" ca="1" si="225"/>
        <v>120553.83782053682</v>
      </c>
      <c r="HW18" s="134">
        <f t="shared" ca="1" si="226"/>
        <v>120553.83782053682</v>
      </c>
      <c r="HX18" s="134">
        <f t="shared" ca="1" si="227"/>
        <v>120553.83782053682</v>
      </c>
      <c r="HY18" s="134">
        <f t="shared" ca="1" si="228"/>
        <v>0</v>
      </c>
      <c r="HZ18" s="134">
        <f t="shared" ca="1" si="229"/>
        <v>0</v>
      </c>
      <c r="IA18" s="134">
        <f t="shared" ca="1" si="230"/>
        <v>0</v>
      </c>
      <c r="IB18" s="134">
        <f t="shared" ca="1" si="231"/>
        <v>0</v>
      </c>
      <c r="IC18" s="134">
        <f t="shared" ca="1" si="232"/>
        <v>0</v>
      </c>
      <c r="ID18" s="134">
        <f t="shared" ca="1" si="233"/>
        <v>0</v>
      </c>
      <c r="IE18" s="134">
        <f t="shared" ca="1" si="234"/>
        <v>0</v>
      </c>
      <c r="IF18" s="134">
        <f t="shared" ca="1" si="235"/>
        <v>0</v>
      </c>
      <c r="IG18" s="134">
        <f t="shared" ca="1" si="236"/>
        <v>0</v>
      </c>
      <c r="IH18" s="134">
        <f t="shared" ca="1" si="237"/>
        <v>0</v>
      </c>
      <c r="II18" s="134">
        <f t="shared" ca="1" si="238"/>
        <v>0</v>
      </c>
      <c r="IJ18" s="135">
        <f t="shared" ca="1" si="239"/>
        <v>0</v>
      </c>
      <c r="IK18" s="132">
        <f t="shared" ca="1" si="240"/>
        <v>10000000</v>
      </c>
    </row>
    <row r="19" spans="1:245" x14ac:dyDescent="0.45">
      <c r="A19" s="67">
        <v>2030</v>
      </c>
      <c r="B19" s="112"/>
      <c r="C19" s="3">
        <f ca="1">INT(SUM(OFFSET('CAPEX Schedule'!$C$8,0,($A19-$A$4)*12):OFFSET('CAPEX Schedule'!$C$8,0,($A19-$A$4)*12+11)))</f>
        <v>0</v>
      </c>
      <c r="D19" s="3">
        <f ca="1">INT(SUM(OFFSET('CAPEX Schedule'!$C$13,0,($A19-$A$4)*12):OFFSET('CAPEX Schedule'!$C$13,0,($A19-$A$4)*12+11)))-C19</f>
        <v>46569760</v>
      </c>
      <c r="E19" s="130">
        <f t="shared" si="0"/>
        <v>0</v>
      </c>
      <c r="F19" s="134">
        <f t="shared" si="1"/>
        <v>0</v>
      </c>
      <c r="G19" s="134">
        <f t="shared" si="2"/>
        <v>0</v>
      </c>
      <c r="H19" s="134">
        <f t="shared" si="3"/>
        <v>0</v>
      </c>
      <c r="I19" s="134">
        <f t="shared" si="4"/>
        <v>0</v>
      </c>
      <c r="J19" s="134">
        <f t="shared" si="5"/>
        <v>0</v>
      </c>
      <c r="K19" s="134">
        <f t="shared" si="6"/>
        <v>0</v>
      </c>
      <c r="L19" s="134">
        <f t="shared" si="7"/>
        <v>0</v>
      </c>
      <c r="M19" s="134">
        <f t="shared" si="8"/>
        <v>0</v>
      </c>
      <c r="N19" s="134">
        <f t="shared" si="9"/>
        <v>0</v>
      </c>
      <c r="O19" s="134">
        <f t="shared" si="10"/>
        <v>0</v>
      </c>
      <c r="P19" s="134">
        <f t="shared" si="11"/>
        <v>0</v>
      </c>
      <c r="Q19" s="134">
        <f t="shared" si="12"/>
        <v>0</v>
      </c>
      <c r="R19" s="134">
        <f t="shared" si="13"/>
        <v>0</v>
      </c>
      <c r="S19" s="134">
        <f t="shared" si="14"/>
        <v>0</v>
      </c>
      <c r="T19" s="134">
        <f t="shared" si="15"/>
        <v>0</v>
      </c>
      <c r="U19" s="134">
        <f t="shared" si="16"/>
        <v>0</v>
      </c>
      <c r="V19" s="134">
        <f t="shared" si="17"/>
        <v>0</v>
      </c>
      <c r="W19" s="134">
        <f t="shared" si="18"/>
        <v>0</v>
      </c>
      <c r="X19" s="134">
        <f t="shared" si="19"/>
        <v>0</v>
      </c>
      <c r="Y19" s="134">
        <f t="shared" si="20"/>
        <v>0</v>
      </c>
      <c r="Z19" s="134">
        <f t="shared" si="21"/>
        <v>0</v>
      </c>
      <c r="AA19" s="134">
        <f t="shared" si="22"/>
        <v>0</v>
      </c>
      <c r="AB19" s="134">
        <f t="shared" si="23"/>
        <v>0</v>
      </c>
      <c r="AC19" s="134">
        <f t="shared" si="24"/>
        <v>0</v>
      </c>
      <c r="AD19" s="134">
        <f t="shared" si="25"/>
        <v>0</v>
      </c>
      <c r="AE19" s="134">
        <f t="shared" si="26"/>
        <v>0</v>
      </c>
      <c r="AF19" s="134">
        <f t="shared" si="27"/>
        <v>0</v>
      </c>
      <c r="AG19" s="134">
        <f t="shared" si="28"/>
        <v>0</v>
      </c>
      <c r="AH19" s="134">
        <f t="shared" si="29"/>
        <v>0</v>
      </c>
      <c r="AI19" s="134">
        <f t="shared" si="30"/>
        <v>0</v>
      </c>
      <c r="AJ19" s="134">
        <f t="shared" si="31"/>
        <v>0</v>
      </c>
      <c r="AK19" s="134">
        <f t="shared" si="32"/>
        <v>0</v>
      </c>
      <c r="AL19" s="134">
        <f t="shared" si="33"/>
        <v>0</v>
      </c>
      <c r="AM19" s="134">
        <f t="shared" si="34"/>
        <v>0</v>
      </c>
      <c r="AN19" s="134">
        <f t="shared" si="35"/>
        <v>0</v>
      </c>
      <c r="AO19" s="134">
        <f t="shared" si="36"/>
        <v>0</v>
      </c>
      <c r="AP19" s="134">
        <f t="shared" si="37"/>
        <v>0</v>
      </c>
      <c r="AQ19" s="134">
        <f t="shared" si="38"/>
        <v>0</v>
      </c>
      <c r="AR19" s="134">
        <f t="shared" si="39"/>
        <v>0</v>
      </c>
      <c r="AS19" s="134">
        <f t="shared" si="40"/>
        <v>0</v>
      </c>
      <c r="AT19" s="134">
        <f t="shared" si="41"/>
        <v>0</v>
      </c>
      <c r="AU19" s="134">
        <f t="shared" si="42"/>
        <v>0</v>
      </c>
      <c r="AV19" s="134">
        <f t="shared" si="43"/>
        <v>0</v>
      </c>
      <c r="AW19" s="134">
        <f t="shared" si="44"/>
        <v>0</v>
      </c>
      <c r="AX19" s="134">
        <f t="shared" si="45"/>
        <v>0</v>
      </c>
      <c r="AY19" s="134">
        <f t="shared" si="46"/>
        <v>0</v>
      </c>
      <c r="AZ19" s="134">
        <f t="shared" si="47"/>
        <v>0</v>
      </c>
      <c r="BA19" s="134">
        <f t="shared" si="48"/>
        <v>0</v>
      </c>
      <c r="BB19" s="134">
        <f t="shared" si="49"/>
        <v>0</v>
      </c>
      <c r="BC19" s="134">
        <f t="shared" si="50"/>
        <v>0</v>
      </c>
      <c r="BD19" s="134">
        <f t="shared" si="51"/>
        <v>0</v>
      </c>
      <c r="BE19" s="134">
        <f t="shared" si="52"/>
        <v>0</v>
      </c>
      <c r="BF19" s="134">
        <f t="shared" si="53"/>
        <v>0</v>
      </c>
      <c r="BG19" s="134">
        <f t="shared" si="54"/>
        <v>0</v>
      </c>
      <c r="BH19" s="134">
        <f t="shared" si="55"/>
        <v>0</v>
      </c>
      <c r="BI19" s="134">
        <f t="shared" si="56"/>
        <v>0</v>
      </c>
      <c r="BJ19" s="134">
        <f t="shared" si="57"/>
        <v>0</v>
      </c>
      <c r="BK19" s="134">
        <f t="shared" si="58"/>
        <v>0</v>
      </c>
      <c r="BL19" s="134">
        <f t="shared" si="59"/>
        <v>0</v>
      </c>
      <c r="BM19" s="134">
        <f t="shared" si="60"/>
        <v>0</v>
      </c>
      <c r="BN19" s="134">
        <f t="shared" si="61"/>
        <v>0</v>
      </c>
      <c r="BO19" s="134">
        <f t="shared" si="62"/>
        <v>0</v>
      </c>
      <c r="BP19" s="134">
        <f t="shared" si="63"/>
        <v>0</v>
      </c>
      <c r="BQ19" s="134">
        <f t="shared" si="64"/>
        <v>0</v>
      </c>
      <c r="BR19" s="134">
        <f t="shared" si="65"/>
        <v>0</v>
      </c>
      <c r="BS19" s="134">
        <f t="shared" si="66"/>
        <v>0</v>
      </c>
      <c r="BT19" s="134">
        <f t="shared" si="67"/>
        <v>0</v>
      </c>
      <c r="BU19" s="134">
        <f t="shared" si="68"/>
        <v>0</v>
      </c>
      <c r="BV19" s="134">
        <f t="shared" si="69"/>
        <v>0</v>
      </c>
      <c r="BW19" s="134">
        <f t="shared" si="70"/>
        <v>0</v>
      </c>
      <c r="BX19" s="134">
        <f t="shared" si="71"/>
        <v>0</v>
      </c>
      <c r="BY19" s="134">
        <f t="shared" si="72"/>
        <v>0</v>
      </c>
      <c r="BZ19" s="134">
        <f t="shared" si="73"/>
        <v>0</v>
      </c>
      <c r="CA19" s="134">
        <f t="shared" si="74"/>
        <v>0</v>
      </c>
      <c r="CB19" s="134">
        <f t="shared" si="75"/>
        <v>0</v>
      </c>
      <c r="CC19" s="134">
        <f t="shared" si="76"/>
        <v>0</v>
      </c>
      <c r="CD19" s="134">
        <f t="shared" si="77"/>
        <v>0</v>
      </c>
      <c r="CE19" s="134">
        <f t="shared" si="78"/>
        <v>0</v>
      </c>
      <c r="CF19" s="134">
        <f t="shared" si="79"/>
        <v>0</v>
      </c>
      <c r="CG19" s="134">
        <f t="shared" si="80"/>
        <v>0</v>
      </c>
      <c r="CH19" s="134">
        <f t="shared" si="81"/>
        <v>0</v>
      </c>
      <c r="CI19" s="134">
        <f t="shared" si="82"/>
        <v>0</v>
      </c>
      <c r="CJ19" s="134">
        <f t="shared" si="83"/>
        <v>0</v>
      </c>
      <c r="CK19" s="134">
        <f t="shared" si="84"/>
        <v>0</v>
      </c>
      <c r="CL19" s="134">
        <f t="shared" si="85"/>
        <v>0</v>
      </c>
      <c r="CM19" s="134">
        <f t="shared" si="86"/>
        <v>0</v>
      </c>
      <c r="CN19" s="134">
        <f t="shared" si="87"/>
        <v>0</v>
      </c>
      <c r="CO19" s="134">
        <f t="shared" si="88"/>
        <v>0</v>
      </c>
      <c r="CP19" s="134">
        <f t="shared" si="89"/>
        <v>0</v>
      </c>
      <c r="CQ19" s="134">
        <f t="shared" si="90"/>
        <v>0</v>
      </c>
      <c r="CR19" s="134">
        <f t="shared" si="91"/>
        <v>0</v>
      </c>
      <c r="CS19" s="134">
        <f t="shared" si="92"/>
        <v>0</v>
      </c>
      <c r="CT19" s="134">
        <f t="shared" si="93"/>
        <v>0</v>
      </c>
      <c r="CU19" s="134">
        <f t="shared" si="94"/>
        <v>0</v>
      </c>
      <c r="CV19" s="134">
        <f t="shared" si="95"/>
        <v>0</v>
      </c>
      <c r="CW19" s="134">
        <f t="shared" si="96"/>
        <v>0</v>
      </c>
      <c r="CX19" s="134">
        <f t="shared" si="97"/>
        <v>0</v>
      </c>
      <c r="CY19" s="134">
        <f t="shared" si="98"/>
        <v>0</v>
      </c>
      <c r="CZ19" s="134">
        <f t="shared" si="99"/>
        <v>0</v>
      </c>
      <c r="DA19" s="134">
        <f t="shared" si="100"/>
        <v>0</v>
      </c>
      <c r="DB19" s="134">
        <f t="shared" si="101"/>
        <v>0</v>
      </c>
      <c r="DC19" s="134">
        <f t="shared" si="102"/>
        <v>0</v>
      </c>
      <c r="DD19" s="134">
        <f t="shared" si="103"/>
        <v>0</v>
      </c>
      <c r="DE19" s="134">
        <f t="shared" si="104"/>
        <v>0</v>
      </c>
      <c r="DF19" s="134">
        <f t="shared" si="105"/>
        <v>0</v>
      </c>
      <c r="DG19" s="134">
        <f t="shared" si="106"/>
        <v>0</v>
      </c>
      <c r="DH19" s="134">
        <f t="shared" si="107"/>
        <v>0</v>
      </c>
      <c r="DI19" s="134">
        <f t="shared" si="108"/>
        <v>0</v>
      </c>
      <c r="DJ19" s="134">
        <f t="shared" si="109"/>
        <v>0</v>
      </c>
      <c r="DK19" s="134">
        <f t="shared" si="110"/>
        <v>0</v>
      </c>
      <c r="DL19" s="134">
        <f t="shared" si="111"/>
        <v>0</v>
      </c>
      <c r="DM19" s="134">
        <f t="shared" si="112"/>
        <v>0</v>
      </c>
      <c r="DN19" s="134">
        <f t="shared" si="113"/>
        <v>0</v>
      </c>
      <c r="DO19" s="134">
        <f t="shared" si="114"/>
        <v>0</v>
      </c>
      <c r="DP19" s="134">
        <f t="shared" si="115"/>
        <v>0</v>
      </c>
      <c r="DQ19" s="134">
        <f t="shared" si="116"/>
        <v>0</v>
      </c>
      <c r="DR19" s="134">
        <f t="shared" si="117"/>
        <v>0</v>
      </c>
      <c r="DS19" s="134">
        <f t="shared" si="118"/>
        <v>0</v>
      </c>
      <c r="DT19" s="134">
        <f t="shared" si="119"/>
        <v>0</v>
      </c>
      <c r="DU19" s="134">
        <f t="shared" si="120"/>
        <v>0</v>
      </c>
      <c r="DV19" s="134">
        <f t="shared" si="121"/>
        <v>0</v>
      </c>
      <c r="DW19" s="134">
        <f t="shared" si="122"/>
        <v>0</v>
      </c>
      <c r="DX19" s="134">
        <f t="shared" si="123"/>
        <v>0</v>
      </c>
      <c r="DY19" s="134">
        <f t="shared" si="124"/>
        <v>0</v>
      </c>
      <c r="DZ19" s="134">
        <f t="shared" si="125"/>
        <v>0</v>
      </c>
      <c r="EA19" s="134">
        <f t="shared" si="126"/>
        <v>0</v>
      </c>
      <c r="EB19" s="134">
        <f t="shared" si="127"/>
        <v>0</v>
      </c>
      <c r="EC19" s="134">
        <f t="shared" si="128"/>
        <v>0</v>
      </c>
      <c r="ED19" s="134">
        <f t="shared" si="129"/>
        <v>0</v>
      </c>
      <c r="EE19" s="134">
        <f t="shared" si="130"/>
        <v>0</v>
      </c>
      <c r="EF19" s="134">
        <f t="shared" si="131"/>
        <v>0</v>
      </c>
      <c r="EG19" s="134">
        <f t="shared" si="132"/>
        <v>0</v>
      </c>
      <c r="EH19" s="134">
        <f t="shared" si="133"/>
        <v>0</v>
      </c>
      <c r="EI19" s="134">
        <f t="shared" si="134"/>
        <v>0</v>
      </c>
      <c r="EJ19" s="134">
        <f t="shared" si="135"/>
        <v>0</v>
      </c>
      <c r="EK19" s="134">
        <f t="shared" si="136"/>
        <v>0</v>
      </c>
      <c r="EL19" s="134">
        <f t="shared" si="137"/>
        <v>0</v>
      </c>
      <c r="EM19" s="134">
        <f t="shared" si="138"/>
        <v>0</v>
      </c>
      <c r="EN19" s="134">
        <f t="shared" si="139"/>
        <v>0</v>
      </c>
      <c r="EO19" s="134">
        <f t="shared" si="140"/>
        <v>0</v>
      </c>
      <c r="EP19" s="134">
        <f t="shared" si="141"/>
        <v>0</v>
      </c>
      <c r="EQ19" s="134">
        <f t="shared" si="142"/>
        <v>0</v>
      </c>
      <c r="ER19" s="134">
        <f t="shared" si="143"/>
        <v>0</v>
      </c>
      <c r="ES19" s="134">
        <f t="shared" si="144"/>
        <v>0</v>
      </c>
      <c r="ET19" s="134">
        <f t="shared" si="145"/>
        <v>0</v>
      </c>
      <c r="EU19" s="134">
        <f t="shared" si="146"/>
        <v>0</v>
      </c>
      <c r="EV19" s="134">
        <f t="shared" si="147"/>
        <v>0</v>
      </c>
      <c r="EW19" s="134">
        <f t="shared" si="148"/>
        <v>0</v>
      </c>
      <c r="EX19" s="134">
        <f t="shared" si="149"/>
        <v>0</v>
      </c>
      <c r="EY19" s="134">
        <f t="shared" si="150"/>
        <v>0</v>
      </c>
      <c r="EZ19" s="134">
        <f t="shared" si="151"/>
        <v>0</v>
      </c>
      <c r="FA19" s="134">
        <f t="shared" si="152"/>
        <v>0</v>
      </c>
      <c r="FB19" s="134">
        <f t="shared" si="153"/>
        <v>0</v>
      </c>
      <c r="FC19" s="134">
        <f t="shared" si="154"/>
        <v>0</v>
      </c>
      <c r="FD19" s="134">
        <f t="shared" si="155"/>
        <v>0</v>
      </c>
      <c r="FE19" s="134">
        <f t="shared" si="156"/>
        <v>0</v>
      </c>
      <c r="FF19" s="134">
        <f t="shared" si="157"/>
        <v>0</v>
      </c>
      <c r="FG19" s="134">
        <f t="shared" si="158"/>
        <v>0</v>
      </c>
      <c r="FH19" s="134">
        <f t="shared" si="159"/>
        <v>0</v>
      </c>
      <c r="FI19" s="134">
        <f t="shared" si="160"/>
        <v>0</v>
      </c>
      <c r="FJ19" s="134">
        <f t="shared" si="161"/>
        <v>0</v>
      </c>
      <c r="FK19" s="134">
        <f t="shared" si="162"/>
        <v>0</v>
      </c>
      <c r="FL19" s="134">
        <f t="shared" si="163"/>
        <v>0</v>
      </c>
      <c r="FM19" s="134">
        <f t="shared" si="164"/>
        <v>0</v>
      </c>
      <c r="FN19" s="134">
        <f t="shared" si="165"/>
        <v>0</v>
      </c>
      <c r="FO19" s="134">
        <f t="shared" si="166"/>
        <v>0</v>
      </c>
      <c r="FP19" s="134">
        <f t="shared" si="167"/>
        <v>0</v>
      </c>
      <c r="FQ19" s="134">
        <f t="shared" si="168"/>
        <v>0</v>
      </c>
      <c r="FR19" s="134">
        <f t="shared" si="169"/>
        <v>0</v>
      </c>
      <c r="FS19" s="134">
        <f t="shared" si="170"/>
        <v>0</v>
      </c>
      <c r="FT19" s="134">
        <f t="shared" si="171"/>
        <v>0</v>
      </c>
      <c r="FU19" s="134">
        <f t="shared" si="172"/>
        <v>0</v>
      </c>
      <c r="FV19" s="134">
        <f t="shared" si="173"/>
        <v>0</v>
      </c>
      <c r="FW19" s="134">
        <f t="shared" si="174"/>
        <v>0</v>
      </c>
      <c r="FX19" s="134">
        <f t="shared" si="175"/>
        <v>0</v>
      </c>
      <c r="FY19" s="134">
        <f t="shared" si="176"/>
        <v>0</v>
      </c>
      <c r="FZ19" s="134">
        <f t="shared" si="177"/>
        <v>0</v>
      </c>
      <c r="GA19" s="134">
        <f t="shared" si="178"/>
        <v>0</v>
      </c>
      <c r="GB19" s="134">
        <f t="shared" si="179"/>
        <v>0</v>
      </c>
      <c r="GC19" s="134">
        <f t="shared" ca="1" si="180"/>
        <v>0</v>
      </c>
      <c r="GD19" s="134">
        <f t="shared" ca="1" si="181"/>
        <v>0</v>
      </c>
      <c r="GE19" s="134">
        <f t="shared" ca="1" si="182"/>
        <v>0</v>
      </c>
      <c r="GF19" s="134">
        <f t="shared" ca="1" si="183"/>
        <v>0</v>
      </c>
      <c r="GG19" s="134">
        <f t="shared" ca="1" si="184"/>
        <v>0</v>
      </c>
      <c r="GH19" s="134">
        <f t="shared" ca="1" si="185"/>
        <v>0</v>
      </c>
      <c r="GI19" s="134">
        <f t="shared" ca="1" si="186"/>
        <v>0</v>
      </c>
      <c r="GJ19" s="134">
        <f t="shared" ca="1" si="187"/>
        <v>0</v>
      </c>
      <c r="GK19" s="134">
        <f t="shared" ca="1" si="188"/>
        <v>0</v>
      </c>
      <c r="GL19" s="134">
        <f t="shared" ca="1" si="189"/>
        <v>0</v>
      </c>
      <c r="GM19" s="134">
        <f t="shared" ca="1" si="190"/>
        <v>0</v>
      </c>
      <c r="GN19" s="134">
        <f t="shared" ca="1" si="191"/>
        <v>0</v>
      </c>
      <c r="GO19" s="134">
        <f t="shared" ca="1" si="192"/>
        <v>0</v>
      </c>
      <c r="GP19" s="134">
        <f t="shared" ca="1" si="193"/>
        <v>0</v>
      </c>
      <c r="GQ19" s="134">
        <f t="shared" ca="1" si="194"/>
        <v>0</v>
      </c>
      <c r="GR19" s="134">
        <f t="shared" ca="1" si="195"/>
        <v>0</v>
      </c>
      <c r="GS19" s="134">
        <f t="shared" ca="1" si="196"/>
        <v>0</v>
      </c>
      <c r="GT19" s="134">
        <f t="shared" ca="1" si="197"/>
        <v>0</v>
      </c>
      <c r="GU19" s="134">
        <f t="shared" ca="1" si="198"/>
        <v>0</v>
      </c>
      <c r="GV19" s="134">
        <f t="shared" ca="1" si="199"/>
        <v>0</v>
      </c>
      <c r="GW19" s="134">
        <f t="shared" ca="1" si="200"/>
        <v>0</v>
      </c>
      <c r="GX19" s="134">
        <f t="shared" ca="1" si="201"/>
        <v>0</v>
      </c>
      <c r="GY19" s="134">
        <f t="shared" ca="1" si="202"/>
        <v>0</v>
      </c>
      <c r="GZ19" s="134">
        <f t="shared" ca="1" si="203"/>
        <v>0</v>
      </c>
      <c r="HA19" s="134">
        <f t="shared" ca="1" si="204"/>
        <v>0</v>
      </c>
      <c r="HB19" s="134">
        <f t="shared" ca="1" si="205"/>
        <v>0</v>
      </c>
      <c r="HC19" s="134">
        <f t="shared" ca="1" si="206"/>
        <v>0</v>
      </c>
      <c r="HD19" s="134">
        <f t="shared" ca="1" si="207"/>
        <v>0</v>
      </c>
      <c r="HE19" s="134">
        <f t="shared" ca="1" si="208"/>
        <v>0</v>
      </c>
      <c r="HF19" s="134">
        <f t="shared" ca="1" si="209"/>
        <v>0</v>
      </c>
      <c r="HG19" s="134">
        <f t="shared" ca="1" si="210"/>
        <v>0</v>
      </c>
      <c r="HH19" s="134">
        <f t="shared" ca="1" si="211"/>
        <v>0</v>
      </c>
      <c r="HI19" s="134">
        <f t="shared" ca="1" si="212"/>
        <v>0</v>
      </c>
      <c r="HJ19" s="134">
        <f t="shared" ca="1" si="213"/>
        <v>0</v>
      </c>
      <c r="HK19" s="134">
        <f t="shared" ca="1" si="214"/>
        <v>0</v>
      </c>
      <c r="HL19" s="134">
        <f t="shared" ca="1" si="215"/>
        <v>0</v>
      </c>
      <c r="HM19" s="134">
        <f t="shared" ca="1" si="216"/>
        <v>0</v>
      </c>
      <c r="HN19" s="134">
        <f t="shared" ca="1" si="217"/>
        <v>0</v>
      </c>
      <c r="HO19" s="134">
        <f t="shared" ca="1" si="218"/>
        <v>0</v>
      </c>
      <c r="HP19" s="134">
        <f t="shared" ca="1" si="219"/>
        <v>0</v>
      </c>
      <c r="HQ19" s="134">
        <f t="shared" ca="1" si="220"/>
        <v>0</v>
      </c>
      <c r="HR19" s="134">
        <f t="shared" ca="1" si="221"/>
        <v>0</v>
      </c>
      <c r="HS19" s="134">
        <f t="shared" ca="1" si="222"/>
        <v>0</v>
      </c>
      <c r="HT19" s="134">
        <f t="shared" ca="1" si="223"/>
        <v>0</v>
      </c>
      <c r="HU19" s="134">
        <f t="shared" ca="1" si="224"/>
        <v>0</v>
      </c>
      <c r="HV19" s="134">
        <f t="shared" ca="1" si="225"/>
        <v>0</v>
      </c>
      <c r="HW19" s="134">
        <f t="shared" ca="1" si="226"/>
        <v>0</v>
      </c>
      <c r="HX19" s="134">
        <f t="shared" ca="1" si="227"/>
        <v>0</v>
      </c>
      <c r="HY19" s="134">
        <f t="shared" ca="1" si="228"/>
        <v>0</v>
      </c>
      <c r="HZ19" s="134">
        <f t="shared" ca="1" si="229"/>
        <v>0</v>
      </c>
      <c r="IA19" s="134">
        <f t="shared" ca="1" si="230"/>
        <v>0</v>
      </c>
      <c r="IB19" s="134">
        <f t="shared" ca="1" si="231"/>
        <v>0</v>
      </c>
      <c r="IC19" s="134">
        <f t="shared" ca="1" si="232"/>
        <v>0</v>
      </c>
      <c r="ID19" s="134">
        <f t="shared" ca="1" si="233"/>
        <v>0</v>
      </c>
      <c r="IE19" s="134">
        <f t="shared" ca="1" si="234"/>
        <v>0</v>
      </c>
      <c r="IF19" s="134">
        <f t="shared" ca="1" si="235"/>
        <v>0</v>
      </c>
      <c r="IG19" s="134">
        <f t="shared" ca="1" si="236"/>
        <v>0</v>
      </c>
      <c r="IH19" s="134">
        <f t="shared" ca="1" si="237"/>
        <v>0</v>
      </c>
      <c r="II19" s="134">
        <f t="shared" ca="1" si="238"/>
        <v>0</v>
      </c>
      <c r="IJ19" s="135">
        <f t="shared" ca="1" si="239"/>
        <v>0</v>
      </c>
      <c r="IK19" s="132">
        <f t="shared" ca="1" si="240"/>
        <v>0</v>
      </c>
    </row>
    <row r="20" spans="1:245" x14ac:dyDescent="0.45">
      <c r="A20" s="67">
        <v>2031</v>
      </c>
      <c r="B20" s="112"/>
      <c r="C20" s="3">
        <f ca="1">INT(SUM(OFFSET('CAPEX Schedule'!$C$8,0,($A20-$A$4)*12):OFFSET('CAPEX Schedule'!$C$8,0,($A20-$A$4)*12+11)))</f>
        <v>0</v>
      </c>
      <c r="D20" s="3">
        <f ca="1">INT(SUM(OFFSET('CAPEX Schedule'!$C$13,0,($A20-$A$4)*12):OFFSET('CAPEX Schedule'!$C$13,0,($A20-$A$4)*12+11)))-C20</f>
        <v>0</v>
      </c>
      <c r="E20" s="130">
        <f t="shared" si="0"/>
        <v>0</v>
      </c>
      <c r="F20" s="134">
        <f t="shared" si="1"/>
        <v>0</v>
      </c>
      <c r="G20" s="134">
        <f t="shared" si="2"/>
        <v>0</v>
      </c>
      <c r="H20" s="134">
        <f t="shared" si="3"/>
        <v>0</v>
      </c>
      <c r="I20" s="134">
        <f t="shared" si="4"/>
        <v>0</v>
      </c>
      <c r="J20" s="134">
        <f t="shared" si="5"/>
        <v>0</v>
      </c>
      <c r="K20" s="134">
        <f t="shared" si="6"/>
        <v>0</v>
      </c>
      <c r="L20" s="134">
        <f t="shared" si="7"/>
        <v>0</v>
      </c>
      <c r="M20" s="134">
        <f t="shared" si="8"/>
        <v>0</v>
      </c>
      <c r="N20" s="134">
        <f t="shared" si="9"/>
        <v>0</v>
      </c>
      <c r="O20" s="134">
        <f t="shared" si="10"/>
        <v>0</v>
      </c>
      <c r="P20" s="134">
        <f t="shared" si="11"/>
        <v>0</v>
      </c>
      <c r="Q20" s="134">
        <f t="shared" si="12"/>
        <v>0</v>
      </c>
      <c r="R20" s="134">
        <f t="shared" si="13"/>
        <v>0</v>
      </c>
      <c r="S20" s="134">
        <f t="shared" si="14"/>
        <v>0</v>
      </c>
      <c r="T20" s="134">
        <f t="shared" si="15"/>
        <v>0</v>
      </c>
      <c r="U20" s="134">
        <f t="shared" si="16"/>
        <v>0</v>
      </c>
      <c r="V20" s="134">
        <f t="shared" si="17"/>
        <v>0</v>
      </c>
      <c r="W20" s="134">
        <f t="shared" si="18"/>
        <v>0</v>
      </c>
      <c r="X20" s="134">
        <f t="shared" si="19"/>
        <v>0</v>
      </c>
      <c r="Y20" s="134">
        <f t="shared" si="20"/>
        <v>0</v>
      </c>
      <c r="Z20" s="134">
        <f t="shared" si="21"/>
        <v>0</v>
      </c>
      <c r="AA20" s="134">
        <f t="shared" si="22"/>
        <v>0</v>
      </c>
      <c r="AB20" s="134">
        <f t="shared" si="23"/>
        <v>0</v>
      </c>
      <c r="AC20" s="134">
        <f t="shared" si="24"/>
        <v>0</v>
      </c>
      <c r="AD20" s="134">
        <f t="shared" si="25"/>
        <v>0</v>
      </c>
      <c r="AE20" s="134">
        <f t="shared" si="26"/>
        <v>0</v>
      </c>
      <c r="AF20" s="134">
        <f t="shared" si="27"/>
        <v>0</v>
      </c>
      <c r="AG20" s="134">
        <f t="shared" si="28"/>
        <v>0</v>
      </c>
      <c r="AH20" s="134">
        <f t="shared" si="29"/>
        <v>0</v>
      </c>
      <c r="AI20" s="134">
        <f t="shared" si="30"/>
        <v>0</v>
      </c>
      <c r="AJ20" s="134">
        <f t="shared" si="31"/>
        <v>0</v>
      </c>
      <c r="AK20" s="134">
        <f t="shared" si="32"/>
        <v>0</v>
      </c>
      <c r="AL20" s="134">
        <f t="shared" si="33"/>
        <v>0</v>
      </c>
      <c r="AM20" s="134">
        <f t="shared" si="34"/>
        <v>0</v>
      </c>
      <c r="AN20" s="134">
        <f t="shared" si="35"/>
        <v>0</v>
      </c>
      <c r="AO20" s="134">
        <f t="shared" si="36"/>
        <v>0</v>
      </c>
      <c r="AP20" s="134">
        <f t="shared" si="37"/>
        <v>0</v>
      </c>
      <c r="AQ20" s="134">
        <f t="shared" si="38"/>
        <v>0</v>
      </c>
      <c r="AR20" s="134">
        <f t="shared" si="39"/>
        <v>0</v>
      </c>
      <c r="AS20" s="134">
        <f t="shared" si="40"/>
        <v>0</v>
      </c>
      <c r="AT20" s="134">
        <f t="shared" si="41"/>
        <v>0</v>
      </c>
      <c r="AU20" s="134">
        <f t="shared" si="42"/>
        <v>0</v>
      </c>
      <c r="AV20" s="134">
        <f t="shared" si="43"/>
        <v>0</v>
      </c>
      <c r="AW20" s="134">
        <f t="shared" si="44"/>
        <v>0</v>
      </c>
      <c r="AX20" s="134">
        <f t="shared" si="45"/>
        <v>0</v>
      </c>
      <c r="AY20" s="134">
        <f t="shared" si="46"/>
        <v>0</v>
      </c>
      <c r="AZ20" s="134">
        <f t="shared" si="47"/>
        <v>0</v>
      </c>
      <c r="BA20" s="134">
        <f t="shared" si="48"/>
        <v>0</v>
      </c>
      <c r="BB20" s="134">
        <f t="shared" si="49"/>
        <v>0</v>
      </c>
      <c r="BC20" s="134">
        <f t="shared" si="50"/>
        <v>0</v>
      </c>
      <c r="BD20" s="134">
        <f t="shared" si="51"/>
        <v>0</v>
      </c>
      <c r="BE20" s="134">
        <f t="shared" si="52"/>
        <v>0</v>
      </c>
      <c r="BF20" s="134">
        <f t="shared" si="53"/>
        <v>0</v>
      </c>
      <c r="BG20" s="134">
        <f t="shared" si="54"/>
        <v>0</v>
      </c>
      <c r="BH20" s="134">
        <f t="shared" si="55"/>
        <v>0</v>
      </c>
      <c r="BI20" s="134">
        <f t="shared" si="56"/>
        <v>0</v>
      </c>
      <c r="BJ20" s="134">
        <f t="shared" si="57"/>
        <v>0</v>
      </c>
      <c r="BK20" s="134">
        <f t="shared" si="58"/>
        <v>0</v>
      </c>
      <c r="BL20" s="134">
        <f t="shared" si="59"/>
        <v>0</v>
      </c>
      <c r="BM20" s="134">
        <f t="shared" si="60"/>
        <v>0</v>
      </c>
      <c r="BN20" s="134">
        <f t="shared" si="61"/>
        <v>0</v>
      </c>
      <c r="BO20" s="134">
        <f t="shared" si="62"/>
        <v>0</v>
      </c>
      <c r="BP20" s="134">
        <f t="shared" si="63"/>
        <v>0</v>
      </c>
      <c r="BQ20" s="134">
        <f t="shared" si="64"/>
        <v>0</v>
      </c>
      <c r="BR20" s="134">
        <f t="shared" si="65"/>
        <v>0</v>
      </c>
      <c r="BS20" s="134">
        <f t="shared" si="66"/>
        <v>0</v>
      </c>
      <c r="BT20" s="134">
        <f t="shared" si="67"/>
        <v>0</v>
      </c>
      <c r="BU20" s="134">
        <f t="shared" si="68"/>
        <v>0</v>
      </c>
      <c r="BV20" s="134">
        <f t="shared" si="69"/>
        <v>0</v>
      </c>
      <c r="BW20" s="134">
        <f t="shared" si="70"/>
        <v>0</v>
      </c>
      <c r="BX20" s="134">
        <f t="shared" si="71"/>
        <v>0</v>
      </c>
      <c r="BY20" s="134">
        <f t="shared" si="72"/>
        <v>0</v>
      </c>
      <c r="BZ20" s="134">
        <f t="shared" si="73"/>
        <v>0</v>
      </c>
      <c r="CA20" s="134">
        <f t="shared" si="74"/>
        <v>0</v>
      </c>
      <c r="CB20" s="134">
        <f t="shared" si="75"/>
        <v>0</v>
      </c>
      <c r="CC20" s="134">
        <f t="shared" si="76"/>
        <v>0</v>
      </c>
      <c r="CD20" s="134">
        <f t="shared" si="77"/>
        <v>0</v>
      </c>
      <c r="CE20" s="134">
        <f t="shared" si="78"/>
        <v>0</v>
      </c>
      <c r="CF20" s="134">
        <f t="shared" si="79"/>
        <v>0</v>
      </c>
      <c r="CG20" s="134">
        <f t="shared" si="80"/>
        <v>0</v>
      </c>
      <c r="CH20" s="134">
        <f t="shared" si="81"/>
        <v>0</v>
      </c>
      <c r="CI20" s="134">
        <f t="shared" si="82"/>
        <v>0</v>
      </c>
      <c r="CJ20" s="134">
        <f t="shared" si="83"/>
        <v>0</v>
      </c>
      <c r="CK20" s="134">
        <f t="shared" si="84"/>
        <v>0</v>
      </c>
      <c r="CL20" s="134">
        <f t="shared" si="85"/>
        <v>0</v>
      </c>
      <c r="CM20" s="134">
        <f t="shared" si="86"/>
        <v>0</v>
      </c>
      <c r="CN20" s="134">
        <f t="shared" si="87"/>
        <v>0</v>
      </c>
      <c r="CO20" s="134">
        <f t="shared" si="88"/>
        <v>0</v>
      </c>
      <c r="CP20" s="134">
        <f t="shared" si="89"/>
        <v>0</v>
      </c>
      <c r="CQ20" s="134">
        <f t="shared" si="90"/>
        <v>0</v>
      </c>
      <c r="CR20" s="134">
        <f t="shared" si="91"/>
        <v>0</v>
      </c>
      <c r="CS20" s="134">
        <f t="shared" si="92"/>
        <v>0</v>
      </c>
      <c r="CT20" s="134">
        <f t="shared" si="93"/>
        <v>0</v>
      </c>
      <c r="CU20" s="134">
        <f t="shared" si="94"/>
        <v>0</v>
      </c>
      <c r="CV20" s="134">
        <f t="shared" si="95"/>
        <v>0</v>
      </c>
      <c r="CW20" s="134">
        <f t="shared" si="96"/>
        <v>0</v>
      </c>
      <c r="CX20" s="134">
        <f t="shared" si="97"/>
        <v>0</v>
      </c>
      <c r="CY20" s="134">
        <f t="shared" si="98"/>
        <v>0</v>
      </c>
      <c r="CZ20" s="134">
        <f t="shared" si="99"/>
        <v>0</v>
      </c>
      <c r="DA20" s="134">
        <f t="shared" si="100"/>
        <v>0</v>
      </c>
      <c r="DB20" s="134">
        <f t="shared" si="101"/>
        <v>0</v>
      </c>
      <c r="DC20" s="134">
        <f t="shared" si="102"/>
        <v>0</v>
      </c>
      <c r="DD20" s="134">
        <f t="shared" si="103"/>
        <v>0</v>
      </c>
      <c r="DE20" s="134">
        <f t="shared" si="104"/>
        <v>0</v>
      </c>
      <c r="DF20" s="134">
        <f t="shared" si="105"/>
        <v>0</v>
      </c>
      <c r="DG20" s="134">
        <f t="shared" si="106"/>
        <v>0</v>
      </c>
      <c r="DH20" s="134">
        <f t="shared" si="107"/>
        <v>0</v>
      </c>
      <c r="DI20" s="134">
        <f t="shared" si="108"/>
        <v>0</v>
      </c>
      <c r="DJ20" s="134">
        <f t="shared" si="109"/>
        <v>0</v>
      </c>
      <c r="DK20" s="134">
        <f t="shared" si="110"/>
        <v>0</v>
      </c>
      <c r="DL20" s="134">
        <f t="shared" si="111"/>
        <v>0</v>
      </c>
      <c r="DM20" s="134">
        <f t="shared" si="112"/>
        <v>0</v>
      </c>
      <c r="DN20" s="134">
        <f t="shared" si="113"/>
        <v>0</v>
      </c>
      <c r="DO20" s="134">
        <f t="shared" si="114"/>
        <v>0</v>
      </c>
      <c r="DP20" s="134">
        <f t="shared" si="115"/>
        <v>0</v>
      </c>
      <c r="DQ20" s="134">
        <f t="shared" si="116"/>
        <v>0</v>
      </c>
      <c r="DR20" s="134">
        <f t="shared" si="117"/>
        <v>0</v>
      </c>
      <c r="DS20" s="134">
        <f t="shared" si="118"/>
        <v>0</v>
      </c>
      <c r="DT20" s="134">
        <f t="shared" si="119"/>
        <v>0</v>
      </c>
      <c r="DU20" s="134">
        <f t="shared" si="120"/>
        <v>0</v>
      </c>
      <c r="DV20" s="134">
        <f t="shared" si="121"/>
        <v>0</v>
      </c>
      <c r="DW20" s="134">
        <f t="shared" si="122"/>
        <v>0</v>
      </c>
      <c r="DX20" s="134">
        <f t="shared" si="123"/>
        <v>0</v>
      </c>
      <c r="DY20" s="134">
        <f t="shared" si="124"/>
        <v>0</v>
      </c>
      <c r="DZ20" s="134">
        <f t="shared" si="125"/>
        <v>0</v>
      </c>
      <c r="EA20" s="134">
        <f t="shared" si="126"/>
        <v>0</v>
      </c>
      <c r="EB20" s="134">
        <f t="shared" si="127"/>
        <v>0</v>
      </c>
      <c r="EC20" s="134">
        <f t="shared" si="128"/>
        <v>0</v>
      </c>
      <c r="ED20" s="134">
        <f t="shared" si="129"/>
        <v>0</v>
      </c>
      <c r="EE20" s="134">
        <f t="shared" si="130"/>
        <v>0</v>
      </c>
      <c r="EF20" s="134">
        <f t="shared" si="131"/>
        <v>0</v>
      </c>
      <c r="EG20" s="134">
        <f t="shared" si="132"/>
        <v>0</v>
      </c>
      <c r="EH20" s="134">
        <f t="shared" si="133"/>
        <v>0</v>
      </c>
      <c r="EI20" s="134">
        <f t="shared" si="134"/>
        <v>0</v>
      </c>
      <c r="EJ20" s="134">
        <f t="shared" si="135"/>
        <v>0</v>
      </c>
      <c r="EK20" s="134">
        <f t="shared" si="136"/>
        <v>0</v>
      </c>
      <c r="EL20" s="134">
        <f t="shared" si="137"/>
        <v>0</v>
      </c>
      <c r="EM20" s="134">
        <f t="shared" si="138"/>
        <v>0</v>
      </c>
      <c r="EN20" s="134">
        <f t="shared" si="139"/>
        <v>0</v>
      </c>
      <c r="EO20" s="134">
        <f t="shared" si="140"/>
        <v>0</v>
      </c>
      <c r="EP20" s="134">
        <f t="shared" si="141"/>
        <v>0</v>
      </c>
      <c r="EQ20" s="134">
        <f t="shared" si="142"/>
        <v>0</v>
      </c>
      <c r="ER20" s="134">
        <f t="shared" si="143"/>
        <v>0</v>
      </c>
      <c r="ES20" s="134">
        <f t="shared" si="144"/>
        <v>0</v>
      </c>
      <c r="ET20" s="134">
        <f t="shared" si="145"/>
        <v>0</v>
      </c>
      <c r="EU20" s="134">
        <f t="shared" si="146"/>
        <v>0</v>
      </c>
      <c r="EV20" s="134">
        <f t="shared" si="147"/>
        <v>0</v>
      </c>
      <c r="EW20" s="134">
        <f t="shared" si="148"/>
        <v>0</v>
      </c>
      <c r="EX20" s="134">
        <f t="shared" si="149"/>
        <v>0</v>
      </c>
      <c r="EY20" s="134">
        <f t="shared" si="150"/>
        <v>0</v>
      </c>
      <c r="EZ20" s="134">
        <f t="shared" si="151"/>
        <v>0</v>
      </c>
      <c r="FA20" s="134">
        <f t="shared" si="152"/>
        <v>0</v>
      </c>
      <c r="FB20" s="134">
        <f t="shared" si="153"/>
        <v>0</v>
      </c>
      <c r="FC20" s="134">
        <f t="shared" si="154"/>
        <v>0</v>
      </c>
      <c r="FD20" s="134">
        <f t="shared" si="155"/>
        <v>0</v>
      </c>
      <c r="FE20" s="134">
        <f t="shared" si="156"/>
        <v>0</v>
      </c>
      <c r="FF20" s="134">
        <f t="shared" si="157"/>
        <v>0</v>
      </c>
      <c r="FG20" s="134">
        <f t="shared" si="158"/>
        <v>0</v>
      </c>
      <c r="FH20" s="134">
        <f t="shared" si="159"/>
        <v>0</v>
      </c>
      <c r="FI20" s="134">
        <f t="shared" si="160"/>
        <v>0</v>
      </c>
      <c r="FJ20" s="134">
        <f t="shared" si="161"/>
        <v>0</v>
      </c>
      <c r="FK20" s="134">
        <f t="shared" si="162"/>
        <v>0</v>
      </c>
      <c r="FL20" s="134">
        <f t="shared" si="163"/>
        <v>0</v>
      </c>
      <c r="FM20" s="134">
        <f t="shared" si="164"/>
        <v>0</v>
      </c>
      <c r="FN20" s="134">
        <f t="shared" si="165"/>
        <v>0</v>
      </c>
      <c r="FO20" s="134">
        <f t="shared" si="166"/>
        <v>0</v>
      </c>
      <c r="FP20" s="134">
        <f t="shared" si="167"/>
        <v>0</v>
      </c>
      <c r="FQ20" s="134">
        <f t="shared" si="168"/>
        <v>0</v>
      </c>
      <c r="FR20" s="134">
        <f t="shared" si="169"/>
        <v>0</v>
      </c>
      <c r="FS20" s="134">
        <f t="shared" si="170"/>
        <v>0</v>
      </c>
      <c r="FT20" s="134">
        <f t="shared" si="171"/>
        <v>0</v>
      </c>
      <c r="FU20" s="134">
        <f t="shared" si="172"/>
        <v>0</v>
      </c>
      <c r="FV20" s="134">
        <f t="shared" si="173"/>
        <v>0</v>
      </c>
      <c r="FW20" s="134">
        <f t="shared" si="174"/>
        <v>0</v>
      </c>
      <c r="FX20" s="134">
        <f t="shared" si="175"/>
        <v>0</v>
      </c>
      <c r="FY20" s="134">
        <f t="shared" si="176"/>
        <v>0</v>
      </c>
      <c r="FZ20" s="134">
        <f t="shared" si="177"/>
        <v>0</v>
      </c>
      <c r="GA20" s="134">
        <f t="shared" si="178"/>
        <v>0</v>
      </c>
      <c r="GB20" s="134">
        <f t="shared" si="179"/>
        <v>0</v>
      </c>
      <c r="GC20" s="134">
        <f t="shared" si="180"/>
        <v>0</v>
      </c>
      <c r="GD20" s="134">
        <f t="shared" si="181"/>
        <v>0</v>
      </c>
      <c r="GE20" s="134">
        <f t="shared" si="182"/>
        <v>0</v>
      </c>
      <c r="GF20" s="134">
        <f t="shared" si="183"/>
        <v>0</v>
      </c>
      <c r="GG20" s="134">
        <f t="shared" si="184"/>
        <v>0</v>
      </c>
      <c r="GH20" s="134">
        <f t="shared" si="185"/>
        <v>0</v>
      </c>
      <c r="GI20" s="134">
        <f t="shared" si="186"/>
        <v>0</v>
      </c>
      <c r="GJ20" s="134">
        <f t="shared" si="187"/>
        <v>0</v>
      </c>
      <c r="GK20" s="134">
        <f t="shared" si="188"/>
        <v>0</v>
      </c>
      <c r="GL20" s="134">
        <f t="shared" si="189"/>
        <v>0</v>
      </c>
      <c r="GM20" s="134">
        <f t="shared" si="190"/>
        <v>0</v>
      </c>
      <c r="GN20" s="134">
        <f t="shared" si="191"/>
        <v>0</v>
      </c>
      <c r="GO20" s="134">
        <f t="shared" ca="1" si="192"/>
        <v>1552325.3333333333</v>
      </c>
      <c r="GP20" s="134">
        <f t="shared" ca="1" si="193"/>
        <v>1500581.1555555554</v>
      </c>
      <c r="GQ20" s="134">
        <f t="shared" ca="1" si="194"/>
        <v>1450561.7837037037</v>
      </c>
      <c r="GR20" s="134">
        <f t="shared" ca="1" si="195"/>
        <v>1402209.7242469133</v>
      </c>
      <c r="GS20" s="134">
        <f t="shared" ca="1" si="196"/>
        <v>1355469.4001053497</v>
      </c>
      <c r="GT20" s="134">
        <f t="shared" ca="1" si="197"/>
        <v>1310287.0867685047</v>
      </c>
      <c r="GU20" s="134">
        <f t="shared" ca="1" si="198"/>
        <v>1266610.8505428878</v>
      </c>
      <c r="GV20" s="134">
        <f t="shared" ca="1" si="199"/>
        <v>1224390.4888581249</v>
      </c>
      <c r="GW20" s="134">
        <f t="shared" ca="1" si="200"/>
        <v>1183577.4725628539</v>
      </c>
      <c r="GX20" s="134">
        <f t="shared" ca="1" si="201"/>
        <v>1144124.890144092</v>
      </c>
      <c r="GY20" s="134">
        <f t="shared" ca="1" si="202"/>
        <v>1105987.3938059558</v>
      </c>
      <c r="GZ20" s="134">
        <f t="shared" ca="1" si="203"/>
        <v>1069121.1473457571</v>
      </c>
      <c r="HA20" s="134">
        <f t="shared" ca="1" si="204"/>
        <v>1033483.7757675652</v>
      </c>
      <c r="HB20" s="134">
        <f t="shared" ca="1" si="205"/>
        <v>999034.3165753131</v>
      </c>
      <c r="HC20" s="134">
        <f t="shared" ca="1" si="206"/>
        <v>965733.1726894693</v>
      </c>
      <c r="HD20" s="134">
        <f t="shared" ca="1" si="207"/>
        <v>933542.06693315366</v>
      </c>
      <c r="HE20" s="134">
        <f t="shared" ca="1" si="208"/>
        <v>902423.9980353819</v>
      </c>
      <c r="HF20" s="134">
        <f t="shared" ca="1" si="209"/>
        <v>872343.19810086908</v>
      </c>
      <c r="HG20" s="134">
        <f t="shared" ca="1" si="210"/>
        <v>843265.09149750683</v>
      </c>
      <c r="HH20" s="134">
        <f t="shared" ca="1" si="211"/>
        <v>815156.25511425664</v>
      </c>
      <c r="HI20" s="134">
        <f t="shared" ca="1" si="212"/>
        <v>787984.3799437813</v>
      </c>
      <c r="HJ20" s="134">
        <f t="shared" ca="1" si="213"/>
        <v>761718.23394565529</v>
      </c>
      <c r="HK20" s="134">
        <f t="shared" ca="1" si="214"/>
        <v>736327.62614746671</v>
      </c>
      <c r="HL20" s="134">
        <f t="shared" ca="1" si="215"/>
        <v>711783.37194255122</v>
      </c>
      <c r="HM20" s="134">
        <f t="shared" ca="1" si="216"/>
        <v>688057.25954446616</v>
      </c>
      <c r="HN20" s="134">
        <f t="shared" ca="1" si="217"/>
        <v>665122.0175596507</v>
      </c>
      <c r="HO20" s="134">
        <f t="shared" ca="1" si="218"/>
        <v>642951.28364099562</v>
      </c>
      <c r="HP20" s="134">
        <f t="shared" ca="1" si="219"/>
        <v>621519.57418629574</v>
      </c>
      <c r="HQ20" s="134">
        <f t="shared" ca="1" si="220"/>
        <v>600802.25504675263</v>
      </c>
      <c r="HR20" s="134">
        <f t="shared" ca="1" si="221"/>
        <v>580775.5132118609</v>
      </c>
      <c r="HS20" s="134">
        <f t="shared" ca="1" si="222"/>
        <v>561416.32943813212</v>
      </c>
      <c r="HT20" s="134">
        <f t="shared" ca="1" si="223"/>
        <v>561416.32943813223</v>
      </c>
      <c r="HU20" s="134">
        <f t="shared" ca="1" si="224"/>
        <v>561416.32943813223</v>
      </c>
      <c r="HV20" s="134">
        <f t="shared" ca="1" si="225"/>
        <v>561416.32943813223</v>
      </c>
      <c r="HW20" s="134">
        <f t="shared" ca="1" si="226"/>
        <v>561416.32943813223</v>
      </c>
      <c r="HX20" s="134">
        <f t="shared" ca="1" si="227"/>
        <v>561416.32943813223</v>
      </c>
      <c r="HY20" s="134">
        <f t="shared" ca="1" si="228"/>
        <v>561416.32943813223</v>
      </c>
      <c r="HZ20" s="134">
        <f t="shared" ca="1" si="229"/>
        <v>561416.32943813223</v>
      </c>
      <c r="IA20" s="134">
        <f t="shared" ca="1" si="230"/>
        <v>561416.32943813223</v>
      </c>
      <c r="IB20" s="134">
        <f t="shared" ca="1" si="231"/>
        <v>561416.32943813223</v>
      </c>
      <c r="IC20" s="134">
        <f t="shared" ca="1" si="232"/>
        <v>561416.32943813223</v>
      </c>
      <c r="ID20" s="134">
        <f t="shared" ca="1" si="233"/>
        <v>561416.32943813223</v>
      </c>
      <c r="IE20" s="134">
        <f t="shared" ca="1" si="234"/>
        <v>561416.32943813223</v>
      </c>
      <c r="IF20" s="134">
        <f t="shared" ca="1" si="235"/>
        <v>561416.32943813223</v>
      </c>
      <c r="IG20" s="134">
        <f t="shared" ca="1" si="236"/>
        <v>561416.32943813223</v>
      </c>
      <c r="IH20" s="134">
        <f t="shared" ca="1" si="237"/>
        <v>561416.32943813223</v>
      </c>
      <c r="II20" s="134">
        <f t="shared" ca="1" si="238"/>
        <v>561416.32943813223</v>
      </c>
      <c r="IJ20" s="135">
        <f t="shared" ca="1" si="239"/>
        <v>561416.32943813223</v>
      </c>
      <c r="IK20" s="132">
        <f t="shared" ca="1" si="240"/>
        <v>39832764.046742432</v>
      </c>
    </row>
    <row r="21" spans="1:245" x14ac:dyDescent="0.45">
      <c r="A21" s="67">
        <v>2032</v>
      </c>
      <c r="B21" s="112"/>
      <c r="C21" s="3">
        <f ca="1">INT(SUM(OFFSET('CAPEX Schedule'!$C$8,0,($A21-$A$4)*12):OFFSET('CAPEX Schedule'!$C$8,0,($A21-$A$4)*12+11)))</f>
        <v>0</v>
      </c>
      <c r="D21" s="3">
        <f ca="1">INT(SUM(OFFSET('CAPEX Schedule'!$C$13,0,($A21-$A$4)*12):OFFSET('CAPEX Schedule'!$C$13,0,($A21-$A$4)*12+11)))-C21</f>
        <v>0</v>
      </c>
      <c r="E21" s="130">
        <f t="shared" si="0"/>
        <v>0</v>
      </c>
      <c r="F21" s="134">
        <f t="shared" si="1"/>
        <v>0</v>
      </c>
      <c r="G21" s="134">
        <f t="shared" si="2"/>
        <v>0</v>
      </c>
      <c r="H21" s="134">
        <f t="shared" si="3"/>
        <v>0</v>
      </c>
      <c r="I21" s="134">
        <f t="shared" si="4"/>
        <v>0</v>
      </c>
      <c r="J21" s="134">
        <f t="shared" si="5"/>
        <v>0</v>
      </c>
      <c r="K21" s="134">
        <f t="shared" si="6"/>
        <v>0</v>
      </c>
      <c r="L21" s="134">
        <f t="shared" si="7"/>
        <v>0</v>
      </c>
      <c r="M21" s="134">
        <f t="shared" si="8"/>
        <v>0</v>
      </c>
      <c r="N21" s="134">
        <f t="shared" si="9"/>
        <v>0</v>
      </c>
      <c r="O21" s="134">
        <f t="shared" si="10"/>
        <v>0</v>
      </c>
      <c r="P21" s="134">
        <f t="shared" si="11"/>
        <v>0</v>
      </c>
      <c r="Q21" s="134">
        <f t="shared" si="12"/>
        <v>0</v>
      </c>
      <c r="R21" s="134">
        <f t="shared" si="13"/>
        <v>0</v>
      </c>
      <c r="S21" s="134">
        <f t="shared" si="14"/>
        <v>0</v>
      </c>
      <c r="T21" s="134">
        <f t="shared" si="15"/>
        <v>0</v>
      </c>
      <c r="U21" s="134">
        <f t="shared" si="16"/>
        <v>0</v>
      </c>
      <c r="V21" s="134">
        <f t="shared" si="17"/>
        <v>0</v>
      </c>
      <c r="W21" s="134">
        <f t="shared" si="18"/>
        <v>0</v>
      </c>
      <c r="X21" s="134">
        <f t="shared" si="19"/>
        <v>0</v>
      </c>
      <c r="Y21" s="134">
        <f t="shared" si="20"/>
        <v>0</v>
      </c>
      <c r="Z21" s="134">
        <f t="shared" si="21"/>
        <v>0</v>
      </c>
      <c r="AA21" s="134">
        <f t="shared" si="22"/>
        <v>0</v>
      </c>
      <c r="AB21" s="134">
        <f t="shared" si="23"/>
        <v>0</v>
      </c>
      <c r="AC21" s="134">
        <f t="shared" si="24"/>
        <v>0</v>
      </c>
      <c r="AD21" s="134">
        <f t="shared" si="25"/>
        <v>0</v>
      </c>
      <c r="AE21" s="134">
        <f t="shared" si="26"/>
        <v>0</v>
      </c>
      <c r="AF21" s="134">
        <f t="shared" si="27"/>
        <v>0</v>
      </c>
      <c r="AG21" s="134">
        <f t="shared" si="28"/>
        <v>0</v>
      </c>
      <c r="AH21" s="134">
        <f t="shared" si="29"/>
        <v>0</v>
      </c>
      <c r="AI21" s="134">
        <f t="shared" si="30"/>
        <v>0</v>
      </c>
      <c r="AJ21" s="134">
        <f t="shared" si="31"/>
        <v>0</v>
      </c>
      <c r="AK21" s="134">
        <f t="shared" si="32"/>
        <v>0</v>
      </c>
      <c r="AL21" s="134">
        <f t="shared" si="33"/>
        <v>0</v>
      </c>
      <c r="AM21" s="134">
        <f t="shared" si="34"/>
        <v>0</v>
      </c>
      <c r="AN21" s="134">
        <f t="shared" si="35"/>
        <v>0</v>
      </c>
      <c r="AO21" s="134">
        <f t="shared" si="36"/>
        <v>0</v>
      </c>
      <c r="AP21" s="134">
        <f t="shared" si="37"/>
        <v>0</v>
      </c>
      <c r="AQ21" s="134">
        <f t="shared" si="38"/>
        <v>0</v>
      </c>
      <c r="AR21" s="134">
        <f t="shared" si="39"/>
        <v>0</v>
      </c>
      <c r="AS21" s="134">
        <f t="shared" si="40"/>
        <v>0</v>
      </c>
      <c r="AT21" s="134">
        <f t="shared" si="41"/>
        <v>0</v>
      </c>
      <c r="AU21" s="134">
        <f t="shared" si="42"/>
        <v>0</v>
      </c>
      <c r="AV21" s="134">
        <f t="shared" si="43"/>
        <v>0</v>
      </c>
      <c r="AW21" s="134">
        <f t="shared" si="44"/>
        <v>0</v>
      </c>
      <c r="AX21" s="134">
        <f t="shared" si="45"/>
        <v>0</v>
      </c>
      <c r="AY21" s="134">
        <f t="shared" si="46"/>
        <v>0</v>
      </c>
      <c r="AZ21" s="134">
        <f t="shared" si="47"/>
        <v>0</v>
      </c>
      <c r="BA21" s="134">
        <f t="shared" si="48"/>
        <v>0</v>
      </c>
      <c r="BB21" s="134">
        <f t="shared" si="49"/>
        <v>0</v>
      </c>
      <c r="BC21" s="134">
        <f t="shared" si="50"/>
        <v>0</v>
      </c>
      <c r="BD21" s="134">
        <f t="shared" si="51"/>
        <v>0</v>
      </c>
      <c r="BE21" s="134">
        <f t="shared" si="52"/>
        <v>0</v>
      </c>
      <c r="BF21" s="134">
        <f t="shared" si="53"/>
        <v>0</v>
      </c>
      <c r="BG21" s="134">
        <f t="shared" si="54"/>
        <v>0</v>
      </c>
      <c r="BH21" s="134">
        <f t="shared" si="55"/>
        <v>0</v>
      </c>
      <c r="BI21" s="134">
        <f t="shared" si="56"/>
        <v>0</v>
      </c>
      <c r="BJ21" s="134">
        <f t="shared" si="57"/>
        <v>0</v>
      </c>
      <c r="BK21" s="134">
        <f t="shared" si="58"/>
        <v>0</v>
      </c>
      <c r="BL21" s="134">
        <f t="shared" si="59"/>
        <v>0</v>
      </c>
      <c r="BM21" s="134">
        <f t="shared" si="60"/>
        <v>0</v>
      </c>
      <c r="BN21" s="134">
        <f t="shared" si="61"/>
        <v>0</v>
      </c>
      <c r="BO21" s="134">
        <f t="shared" si="62"/>
        <v>0</v>
      </c>
      <c r="BP21" s="134">
        <f t="shared" si="63"/>
        <v>0</v>
      </c>
      <c r="BQ21" s="134">
        <f t="shared" si="64"/>
        <v>0</v>
      </c>
      <c r="BR21" s="134">
        <f t="shared" si="65"/>
        <v>0</v>
      </c>
      <c r="BS21" s="134">
        <f t="shared" si="66"/>
        <v>0</v>
      </c>
      <c r="BT21" s="134">
        <f t="shared" si="67"/>
        <v>0</v>
      </c>
      <c r="BU21" s="134">
        <f t="shared" si="68"/>
        <v>0</v>
      </c>
      <c r="BV21" s="134">
        <f t="shared" si="69"/>
        <v>0</v>
      </c>
      <c r="BW21" s="134">
        <f t="shared" si="70"/>
        <v>0</v>
      </c>
      <c r="BX21" s="134">
        <f t="shared" si="71"/>
        <v>0</v>
      </c>
      <c r="BY21" s="134">
        <f t="shared" si="72"/>
        <v>0</v>
      </c>
      <c r="BZ21" s="134">
        <f t="shared" si="73"/>
        <v>0</v>
      </c>
      <c r="CA21" s="134">
        <f t="shared" si="74"/>
        <v>0</v>
      </c>
      <c r="CB21" s="134">
        <f t="shared" si="75"/>
        <v>0</v>
      </c>
      <c r="CC21" s="134">
        <f t="shared" si="76"/>
        <v>0</v>
      </c>
      <c r="CD21" s="134">
        <f t="shared" si="77"/>
        <v>0</v>
      </c>
      <c r="CE21" s="134">
        <f t="shared" si="78"/>
        <v>0</v>
      </c>
      <c r="CF21" s="134">
        <f t="shared" si="79"/>
        <v>0</v>
      </c>
      <c r="CG21" s="134">
        <f t="shared" si="80"/>
        <v>0</v>
      </c>
      <c r="CH21" s="134">
        <f t="shared" si="81"/>
        <v>0</v>
      </c>
      <c r="CI21" s="134">
        <f t="shared" si="82"/>
        <v>0</v>
      </c>
      <c r="CJ21" s="134">
        <f t="shared" si="83"/>
        <v>0</v>
      </c>
      <c r="CK21" s="134">
        <f t="shared" si="84"/>
        <v>0</v>
      </c>
      <c r="CL21" s="134">
        <f t="shared" si="85"/>
        <v>0</v>
      </c>
      <c r="CM21" s="134">
        <f t="shared" si="86"/>
        <v>0</v>
      </c>
      <c r="CN21" s="134">
        <f t="shared" si="87"/>
        <v>0</v>
      </c>
      <c r="CO21" s="134">
        <f t="shared" si="88"/>
        <v>0</v>
      </c>
      <c r="CP21" s="134">
        <f t="shared" si="89"/>
        <v>0</v>
      </c>
      <c r="CQ21" s="134">
        <f t="shared" si="90"/>
        <v>0</v>
      </c>
      <c r="CR21" s="134">
        <f t="shared" si="91"/>
        <v>0</v>
      </c>
      <c r="CS21" s="134">
        <f t="shared" si="92"/>
        <v>0</v>
      </c>
      <c r="CT21" s="134">
        <f t="shared" si="93"/>
        <v>0</v>
      </c>
      <c r="CU21" s="134">
        <f t="shared" si="94"/>
        <v>0</v>
      </c>
      <c r="CV21" s="134">
        <f t="shared" si="95"/>
        <v>0</v>
      </c>
      <c r="CW21" s="134">
        <f t="shared" si="96"/>
        <v>0</v>
      </c>
      <c r="CX21" s="134">
        <f t="shared" si="97"/>
        <v>0</v>
      </c>
      <c r="CY21" s="134">
        <f t="shared" si="98"/>
        <v>0</v>
      </c>
      <c r="CZ21" s="134">
        <f t="shared" si="99"/>
        <v>0</v>
      </c>
      <c r="DA21" s="134">
        <f t="shared" si="100"/>
        <v>0</v>
      </c>
      <c r="DB21" s="134">
        <f t="shared" si="101"/>
        <v>0</v>
      </c>
      <c r="DC21" s="134">
        <f t="shared" si="102"/>
        <v>0</v>
      </c>
      <c r="DD21" s="134">
        <f t="shared" si="103"/>
        <v>0</v>
      </c>
      <c r="DE21" s="134">
        <f t="shared" si="104"/>
        <v>0</v>
      </c>
      <c r="DF21" s="134">
        <f t="shared" si="105"/>
        <v>0</v>
      </c>
      <c r="DG21" s="134">
        <f t="shared" si="106"/>
        <v>0</v>
      </c>
      <c r="DH21" s="134">
        <f t="shared" si="107"/>
        <v>0</v>
      </c>
      <c r="DI21" s="134">
        <f t="shared" si="108"/>
        <v>0</v>
      </c>
      <c r="DJ21" s="134">
        <f t="shared" si="109"/>
        <v>0</v>
      </c>
      <c r="DK21" s="134">
        <f t="shared" si="110"/>
        <v>0</v>
      </c>
      <c r="DL21" s="134">
        <f t="shared" si="111"/>
        <v>0</v>
      </c>
      <c r="DM21" s="134">
        <f t="shared" si="112"/>
        <v>0</v>
      </c>
      <c r="DN21" s="134">
        <f t="shared" si="113"/>
        <v>0</v>
      </c>
      <c r="DO21" s="134">
        <f t="shared" si="114"/>
        <v>0</v>
      </c>
      <c r="DP21" s="134">
        <f t="shared" si="115"/>
        <v>0</v>
      </c>
      <c r="DQ21" s="134">
        <f t="shared" si="116"/>
        <v>0</v>
      </c>
      <c r="DR21" s="134">
        <f t="shared" si="117"/>
        <v>0</v>
      </c>
      <c r="DS21" s="134">
        <f t="shared" si="118"/>
        <v>0</v>
      </c>
      <c r="DT21" s="134">
        <f t="shared" si="119"/>
        <v>0</v>
      </c>
      <c r="DU21" s="134">
        <f t="shared" si="120"/>
        <v>0</v>
      </c>
      <c r="DV21" s="134">
        <f t="shared" si="121"/>
        <v>0</v>
      </c>
      <c r="DW21" s="134">
        <f t="shared" si="122"/>
        <v>0</v>
      </c>
      <c r="DX21" s="134">
        <f t="shared" si="123"/>
        <v>0</v>
      </c>
      <c r="DY21" s="134">
        <f t="shared" si="124"/>
        <v>0</v>
      </c>
      <c r="DZ21" s="134">
        <f t="shared" si="125"/>
        <v>0</v>
      </c>
      <c r="EA21" s="134">
        <f t="shared" si="126"/>
        <v>0</v>
      </c>
      <c r="EB21" s="134">
        <f t="shared" si="127"/>
        <v>0</v>
      </c>
      <c r="EC21" s="134">
        <f t="shared" si="128"/>
        <v>0</v>
      </c>
      <c r="ED21" s="134">
        <f t="shared" si="129"/>
        <v>0</v>
      </c>
      <c r="EE21" s="134">
        <f t="shared" si="130"/>
        <v>0</v>
      </c>
      <c r="EF21" s="134">
        <f t="shared" si="131"/>
        <v>0</v>
      </c>
      <c r="EG21" s="134">
        <f t="shared" si="132"/>
        <v>0</v>
      </c>
      <c r="EH21" s="134">
        <f t="shared" si="133"/>
        <v>0</v>
      </c>
      <c r="EI21" s="134">
        <f t="shared" si="134"/>
        <v>0</v>
      </c>
      <c r="EJ21" s="134">
        <f t="shared" si="135"/>
        <v>0</v>
      </c>
      <c r="EK21" s="134">
        <f t="shared" si="136"/>
        <v>0</v>
      </c>
      <c r="EL21" s="134">
        <f t="shared" si="137"/>
        <v>0</v>
      </c>
      <c r="EM21" s="134">
        <f t="shared" si="138"/>
        <v>0</v>
      </c>
      <c r="EN21" s="134">
        <f t="shared" si="139"/>
        <v>0</v>
      </c>
      <c r="EO21" s="134">
        <f t="shared" si="140"/>
        <v>0</v>
      </c>
      <c r="EP21" s="134">
        <f t="shared" si="141"/>
        <v>0</v>
      </c>
      <c r="EQ21" s="134">
        <f t="shared" si="142"/>
        <v>0</v>
      </c>
      <c r="ER21" s="134">
        <f t="shared" si="143"/>
        <v>0</v>
      </c>
      <c r="ES21" s="134">
        <f t="shared" si="144"/>
        <v>0</v>
      </c>
      <c r="ET21" s="134">
        <f t="shared" si="145"/>
        <v>0</v>
      </c>
      <c r="EU21" s="134">
        <f t="shared" si="146"/>
        <v>0</v>
      </c>
      <c r="EV21" s="134">
        <f t="shared" si="147"/>
        <v>0</v>
      </c>
      <c r="EW21" s="134">
        <f t="shared" si="148"/>
        <v>0</v>
      </c>
      <c r="EX21" s="134">
        <f t="shared" si="149"/>
        <v>0</v>
      </c>
      <c r="EY21" s="134">
        <f t="shared" si="150"/>
        <v>0</v>
      </c>
      <c r="EZ21" s="134">
        <f t="shared" si="151"/>
        <v>0</v>
      </c>
      <c r="FA21" s="134">
        <f t="shared" si="152"/>
        <v>0</v>
      </c>
      <c r="FB21" s="134">
        <f t="shared" si="153"/>
        <v>0</v>
      </c>
      <c r="FC21" s="134">
        <f t="shared" si="154"/>
        <v>0</v>
      </c>
      <c r="FD21" s="134">
        <f t="shared" si="155"/>
        <v>0</v>
      </c>
      <c r="FE21" s="134">
        <f t="shared" si="156"/>
        <v>0</v>
      </c>
      <c r="FF21" s="134">
        <f t="shared" si="157"/>
        <v>0</v>
      </c>
      <c r="FG21" s="134">
        <f t="shared" si="158"/>
        <v>0</v>
      </c>
      <c r="FH21" s="134">
        <f t="shared" si="159"/>
        <v>0</v>
      </c>
      <c r="FI21" s="134">
        <f t="shared" si="160"/>
        <v>0</v>
      </c>
      <c r="FJ21" s="134">
        <f t="shared" si="161"/>
        <v>0</v>
      </c>
      <c r="FK21" s="134">
        <f t="shared" si="162"/>
        <v>0</v>
      </c>
      <c r="FL21" s="134">
        <f t="shared" si="163"/>
        <v>0</v>
      </c>
      <c r="FM21" s="134">
        <f t="shared" si="164"/>
        <v>0</v>
      </c>
      <c r="FN21" s="134">
        <f t="shared" si="165"/>
        <v>0</v>
      </c>
      <c r="FO21" s="134">
        <f t="shared" si="166"/>
        <v>0</v>
      </c>
      <c r="FP21" s="134">
        <f t="shared" si="167"/>
        <v>0</v>
      </c>
      <c r="FQ21" s="134">
        <f t="shared" si="168"/>
        <v>0</v>
      </c>
      <c r="FR21" s="134">
        <f t="shared" si="169"/>
        <v>0</v>
      </c>
      <c r="FS21" s="134">
        <f t="shared" si="170"/>
        <v>0</v>
      </c>
      <c r="FT21" s="134">
        <f t="shared" si="171"/>
        <v>0</v>
      </c>
      <c r="FU21" s="134">
        <f t="shared" si="172"/>
        <v>0</v>
      </c>
      <c r="FV21" s="134">
        <f t="shared" si="173"/>
        <v>0</v>
      </c>
      <c r="FW21" s="134">
        <f t="shared" si="174"/>
        <v>0</v>
      </c>
      <c r="FX21" s="134">
        <f t="shared" si="175"/>
        <v>0</v>
      </c>
      <c r="FY21" s="134">
        <f t="shared" si="176"/>
        <v>0</v>
      </c>
      <c r="FZ21" s="134">
        <f t="shared" si="177"/>
        <v>0</v>
      </c>
      <c r="GA21" s="134">
        <f t="shared" si="178"/>
        <v>0</v>
      </c>
      <c r="GB21" s="134">
        <f t="shared" si="179"/>
        <v>0</v>
      </c>
      <c r="GC21" s="134">
        <f t="shared" si="180"/>
        <v>0</v>
      </c>
      <c r="GD21" s="134">
        <f t="shared" si="181"/>
        <v>0</v>
      </c>
      <c r="GE21" s="134">
        <f t="shared" si="182"/>
        <v>0</v>
      </c>
      <c r="GF21" s="134">
        <f t="shared" si="183"/>
        <v>0</v>
      </c>
      <c r="GG21" s="134">
        <f t="shared" si="184"/>
        <v>0</v>
      </c>
      <c r="GH21" s="134">
        <f t="shared" si="185"/>
        <v>0</v>
      </c>
      <c r="GI21" s="134">
        <f t="shared" si="186"/>
        <v>0</v>
      </c>
      <c r="GJ21" s="134">
        <f t="shared" si="187"/>
        <v>0</v>
      </c>
      <c r="GK21" s="134">
        <f t="shared" si="188"/>
        <v>0</v>
      </c>
      <c r="GL21" s="134">
        <f t="shared" si="189"/>
        <v>0</v>
      </c>
      <c r="GM21" s="134">
        <f t="shared" si="190"/>
        <v>0</v>
      </c>
      <c r="GN21" s="134">
        <f t="shared" si="191"/>
        <v>0</v>
      </c>
      <c r="GO21" s="134">
        <f t="shared" si="192"/>
        <v>0</v>
      </c>
      <c r="GP21" s="134">
        <f t="shared" si="193"/>
        <v>0</v>
      </c>
      <c r="GQ21" s="134">
        <f t="shared" si="194"/>
        <v>0</v>
      </c>
      <c r="GR21" s="134">
        <f t="shared" si="195"/>
        <v>0</v>
      </c>
      <c r="GS21" s="134">
        <f t="shared" si="196"/>
        <v>0</v>
      </c>
      <c r="GT21" s="134">
        <f t="shared" si="197"/>
        <v>0</v>
      </c>
      <c r="GU21" s="134">
        <f t="shared" si="198"/>
        <v>0</v>
      </c>
      <c r="GV21" s="134">
        <f t="shared" si="199"/>
        <v>0</v>
      </c>
      <c r="GW21" s="134">
        <f t="shared" si="200"/>
        <v>0</v>
      </c>
      <c r="GX21" s="134">
        <f t="shared" si="201"/>
        <v>0</v>
      </c>
      <c r="GY21" s="134">
        <f t="shared" si="202"/>
        <v>0</v>
      </c>
      <c r="GZ21" s="134">
        <f t="shared" si="203"/>
        <v>0</v>
      </c>
      <c r="HA21" s="134">
        <f t="shared" ca="1" si="204"/>
        <v>0</v>
      </c>
      <c r="HB21" s="134">
        <f t="shared" ca="1" si="205"/>
        <v>0</v>
      </c>
      <c r="HC21" s="134">
        <f t="shared" ca="1" si="206"/>
        <v>0</v>
      </c>
      <c r="HD21" s="134">
        <f t="shared" ca="1" si="207"/>
        <v>0</v>
      </c>
      <c r="HE21" s="134">
        <f t="shared" ca="1" si="208"/>
        <v>0</v>
      </c>
      <c r="HF21" s="134">
        <f t="shared" ca="1" si="209"/>
        <v>0</v>
      </c>
      <c r="HG21" s="134">
        <f t="shared" ca="1" si="210"/>
        <v>0</v>
      </c>
      <c r="HH21" s="134">
        <f t="shared" ca="1" si="211"/>
        <v>0</v>
      </c>
      <c r="HI21" s="134">
        <f t="shared" ca="1" si="212"/>
        <v>0</v>
      </c>
      <c r="HJ21" s="134">
        <f t="shared" ca="1" si="213"/>
        <v>0</v>
      </c>
      <c r="HK21" s="134">
        <f t="shared" ca="1" si="214"/>
        <v>0</v>
      </c>
      <c r="HL21" s="134">
        <f t="shared" ca="1" si="215"/>
        <v>0</v>
      </c>
      <c r="HM21" s="134">
        <f t="shared" ca="1" si="216"/>
        <v>0</v>
      </c>
      <c r="HN21" s="134">
        <f t="shared" ca="1" si="217"/>
        <v>0</v>
      </c>
      <c r="HO21" s="134">
        <f t="shared" ca="1" si="218"/>
        <v>0</v>
      </c>
      <c r="HP21" s="134">
        <f t="shared" ca="1" si="219"/>
        <v>0</v>
      </c>
      <c r="HQ21" s="134">
        <f t="shared" ca="1" si="220"/>
        <v>0</v>
      </c>
      <c r="HR21" s="134">
        <f t="shared" ca="1" si="221"/>
        <v>0</v>
      </c>
      <c r="HS21" s="134">
        <f t="shared" ca="1" si="222"/>
        <v>0</v>
      </c>
      <c r="HT21" s="134">
        <f t="shared" ca="1" si="223"/>
        <v>0</v>
      </c>
      <c r="HU21" s="134">
        <f t="shared" ca="1" si="224"/>
        <v>0</v>
      </c>
      <c r="HV21" s="134">
        <f t="shared" ca="1" si="225"/>
        <v>0</v>
      </c>
      <c r="HW21" s="134">
        <f t="shared" ca="1" si="226"/>
        <v>0</v>
      </c>
      <c r="HX21" s="134">
        <f t="shared" ca="1" si="227"/>
        <v>0</v>
      </c>
      <c r="HY21" s="134">
        <f t="shared" ca="1" si="228"/>
        <v>0</v>
      </c>
      <c r="HZ21" s="134">
        <f t="shared" ca="1" si="229"/>
        <v>0</v>
      </c>
      <c r="IA21" s="134">
        <f t="shared" ca="1" si="230"/>
        <v>0</v>
      </c>
      <c r="IB21" s="134">
        <f t="shared" ca="1" si="231"/>
        <v>0</v>
      </c>
      <c r="IC21" s="134">
        <f t="shared" ca="1" si="232"/>
        <v>0</v>
      </c>
      <c r="ID21" s="134">
        <f t="shared" ca="1" si="233"/>
        <v>0</v>
      </c>
      <c r="IE21" s="134">
        <f t="shared" ca="1" si="234"/>
        <v>0</v>
      </c>
      <c r="IF21" s="134">
        <f t="shared" ca="1" si="235"/>
        <v>0</v>
      </c>
      <c r="IG21" s="134">
        <f t="shared" ca="1" si="236"/>
        <v>0</v>
      </c>
      <c r="IH21" s="134">
        <f t="shared" ca="1" si="237"/>
        <v>0</v>
      </c>
      <c r="II21" s="134">
        <f t="shared" ca="1" si="238"/>
        <v>0</v>
      </c>
      <c r="IJ21" s="135">
        <f t="shared" ca="1" si="239"/>
        <v>0</v>
      </c>
      <c r="IK21" s="132">
        <f t="shared" ca="1" si="240"/>
        <v>0</v>
      </c>
    </row>
    <row r="22" spans="1:245" x14ac:dyDescent="0.45">
      <c r="A22" s="67">
        <v>2033</v>
      </c>
      <c r="B22" s="112"/>
      <c r="C22" s="3">
        <f ca="1">INT(SUM(OFFSET('CAPEX Schedule'!$C$8,0,($A22-$A$4)*12):OFFSET('CAPEX Schedule'!$C$8,0,($A22-$A$4)*12+11)))</f>
        <v>0</v>
      </c>
      <c r="D22" s="3">
        <f ca="1">INT(SUM(OFFSET('CAPEX Schedule'!$C$13,0,($A22-$A$4)*12):OFFSET('CAPEX Schedule'!$C$13,0,($A22-$A$4)*12+11)))-C22</f>
        <v>0</v>
      </c>
      <c r="E22" s="130">
        <f t="shared" si="0"/>
        <v>0</v>
      </c>
      <c r="F22" s="134">
        <f t="shared" si="1"/>
        <v>0</v>
      </c>
      <c r="G22" s="134">
        <f t="shared" si="2"/>
        <v>0</v>
      </c>
      <c r="H22" s="134">
        <f t="shared" si="3"/>
        <v>0</v>
      </c>
      <c r="I22" s="134">
        <f t="shared" si="4"/>
        <v>0</v>
      </c>
      <c r="J22" s="134">
        <f t="shared" si="5"/>
        <v>0</v>
      </c>
      <c r="K22" s="134">
        <f t="shared" si="6"/>
        <v>0</v>
      </c>
      <c r="L22" s="134">
        <f t="shared" si="7"/>
        <v>0</v>
      </c>
      <c r="M22" s="134">
        <f t="shared" si="8"/>
        <v>0</v>
      </c>
      <c r="N22" s="134">
        <f t="shared" si="9"/>
        <v>0</v>
      </c>
      <c r="O22" s="134">
        <f t="shared" si="10"/>
        <v>0</v>
      </c>
      <c r="P22" s="134">
        <f t="shared" si="11"/>
        <v>0</v>
      </c>
      <c r="Q22" s="134">
        <f t="shared" si="12"/>
        <v>0</v>
      </c>
      <c r="R22" s="134">
        <f t="shared" si="13"/>
        <v>0</v>
      </c>
      <c r="S22" s="134">
        <f t="shared" si="14"/>
        <v>0</v>
      </c>
      <c r="T22" s="134">
        <f t="shared" si="15"/>
        <v>0</v>
      </c>
      <c r="U22" s="134">
        <f t="shared" si="16"/>
        <v>0</v>
      </c>
      <c r="V22" s="134">
        <f t="shared" si="17"/>
        <v>0</v>
      </c>
      <c r="W22" s="134">
        <f t="shared" si="18"/>
        <v>0</v>
      </c>
      <c r="X22" s="134">
        <f t="shared" si="19"/>
        <v>0</v>
      </c>
      <c r="Y22" s="134">
        <f t="shared" si="20"/>
        <v>0</v>
      </c>
      <c r="Z22" s="134">
        <f t="shared" si="21"/>
        <v>0</v>
      </c>
      <c r="AA22" s="134">
        <f t="shared" si="22"/>
        <v>0</v>
      </c>
      <c r="AB22" s="134">
        <f t="shared" si="23"/>
        <v>0</v>
      </c>
      <c r="AC22" s="134">
        <f t="shared" si="24"/>
        <v>0</v>
      </c>
      <c r="AD22" s="134">
        <f t="shared" si="25"/>
        <v>0</v>
      </c>
      <c r="AE22" s="134">
        <f t="shared" si="26"/>
        <v>0</v>
      </c>
      <c r="AF22" s="134">
        <f t="shared" si="27"/>
        <v>0</v>
      </c>
      <c r="AG22" s="134">
        <f t="shared" si="28"/>
        <v>0</v>
      </c>
      <c r="AH22" s="134">
        <f t="shared" si="29"/>
        <v>0</v>
      </c>
      <c r="AI22" s="134">
        <f t="shared" si="30"/>
        <v>0</v>
      </c>
      <c r="AJ22" s="134">
        <f t="shared" si="31"/>
        <v>0</v>
      </c>
      <c r="AK22" s="134">
        <f t="shared" si="32"/>
        <v>0</v>
      </c>
      <c r="AL22" s="134">
        <f t="shared" si="33"/>
        <v>0</v>
      </c>
      <c r="AM22" s="134">
        <f t="shared" si="34"/>
        <v>0</v>
      </c>
      <c r="AN22" s="134">
        <f t="shared" si="35"/>
        <v>0</v>
      </c>
      <c r="AO22" s="134">
        <f t="shared" si="36"/>
        <v>0</v>
      </c>
      <c r="AP22" s="134">
        <f t="shared" si="37"/>
        <v>0</v>
      </c>
      <c r="AQ22" s="134">
        <f t="shared" si="38"/>
        <v>0</v>
      </c>
      <c r="AR22" s="134">
        <f t="shared" si="39"/>
        <v>0</v>
      </c>
      <c r="AS22" s="134">
        <f t="shared" si="40"/>
        <v>0</v>
      </c>
      <c r="AT22" s="134">
        <f t="shared" si="41"/>
        <v>0</v>
      </c>
      <c r="AU22" s="134">
        <f t="shared" si="42"/>
        <v>0</v>
      </c>
      <c r="AV22" s="134">
        <f t="shared" si="43"/>
        <v>0</v>
      </c>
      <c r="AW22" s="134">
        <f t="shared" si="44"/>
        <v>0</v>
      </c>
      <c r="AX22" s="134">
        <f t="shared" si="45"/>
        <v>0</v>
      </c>
      <c r="AY22" s="134">
        <f t="shared" si="46"/>
        <v>0</v>
      </c>
      <c r="AZ22" s="134">
        <f t="shared" si="47"/>
        <v>0</v>
      </c>
      <c r="BA22" s="134">
        <f t="shared" si="48"/>
        <v>0</v>
      </c>
      <c r="BB22" s="134">
        <f t="shared" si="49"/>
        <v>0</v>
      </c>
      <c r="BC22" s="134">
        <f t="shared" si="50"/>
        <v>0</v>
      </c>
      <c r="BD22" s="134">
        <f t="shared" si="51"/>
        <v>0</v>
      </c>
      <c r="BE22" s="134">
        <f t="shared" si="52"/>
        <v>0</v>
      </c>
      <c r="BF22" s="134">
        <f t="shared" si="53"/>
        <v>0</v>
      </c>
      <c r="BG22" s="134">
        <f t="shared" si="54"/>
        <v>0</v>
      </c>
      <c r="BH22" s="134">
        <f t="shared" si="55"/>
        <v>0</v>
      </c>
      <c r="BI22" s="134">
        <f t="shared" si="56"/>
        <v>0</v>
      </c>
      <c r="BJ22" s="134">
        <f t="shared" si="57"/>
        <v>0</v>
      </c>
      <c r="BK22" s="134">
        <f t="shared" si="58"/>
        <v>0</v>
      </c>
      <c r="BL22" s="134">
        <f t="shared" si="59"/>
        <v>0</v>
      </c>
      <c r="BM22" s="134">
        <f t="shared" si="60"/>
        <v>0</v>
      </c>
      <c r="BN22" s="134">
        <f t="shared" si="61"/>
        <v>0</v>
      </c>
      <c r="BO22" s="134">
        <f t="shared" si="62"/>
        <v>0</v>
      </c>
      <c r="BP22" s="134">
        <f t="shared" si="63"/>
        <v>0</v>
      </c>
      <c r="BQ22" s="134">
        <f t="shared" si="64"/>
        <v>0</v>
      </c>
      <c r="BR22" s="134">
        <f t="shared" si="65"/>
        <v>0</v>
      </c>
      <c r="BS22" s="134">
        <f t="shared" si="66"/>
        <v>0</v>
      </c>
      <c r="BT22" s="134">
        <f t="shared" si="67"/>
        <v>0</v>
      </c>
      <c r="BU22" s="134">
        <f t="shared" si="68"/>
        <v>0</v>
      </c>
      <c r="BV22" s="134">
        <f t="shared" si="69"/>
        <v>0</v>
      </c>
      <c r="BW22" s="134">
        <f t="shared" si="70"/>
        <v>0</v>
      </c>
      <c r="BX22" s="134">
        <f t="shared" si="71"/>
        <v>0</v>
      </c>
      <c r="BY22" s="134">
        <f t="shared" si="72"/>
        <v>0</v>
      </c>
      <c r="BZ22" s="134">
        <f t="shared" si="73"/>
        <v>0</v>
      </c>
      <c r="CA22" s="134">
        <f t="shared" si="74"/>
        <v>0</v>
      </c>
      <c r="CB22" s="134">
        <f t="shared" si="75"/>
        <v>0</v>
      </c>
      <c r="CC22" s="134">
        <f t="shared" si="76"/>
        <v>0</v>
      </c>
      <c r="CD22" s="134">
        <f t="shared" si="77"/>
        <v>0</v>
      </c>
      <c r="CE22" s="134">
        <f t="shared" si="78"/>
        <v>0</v>
      </c>
      <c r="CF22" s="134">
        <f t="shared" si="79"/>
        <v>0</v>
      </c>
      <c r="CG22" s="134">
        <f t="shared" si="80"/>
        <v>0</v>
      </c>
      <c r="CH22" s="134">
        <f t="shared" si="81"/>
        <v>0</v>
      </c>
      <c r="CI22" s="134">
        <f t="shared" si="82"/>
        <v>0</v>
      </c>
      <c r="CJ22" s="134">
        <f t="shared" si="83"/>
        <v>0</v>
      </c>
      <c r="CK22" s="134">
        <f t="shared" si="84"/>
        <v>0</v>
      </c>
      <c r="CL22" s="134">
        <f t="shared" si="85"/>
        <v>0</v>
      </c>
      <c r="CM22" s="134">
        <f t="shared" si="86"/>
        <v>0</v>
      </c>
      <c r="CN22" s="134">
        <f t="shared" si="87"/>
        <v>0</v>
      </c>
      <c r="CO22" s="134">
        <f t="shared" si="88"/>
        <v>0</v>
      </c>
      <c r="CP22" s="134">
        <f t="shared" si="89"/>
        <v>0</v>
      </c>
      <c r="CQ22" s="134">
        <f t="shared" si="90"/>
        <v>0</v>
      </c>
      <c r="CR22" s="134">
        <f t="shared" si="91"/>
        <v>0</v>
      </c>
      <c r="CS22" s="134">
        <f t="shared" si="92"/>
        <v>0</v>
      </c>
      <c r="CT22" s="134">
        <f t="shared" si="93"/>
        <v>0</v>
      </c>
      <c r="CU22" s="134">
        <f t="shared" si="94"/>
        <v>0</v>
      </c>
      <c r="CV22" s="134">
        <f t="shared" si="95"/>
        <v>0</v>
      </c>
      <c r="CW22" s="134">
        <f t="shared" si="96"/>
        <v>0</v>
      </c>
      <c r="CX22" s="134">
        <f t="shared" si="97"/>
        <v>0</v>
      </c>
      <c r="CY22" s="134">
        <f t="shared" si="98"/>
        <v>0</v>
      </c>
      <c r="CZ22" s="134">
        <f t="shared" si="99"/>
        <v>0</v>
      </c>
      <c r="DA22" s="134">
        <f t="shared" si="100"/>
        <v>0</v>
      </c>
      <c r="DB22" s="134">
        <f t="shared" si="101"/>
        <v>0</v>
      </c>
      <c r="DC22" s="134">
        <f t="shared" si="102"/>
        <v>0</v>
      </c>
      <c r="DD22" s="134">
        <f t="shared" si="103"/>
        <v>0</v>
      </c>
      <c r="DE22" s="134">
        <f t="shared" si="104"/>
        <v>0</v>
      </c>
      <c r="DF22" s="134">
        <f t="shared" si="105"/>
        <v>0</v>
      </c>
      <c r="DG22" s="134">
        <f t="shared" si="106"/>
        <v>0</v>
      </c>
      <c r="DH22" s="134">
        <f t="shared" si="107"/>
        <v>0</v>
      </c>
      <c r="DI22" s="134">
        <f t="shared" si="108"/>
        <v>0</v>
      </c>
      <c r="DJ22" s="134">
        <f t="shared" si="109"/>
        <v>0</v>
      </c>
      <c r="DK22" s="134">
        <f t="shared" si="110"/>
        <v>0</v>
      </c>
      <c r="DL22" s="134">
        <f t="shared" si="111"/>
        <v>0</v>
      </c>
      <c r="DM22" s="134">
        <f t="shared" si="112"/>
        <v>0</v>
      </c>
      <c r="DN22" s="134">
        <f t="shared" si="113"/>
        <v>0</v>
      </c>
      <c r="DO22" s="134">
        <f t="shared" si="114"/>
        <v>0</v>
      </c>
      <c r="DP22" s="134">
        <f t="shared" si="115"/>
        <v>0</v>
      </c>
      <c r="DQ22" s="134">
        <f t="shared" si="116"/>
        <v>0</v>
      </c>
      <c r="DR22" s="134">
        <f t="shared" si="117"/>
        <v>0</v>
      </c>
      <c r="DS22" s="134">
        <f t="shared" si="118"/>
        <v>0</v>
      </c>
      <c r="DT22" s="134">
        <f t="shared" si="119"/>
        <v>0</v>
      </c>
      <c r="DU22" s="134">
        <f t="shared" si="120"/>
        <v>0</v>
      </c>
      <c r="DV22" s="134">
        <f t="shared" si="121"/>
        <v>0</v>
      </c>
      <c r="DW22" s="134">
        <f t="shared" si="122"/>
        <v>0</v>
      </c>
      <c r="DX22" s="134">
        <f t="shared" si="123"/>
        <v>0</v>
      </c>
      <c r="DY22" s="134">
        <f t="shared" si="124"/>
        <v>0</v>
      </c>
      <c r="DZ22" s="134">
        <f t="shared" si="125"/>
        <v>0</v>
      </c>
      <c r="EA22" s="134">
        <f t="shared" si="126"/>
        <v>0</v>
      </c>
      <c r="EB22" s="134">
        <f t="shared" si="127"/>
        <v>0</v>
      </c>
      <c r="EC22" s="134">
        <f t="shared" si="128"/>
        <v>0</v>
      </c>
      <c r="ED22" s="134">
        <f t="shared" si="129"/>
        <v>0</v>
      </c>
      <c r="EE22" s="134">
        <f t="shared" si="130"/>
        <v>0</v>
      </c>
      <c r="EF22" s="134">
        <f t="shared" si="131"/>
        <v>0</v>
      </c>
      <c r="EG22" s="134">
        <f t="shared" si="132"/>
        <v>0</v>
      </c>
      <c r="EH22" s="134">
        <f t="shared" si="133"/>
        <v>0</v>
      </c>
      <c r="EI22" s="134">
        <f t="shared" si="134"/>
        <v>0</v>
      </c>
      <c r="EJ22" s="134">
        <f t="shared" si="135"/>
        <v>0</v>
      </c>
      <c r="EK22" s="134">
        <f t="shared" si="136"/>
        <v>0</v>
      </c>
      <c r="EL22" s="134">
        <f t="shared" si="137"/>
        <v>0</v>
      </c>
      <c r="EM22" s="134">
        <f t="shared" si="138"/>
        <v>0</v>
      </c>
      <c r="EN22" s="134">
        <f t="shared" si="139"/>
        <v>0</v>
      </c>
      <c r="EO22" s="134">
        <f t="shared" si="140"/>
        <v>0</v>
      </c>
      <c r="EP22" s="134">
        <f t="shared" si="141"/>
        <v>0</v>
      </c>
      <c r="EQ22" s="134">
        <f t="shared" si="142"/>
        <v>0</v>
      </c>
      <c r="ER22" s="134">
        <f t="shared" si="143"/>
        <v>0</v>
      </c>
      <c r="ES22" s="134">
        <f t="shared" si="144"/>
        <v>0</v>
      </c>
      <c r="ET22" s="134">
        <f t="shared" si="145"/>
        <v>0</v>
      </c>
      <c r="EU22" s="134">
        <f t="shared" si="146"/>
        <v>0</v>
      </c>
      <c r="EV22" s="134">
        <f t="shared" si="147"/>
        <v>0</v>
      </c>
      <c r="EW22" s="134">
        <f t="shared" si="148"/>
        <v>0</v>
      </c>
      <c r="EX22" s="134">
        <f t="shared" si="149"/>
        <v>0</v>
      </c>
      <c r="EY22" s="134">
        <f t="shared" si="150"/>
        <v>0</v>
      </c>
      <c r="EZ22" s="134">
        <f t="shared" si="151"/>
        <v>0</v>
      </c>
      <c r="FA22" s="134">
        <f t="shared" si="152"/>
        <v>0</v>
      </c>
      <c r="FB22" s="134">
        <f t="shared" si="153"/>
        <v>0</v>
      </c>
      <c r="FC22" s="134">
        <f t="shared" si="154"/>
        <v>0</v>
      </c>
      <c r="FD22" s="134">
        <f t="shared" si="155"/>
        <v>0</v>
      </c>
      <c r="FE22" s="134">
        <f t="shared" si="156"/>
        <v>0</v>
      </c>
      <c r="FF22" s="134">
        <f t="shared" si="157"/>
        <v>0</v>
      </c>
      <c r="FG22" s="134">
        <f t="shared" si="158"/>
        <v>0</v>
      </c>
      <c r="FH22" s="134">
        <f t="shared" si="159"/>
        <v>0</v>
      </c>
      <c r="FI22" s="134">
        <f t="shared" si="160"/>
        <v>0</v>
      </c>
      <c r="FJ22" s="134">
        <f t="shared" si="161"/>
        <v>0</v>
      </c>
      <c r="FK22" s="134">
        <f t="shared" si="162"/>
        <v>0</v>
      </c>
      <c r="FL22" s="134">
        <f t="shared" si="163"/>
        <v>0</v>
      </c>
      <c r="FM22" s="134">
        <f t="shared" si="164"/>
        <v>0</v>
      </c>
      <c r="FN22" s="134">
        <f t="shared" si="165"/>
        <v>0</v>
      </c>
      <c r="FO22" s="134">
        <f t="shared" si="166"/>
        <v>0</v>
      </c>
      <c r="FP22" s="134">
        <f t="shared" si="167"/>
        <v>0</v>
      </c>
      <c r="FQ22" s="134">
        <f t="shared" si="168"/>
        <v>0</v>
      </c>
      <c r="FR22" s="134">
        <f t="shared" si="169"/>
        <v>0</v>
      </c>
      <c r="FS22" s="134">
        <f t="shared" si="170"/>
        <v>0</v>
      </c>
      <c r="FT22" s="134">
        <f t="shared" si="171"/>
        <v>0</v>
      </c>
      <c r="FU22" s="134">
        <f t="shared" si="172"/>
        <v>0</v>
      </c>
      <c r="FV22" s="134">
        <f t="shared" si="173"/>
        <v>0</v>
      </c>
      <c r="FW22" s="134">
        <f t="shared" si="174"/>
        <v>0</v>
      </c>
      <c r="FX22" s="134">
        <f t="shared" si="175"/>
        <v>0</v>
      </c>
      <c r="FY22" s="134">
        <f t="shared" si="176"/>
        <v>0</v>
      </c>
      <c r="FZ22" s="134">
        <f t="shared" si="177"/>
        <v>0</v>
      </c>
      <c r="GA22" s="134">
        <f t="shared" si="178"/>
        <v>0</v>
      </c>
      <c r="GB22" s="134">
        <f t="shared" si="179"/>
        <v>0</v>
      </c>
      <c r="GC22" s="134">
        <f t="shared" si="180"/>
        <v>0</v>
      </c>
      <c r="GD22" s="134">
        <f t="shared" si="181"/>
        <v>0</v>
      </c>
      <c r="GE22" s="134">
        <f t="shared" si="182"/>
        <v>0</v>
      </c>
      <c r="GF22" s="134">
        <f t="shared" si="183"/>
        <v>0</v>
      </c>
      <c r="GG22" s="134">
        <f t="shared" si="184"/>
        <v>0</v>
      </c>
      <c r="GH22" s="134">
        <f t="shared" si="185"/>
        <v>0</v>
      </c>
      <c r="GI22" s="134">
        <f t="shared" si="186"/>
        <v>0</v>
      </c>
      <c r="GJ22" s="134">
        <f t="shared" si="187"/>
        <v>0</v>
      </c>
      <c r="GK22" s="134">
        <f t="shared" si="188"/>
        <v>0</v>
      </c>
      <c r="GL22" s="134">
        <f t="shared" si="189"/>
        <v>0</v>
      </c>
      <c r="GM22" s="134">
        <f t="shared" si="190"/>
        <v>0</v>
      </c>
      <c r="GN22" s="134">
        <f t="shared" si="191"/>
        <v>0</v>
      </c>
      <c r="GO22" s="134">
        <f t="shared" si="192"/>
        <v>0</v>
      </c>
      <c r="GP22" s="134">
        <f t="shared" si="193"/>
        <v>0</v>
      </c>
      <c r="GQ22" s="134">
        <f t="shared" si="194"/>
        <v>0</v>
      </c>
      <c r="GR22" s="134">
        <f t="shared" si="195"/>
        <v>0</v>
      </c>
      <c r="GS22" s="134">
        <f t="shared" si="196"/>
        <v>0</v>
      </c>
      <c r="GT22" s="134">
        <f t="shared" si="197"/>
        <v>0</v>
      </c>
      <c r="GU22" s="134">
        <f t="shared" si="198"/>
        <v>0</v>
      </c>
      <c r="GV22" s="134">
        <f t="shared" si="199"/>
        <v>0</v>
      </c>
      <c r="GW22" s="134">
        <f t="shared" si="200"/>
        <v>0</v>
      </c>
      <c r="GX22" s="134">
        <f t="shared" si="201"/>
        <v>0</v>
      </c>
      <c r="GY22" s="134">
        <f t="shared" si="202"/>
        <v>0</v>
      </c>
      <c r="GZ22" s="134">
        <f t="shared" si="203"/>
        <v>0</v>
      </c>
      <c r="HA22" s="134">
        <f t="shared" si="204"/>
        <v>0</v>
      </c>
      <c r="HB22" s="134">
        <f t="shared" si="205"/>
        <v>0</v>
      </c>
      <c r="HC22" s="134">
        <f t="shared" si="206"/>
        <v>0</v>
      </c>
      <c r="HD22" s="134">
        <f t="shared" si="207"/>
        <v>0</v>
      </c>
      <c r="HE22" s="134">
        <f t="shared" si="208"/>
        <v>0</v>
      </c>
      <c r="HF22" s="134">
        <f t="shared" si="209"/>
        <v>0</v>
      </c>
      <c r="HG22" s="134">
        <f t="shared" si="210"/>
        <v>0</v>
      </c>
      <c r="HH22" s="134">
        <f t="shared" si="211"/>
        <v>0</v>
      </c>
      <c r="HI22" s="134">
        <f t="shared" si="212"/>
        <v>0</v>
      </c>
      <c r="HJ22" s="134">
        <f t="shared" si="213"/>
        <v>0</v>
      </c>
      <c r="HK22" s="134">
        <f t="shared" si="214"/>
        <v>0</v>
      </c>
      <c r="HL22" s="134">
        <f t="shared" si="215"/>
        <v>0</v>
      </c>
      <c r="HM22" s="134">
        <f t="shared" ca="1" si="216"/>
        <v>0</v>
      </c>
      <c r="HN22" s="134">
        <f t="shared" ca="1" si="217"/>
        <v>0</v>
      </c>
      <c r="HO22" s="134">
        <f t="shared" ca="1" si="218"/>
        <v>0</v>
      </c>
      <c r="HP22" s="134">
        <f t="shared" ca="1" si="219"/>
        <v>0</v>
      </c>
      <c r="HQ22" s="134">
        <f t="shared" ca="1" si="220"/>
        <v>0</v>
      </c>
      <c r="HR22" s="134">
        <f t="shared" ca="1" si="221"/>
        <v>0</v>
      </c>
      <c r="HS22" s="134">
        <f t="shared" ca="1" si="222"/>
        <v>0</v>
      </c>
      <c r="HT22" s="134">
        <f t="shared" ca="1" si="223"/>
        <v>0</v>
      </c>
      <c r="HU22" s="134">
        <f t="shared" ca="1" si="224"/>
        <v>0</v>
      </c>
      <c r="HV22" s="134">
        <f t="shared" ca="1" si="225"/>
        <v>0</v>
      </c>
      <c r="HW22" s="134">
        <f t="shared" ca="1" si="226"/>
        <v>0</v>
      </c>
      <c r="HX22" s="134">
        <f t="shared" ca="1" si="227"/>
        <v>0</v>
      </c>
      <c r="HY22" s="134">
        <f t="shared" ca="1" si="228"/>
        <v>0</v>
      </c>
      <c r="HZ22" s="134">
        <f t="shared" ca="1" si="229"/>
        <v>0</v>
      </c>
      <c r="IA22" s="134">
        <f t="shared" ca="1" si="230"/>
        <v>0</v>
      </c>
      <c r="IB22" s="134">
        <f t="shared" ca="1" si="231"/>
        <v>0</v>
      </c>
      <c r="IC22" s="134">
        <f t="shared" ca="1" si="232"/>
        <v>0</v>
      </c>
      <c r="ID22" s="134">
        <f t="shared" ca="1" si="233"/>
        <v>0</v>
      </c>
      <c r="IE22" s="134">
        <f t="shared" ca="1" si="234"/>
        <v>0</v>
      </c>
      <c r="IF22" s="134">
        <f t="shared" ca="1" si="235"/>
        <v>0</v>
      </c>
      <c r="IG22" s="134">
        <f t="shared" ca="1" si="236"/>
        <v>0</v>
      </c>
      <c r="IH22" s="134">
        <f t="shared" ca="1" si="237"/>
        <v>0</v>
      </c>
      <c r="II22" s="134">
        <f t="shared" ca="1" si="238"/>
        <v>0</v>
      </c>
      <c r="IJ22" s="135">
        <f t="shared" ca="1" si="239"/>
        <v>0</v>
      </c>
      <c r="IK22" s="132">
        <f t="shared" ca="1" si="240"/>
        <v>0</v>
      </c>
    </row>
    <row r="23" spans="1:245" ht="14.65" thickBot="1" x14ac:dyDescent="0.5">
      <c r="A23" s="67">
        <v>2034</v>
      </c>
      <c r="B23" s="112"/>
      <c r="C23" s="3">
        <f ca="1">INT(SUM(OFFSET('CAPEX Schedule'!$C$8,0,($A23-$A$4)*12):OFFSET('CAPEX Schedule'!$C$8,0,($A23-$A$4)*12+11)))</f>
        <v>0</v>
      </c>
      <c r="D23" s="3">
        <f ca="1">INT(SUM(OFFSET('CAPEX Schedule'!$C$13,0,($A23-$A$4)*12):OFFSET('CAPEX Schedule'!$C$13,0,($A23-$A$4)*12+11)))-C23</f>
        <v>0</v>
      </c>
      <c r="E23" s="133">
        <f t="shared" si="0"/>
        <v>0</v>
      </c>
      <c r="F23" s="136">
        <f t="shared" si="1"/>
        <v>0</v>
      </c>
      <c r="G23" s="136">
        <f t="shared" si="2"/>
        <v>0</v>
      </c>
      <c r="H23" s="136">
        <f t="shared" si="3"/>
        <v>0</v>
      </c>
      <c r="I23" s="136">
        <f t="shared" si="4"/>
        <v>0</v>
      </c>
      <c r="J23" s="136">
        <f t="shared" si="5"/>
        <v>0</v>
      </c>
      <c r="K23" s="136">
        <f t="shared" si="6"/>
        <v>0</v>
      </c>
      <c r="L23" s="136">
        <f t="shared" si="7"/>
        <v>0</v>
      </c>
      <c r="M23" s="136">
        <f t="shared" si="8"/>
        <v>0</v>
      </c>
      <c r="N23" s="136">
        <f t="shared" si="9"/>
        <v>0</v>
      </c>
      <c r="O23" s="136">
        <f t="shared" si="10"/>
        <v>0</v>
      </c>
      <c r="P23" s="136">
        <f t="shared" si="11"/>
        <v>0</v>
      </c>
      <c r="Q23" s="136">
        <f t="shared" si="12"/>
        <v>0</v>
      </c>
      <c r="R23" s="136">
        <f t="shared" si="13"/>
        <v>0</v>
      </c>
      <c r="S23" s="136">
        <f t="shared" si="14"/>
        <v>0</v>
      </c>
      <c r="T23" s="136">
        <f t="shared" si="15"/>
        <v>0</v>
      </c>
      <c r="U23" s="136">
        <f t="shared" si="16"/>
        <v>0</v>
      </c>
      <c r="V23" s="136">
        <f t="shared" si="17"/>
        <v>0</v>
      </c>
      <c r="W23" s="136">
        <f t="shared" si="18"/>
        <v>0</v>
      </c>
      <c r="X23" s="136">
        <f t="shared" si="19"/>
        <v>0</v>
      </c>
      <c r="Y23" s="136">
        <f t="shared" si="20"/>
        <v>0</v>
      </c>
      <c r="Z23" s="136">
        <f t="shared" si="21"/>
        <v>0</v>
      </c>
      <c r="AA23" s="136">
        <f t="shared" si="22"/>
        <v>0</v>
      </c>
      <c r="AB23" s="136">
        <f t="shared" si="23"/>
        <v>0</v>
      </c>
      <c r="AC23" s="136">
        <f t="shared" si="24"/>
        <v>0</v>
      </c>
      <c r="AD23" s="136">
        <f t="shared" si="25"/>
        <v>0</v>
      </c>
      <c r="AE23" s="136">
        <f t="shared" si="26"/>
        <v>0</v>
      </c>
      <c r="AF23" s="136">
        <f t="shared" si="27"/>
        <v>0</v>
      </c>
      <c r="AG23" s="136">
        <f t="shared" si="28"/>
        <v>0</v>
      </c>
      <c r="AH23" s="136">
        <f t="shared" si="29"/>
        <v>0</v>
      </c>
      <c r="AI23" s="136">
        <f t="shared" si="30"/>
        <v>0</v>
      </c>
      <c r="AJ23" s="136">
        <f t="shared" si="31"/>
        <v>0</v>
      </c>
      <c r="AK23" s="136">
        <f t="shared" si="32"/>
        <v>0</v>
      </c>
      <c r="AL23" s="136">
        <f t="shared" si="33"/>
        <v>0</v>
      </c>
      <c r="AM23" s="136">
        <f t="shared" si="34"/>
        <v>0</v>
      </c>
      <c r="AN23" s="136">
        <f t="shared" si="35"/>
        <v>0</v>
      </c>
      <c r="AO23" s="136">
        <f t="shared" si="36"/>
        <v>0</v>
      </c>
      <c r="AP23" s="136">
        <f t="shared" si="37"/>
        <v>0</v>
      </c>
      <c r="AQ23" s="136">
        <f t="shared" si="38"/>
        <v>0</v>
      </c>
      <c r="AR23" s="136">
        <f t="shared" si="39"/>
        <v>0</v>
      </c>
      <c r="AS23" s="136">
        <f t="shared" si="40"/>
        <v>0</v>
      </c>
      <c r="AT23" s="136">
        <f t="shared" si="41"/>
        <v>0</v>
      </c>
      <c r="AU23" s="136">
        <f t="shared" si="42"/>
        <v>0</v>
      </c>
      <c r="AV23" s="136">
        <f t="shared" si="43"/>
        <v>0</v>
      </c>
      <c r="AW23" s="136">
        <f t="shared" si="44"/>
        <v>0</v>
      </c>
      <c r="AX23" s="136">
        <f t="shared" si="45"/>
        <v>0</v>
      </c>
      <c r="AY23" s="136">
        <f t="shared" si="46"/>
        <v>0</v>
      </c>
      <c r="AZ23" s="136">
        <f t="shared" si="47"/>
        <v>0</v>
      </c>
      <c r="BA23" s="136">
        <f t="shared" si="48"/>
        <v>0</v>
      </c>
      <c r="BB23" s="136">
        <f t="shared" si="49"/>
        <v>0</v>
      </c>
      <c r="BC23" s="136">
        <f t="shared" si="50"/>
        <v>0</v>
      </c>
      <c r="BD23" s="136">
        <f t="shared" si="51"/>
        <v>0</v>
      </c>
      <c r="BE23" s="136">
        <f t="shared" si="52"/>
        <v>0</v>
      </c>
      <c r="BF23" s="136">
        <f t="shared" si="53"/>
        <v>0</v>
      </c>
      <c r="BG23" s="136">
        <f t="shared" si="54"/>
        <v>0</v>
      </c>
      <c r="BH23" s="136">
        <f t="shared" si="55"/>
        <v>0</v>
      </c>
      <c r="BI23" s="136">
        <f t="shared" si="56"/>
        <v>0</v>
      </c>
      <c r="BJ23" s="136">
        <f t="shared" si="57"/>
        <v>0</v>
      </c>
      <c r="BK23" s="136">
        <f t="shared" si="58"/>
        <v>0</v>
      </c>
      <c r="BL23" s="136">
        <f t="shared" si="59"/>
        <v>0</v>
      </c>
      <c r="BM23" s="136">
        <f t="shared" si="60"/>
        <v>0</v>
      </c>
      <c r="BN23" s="136">
        <f t="shared" si="61"/>
        <v>0</v>
      </c>
      <c r="BO23" s="136">
        <f t="shared" si="62"/>
        <v>0</v>
      </c>
      <c r="BP23" s="136">
        <f t="shared" si="63"/>
        <v>0</v>
      </c>
      <c r="BQ23" s="136">
        <f t="shared" si="64"/>
        <v>0</v>
      </c>
      <c r="BR23" s="136">
        <f t="shared" si="65"/>
        <v>0</v>
      </c>
      <c r="BS23" s="136">
        <f t="shared" si="66"/>
        <v>0</v>
      </c>
      <c r="BT23" s="136">
        <f t="shared" si="67"/>
        <v>0</v>
      </c>
      <c r="BU23" s="136">
        <f t="shared" si="68"/>
        <v>0</v>
      </c>
      <c r="BV23" s="136">
        <f t="shared" si="69"/>
        <v>0</v>
      </c>
      <c r="BW23" s="136">
        <f t="shared" si="70"/>
        <v>0</v>
      </c>
      <c r="BX23" s="136">
        <f t="shared" si="71"/>
        <v>0</v>
      </c>
      <c r="BY23" s="136">
        <f t="shared" si="72"/>
        <v>0</v>
      </c>
      <c r="BZ23" s="136">
        <f t="shared" si="73"/>
        <v>0</v>
      </c>
      <c r="CA23" s="136">
        <f t="shared" si="74"/>
        <v>0</v>
      </c>
      <c r="CB23" s="136">
        <f t="shared" si="75"/>
        <v>0</v>
      </c>
      <c r="CC23" s="136">
        <f t="shared" si="76"/>
        <v>0</v>
      </c>
      <c r="CD23" s="136">
        <f t="shared" si="77"/>
        <v>0</v>
      </c>
      <c r="CE23" s="136">
        <f t="shared" si="78"/>
        <v>0</v>
      </c>
      <c r="CF23" s="136">
        <f t="shared" si="79"/>
        <v>0</v>
      </c>
      <c r="CG23" s="136">
        <f t="shared" si="80"/>
        <v>0</v>
      </c>
      <c r="CH23" s="136">
        <f t="shared" si="81"/>
        <v>0</v>
      </c>
      <c r="CI23" s="136">
        <f t="shared" si="82"/>
        <v>0</v>
      </c>
      <c r="CJ23" s="136">
        <f t="shared" si="83"/>
        <v>0</v>
      </c>
      <c r="CK23" s="136">
        <f t="shared" si="84"/>
        <v>0</v>
      </c>
      <c r="CL23" s="136">
        <f t="shared" si="85"/>
        <v>0</v>
      </c>
      <c r="CM23" s="136">
        <f t="shared" si="86"/>
        <v>0</v>
      </c>
      <c r="CN23" s="136">
        <f t="shared" si="87"/>
        <v>0</v>
      </c>
      <c r="CO23" s="136">
        <f t="shared" si="88"/>
        <v>0</v>
      </c>
      <c r="CP23" s="136">
        <f t="shared" si="89"/>
        <v>0</v>
      </c>
      <c r="CQ23" s="136">
        <f t="shared" si="90"/>
        <v>0</v>
      </c>
      <c r="CR23" s="136">
        <f t="shared" si="91"/>
        <v>0</v>
      </c>
      <c r="CS23" s="136">
        <f t="shared" si="92"/>
        <v>0</v>
      </c>
      <c r="CT23" s="136">
        <f t="shared" si="93"/>
        <v>0</v>
      </c>
      <c r="CU23" s="136">
        <f t="shared" si="94"/>
        <v>0</v>
      </c>
      <c r="CV23" s="136">
        <f t="shared" si="95"/>
        <v>0</v>
      </c>
      <c r="CW23" s="136">
        <f t="shared" si="96"/>
        <v>0</v>
      </c>
      <c r="CX23" s="136">
        <f t="shared" si="97"/>
        <v>0</v>
      </c>
      <c r="CY23" s="136">
        <f t="shared" si="98"/>
        <v>0</v>
      </c>
      <c r="CZ23" s="136">
        <f t="shared" si="99"/>
        <v>0</v>
      </c>
      <c r="DA23" s="136">
        <f t="shared" si="100"/>
        <v>0</v>
      </c>
      <c r="DB23" s="136">
        <f t="shared" si="101"/>
        <v>0</v>
      </c>
      <c r="DC23" s="136">
        <f t="shared" si="102"/>
        <v>0</v>
      </c>
      <c r="DD23" s="136">
        <f t="shared" si="103"/>
        <v>0</v>
      </c>
      <c r="DE23" s="136">
        <f t="shared" si="104"/>
        <v>0</v>
      </c>
      <c r="DF23" s="136">
        <f t="shared" si="105"/>
        <v>0</v>
      </c>
      <c r="DG23" s="136">
        <f t="shared" si="106"/>
        <v>0</v>
      </c>
      <c r="DH23" s="136">
        <f t="shared" si="107"/>
        <v>0</v>
      </c>
      <c r="DI23" s="136">
        <f t="shared" si="108"/>
        <v>0</v>
      </c>
      <c r="DJ23" s="136">
        <f t="shared" si="109"/>
        <v>0</v>
      </c>
      <c r="DK23" s="136">
        <f t="shared" si="110"/>
        <v>0</v>
      </c>
      <c r="DL23" s="136">
        <f t="shared" si="111"/>
        <v>0</v>
      </c>
      <c r="DM23" s="136">
        <f t="shared" si="112"/>
        <v>0</v>
      </c>
      <c r="DN23" s="136">
        <f t="shared" si="113"/>
        <v>0</v>
      </c>
      <c r="DO23" s="136">
        <f t="shared" si="114"/>
        <v>0</v>
      </c>
      <c r="DP23" s="136">
        <f t="shared" si="115"/>
        <v>0</v>
      </c>
      <c r="DQ23" s="136">
        <f t="shared" si="116"/>
        <v>0</v>
      </c>
      <c r="DR23" s="136">
        <f t="shared" si="117"/>
        <v>0</v>
      </c>
      <c r="DS23" s="136">
        <f t="shared" si="118"/>
        <v>0</v>
      </c>
      <c r="DT23" s="136">
        <f t="shared" si="119"/>
        <v>0</v>
      </c>
      <c r="DU23" s="136">
        <f t="shared" si="120"/>
        <v>0</v>
      </c>
      <c r="DV23" s="136">
        <f t="shared" si="121"/>
        <v>0</v>
      </c>
      <c r="DW23" s="136">
        <f t="shared" si="122"/>
        <v>0</v>
      </c>
      <c r="DX23" s="136">
        <f t="shared" si="123"/>
        <v>0</v>
      </c>
      <c r="DY23" s="136">
        <f t="shared" si="124"/>
        <v>0</v>
      </c>
      <c r="DZ23" s="136">
        <f t="shared" si="125"/>
        <v>0</v>
      </c>
      <c r="EA23" s="136">
        <f t="shared" si="126"/>
        <v>0</v>
      </c>
      <c r="EB23" s="136">
        <f t="shared" si="127"/>
        <v>0</v>
      </c>
      <c r="EC23" s="136">
        <f t="shared" si="128"/>
        <v>0</v>
      </c>
      <c r="ED23" s="136">
        <f t="shared" si="129"/>
        <v>0</v>
      </c>
      <c r="EE23" s="136">
        <f t="shared" si="130"/>
        <v>0</v>
      </c>
      <c r="EF23" s="136">
        <f t="shared" si="131"/>
        <v>0</v>
      </c>
      <c r="EG23" s="136">
        <f t="shared" si="132"/>
        <v>0</v>
      </c>
      <c r="EH23" s="136">
        <f t="shared" si="133"/>
        <v>0</v>
      </c>
      <c r="EI23" s="136">
        <f t="shared" si="134"/>
        <v>0</v>
      </c>
      <c r="EJ23" s="136">
        <f t="shared" si="135"/>
        <v>0</v>
      </c>
      <c r="EK23" s="136">
        <f t="shared" si="136"/>
        <v>0</v>
      </c>
      <c r="EL23" s="136">
        <f t="shared" si="137"/>
        <v>0</v>
      </c>
      <c r="EM23" s="136">
        <f t="shared" si="138"/>
        <v>0</v>
      </c>
      <c r="EN23" s="136">
        <f t="shared" si="139"/>
        <v>0</v>
      </c>
      <c r="EO23" s="136">
        <f t="shared" si="140"/>
        <v>0</v>
      </c>
      <c r="EP23" s="136">
        <f t="shared" si="141"/>
        <v>0</v>
      </c>
      <c r="EQ23" s="136">
        <f t="shared" si="142"/>
        <v>0</v>
      </c>
      <c r="ER23" s="136">
        <f t="shared" si="143"/>
        <v>0</v>
      </c>
      <c r="ES23" s="136">
        <f t="shared" si="144"/>
        <v>0</v>
      </c>
      <c r="ET23" s="136">
        <f t="shared" si="145"/>
        <v>0</v>
      </c>
      <c r="EU23" s="136">
        <f t="shared" si="146"/>
        <v>0</v>
      </c>
      <c r="EV23" s="136">
        <f t="shared" si="147"/>
        <v>0</v>
      </c>
      <c r="EW23" s="136">
        <f t="shared" si="148"/>
        <v>0</v>
      </c>
      <c r="EX23" s="136">
        <f t="shared" si="149"/>
        <v>0</v>
      </c>
      <c r="EY23" s="136">
        <f t="shared" si="150"/>
        <v>0</v>
      </c>
      <c r="EZ23" s="136">
        <f t="shared" si="151"/>
        <v>0</v>
      </c>
      <c r="FA23" s="136">
        <f t="shared" si="152"/>
        <v>0</v>
      </c>
      <c r="FB23" s="136">
        <f t="shared" si="153"/>
        <v>0</v>
      </c>
      <c r="FC23" s="136">
        <f t="shared" si="154"/>
        <v>0</v>
      </c>
      <c r="FD23" s="136">
        <f t="shared" si="155"/>
        <v>0</v>
      </c>
      <c r="FE23" s="136">
        <f t="shared" si="156"/>
        <v>0</v>
      </c>
      <c r="FF23" s="136">
        <f t="shared" si="157"/>
        <v>0</v>
      </c>
      <c r="FG23" s="136">
        <f t="shared" si="158"/>
        <v>0</v>
      </c>
      <c r="FH23" s="136">
        <f t="shared" si="159"/>
        <v>0</v>
      </c>
      <c r="FI23" s="136">
        <f t="shared" si="160"/>
        <v>0</v>
      </c>
      <c r="FJ23" s="136">
        <f t="shared" si="161"/>
        <v>0</v>
      </c>
      <c r="FK23" s="136">
        <f t="shared" si="162"/>
        <v>0</v>
      </c>
      <c r="FL23" s="136">
        <f t="shared" si="163"/>
        <v>0</v>
      </c>
      <c r="FM23" s="136">
        <f t="shared" si="164"/>
        <v>0</v>
      </c>
      <c r="FN23" s="136">
        <f t="shared" si="165"/>
        <v>0</v>
      </c>
      <c r="FO23" s="136">
        <f t="shared" si="166"/>
        <v>0</v>
      </c>
      <c r="FP23" s="136">
        <f t="shared" si="167"/>
        <v>0</v>
      </c>
      <c r="FQ23" s="136">
        <f t="shared" si="168"/>
        <v>0</v>
      </c>
      <c r="FR23" s="136">
        <f t="shared" si="169"/>
        <v>0</v>
      </c>
      <c r="FS23" s="136">
        <f t="shared" si="170"/>
        <v>0</v>
      </c>
      <c r="FT23" s="136">
        <f t="shared" si="171"/>
        <v>0</v>
      </c>
      <c r="FU23" s="136">
        <f t="shared" si="172"/>
        <v>0</v>
      </c>
      <c r="FV23" s="136">
        <f t="shared" si="173"/>
        <v>0</v>
      </c>
      <c r="FW23" s="136">
        <f t="shared" si="174"/>
        <v>0</v>
      </c>
      <c r="FX23" s="136">
        <f t="shared" si="175"/>
        <v>0</v>
      </c>
      <c r="FY23" s="136">
        <f t="shared" si="176"/>
        <v>0</v>
      </c>
      <c r="FZ23" s="136">
        <f t="shared" si="177"/>
        <v>0</v>
      </c>
      <c r="GA23" s="136">
        <f t="shared" si="178"/>
        <v>0</v>
      </c>
      <c r="GB23" s="136">
        <f t="shared" si="179"/>
        <v>0</v>
      </c>
      <c r="GC23" s="136">
        <f t="shared" si="180"/>
        <v>0</v>
      </c>
      <c r="GD23" s="136">
        <f t="shared" si="181"/>
        <v>0</v>
      </c>
      <c r="GE23" s="136">
        <f t="shared" si="182"/>
        <v>0</v>
      </c>
      <c r="GF23" s="136">
        <f t="shared" si="183"/>
        <v>0</v>
      </c>
      <c r="GG23" s="136">
        <f t="shared" si="184"/>
        <v>0</v>
      </c>
      <c r="GH23" s="136">
        <f t="shared" si="185"/>
        <v>0</v>
      </c>
      <c r="GI23" s="136">
        <f t="shared" si="186"/>
        <v>0</v>
      </c>
      <c r="GJ23" s="136">
        <f t="shared" si="187"/>
        <v>0</v>
      </c>
      <c r="GK23" s="136">
        <f t="shared" si="188"/>
        <v>0</v>
      </c>
      <c r="GL23" s="136">
        <f t="shared" si="189"/>
        <v>0</v>
      </c>
      <c r="GM23" s="136">
        <f t="shared" si="190"/>
        <v>0</v>
      </c>
      <c r="GN23" s="136">
        <f t="shared" si="191"/>
        <v>0</v>
      </c>
      <c r="GO23" s="136">
        <f t="shared" si="192"/>
        <v>0</v>
      </c>
      <c r="GP23" s="136">
        <f t="shared" si="193"/>
        <v>0</v>
      </c>
      <c r="GQ23" s="136">
        <f t="shared" si="194"/>
        <v>0</v>
      </c>
      <c r="GR23" s="136">
        <f t="shared" si="195"/>
        <v>0</v>
      </c>
      <c r="GS23" s="136">
        <f t="shared" si="196"/>
        <v>0</v>
      </c>
      <c r="GT23" s="136">
        <f t="shared" si="197"/>
        <v>0</v>
      </c>
      <c r="GU23" s="136">
        <f t="shared" si="198"/>
        <v>0</v>
      </c>
      <c r="GV23" s="136">
        <f t="shared" si="199"/>
        <v>0</v>
      </c>
      <c r="GW23" s="136">
        <f t="shared" si="200"/>
        <v>0</v>
      </c>
      <c r="GX23" s="136">
        <f t="shared" si="201"/>
        <v>0</v>
      </c>
      <c r="GY23" s="136">
        <f t="shared" si="202"/>
        <v>0</v>
      </c>
      <c r="GZ23" s="136">
        <f t="shared" si="203"/>
        <v>0</v>
      </c>
      <c r="HA23" s="136">
        <f t="shared" si="204"/>
        <v>0</v>
      </c>
      <c r="HB23" s="136">
        <f t="shared" si="205"/>
        <v>0</v>
      </c>
      <c r="HC23" s="136">
        <f t="shared" si="206"/>
        <v>0</v>
      </c>
      <c r="HD23" s="136">
        <f t="shared" si="207"/>
        <v>0</v>
      </c>
      <c r="HE23" s="136">
        <f t="shared" si="208"/>
        <v>0</v>
      </c>
      <c r="HF23" s="136">
        <f t="shared" si="209"/>
        <v>0</v>
      </c>
      <c r="HG23" s="136">
        <f t="shared" si="210"/>
        <v>0</v>
      </c>
      <c r="HH23" s="136">
        <f t="shared" si="211"/>
        <v>0</v>
      </c>
      <c r="HI23" s="136">
        <f t="shared" si="212"/>
        <v>0</v>
      </c>
      <c r="HJ23" s="136">
        <f t="shared" si="213"/>
        <v>0</v>
      </c>
      <c r="HK23" s="136">
        <f t="shared" si="214"/>
        <v>0</v>
      </c>
      <c r="HL23" s="136">
        <f t="shared" si="215"/>
        <v>0</v>
      </c>
      <c r="HM23" s="136">
        <f t="shared" si="216"/>
        <v>0</v>
      </c>
      <c r="HN23" s="136">
        <f t="shared" si="217"/>
        <v>0</v>
      </c>
      <c r="HO23" s="136">
        <f t="shared" si="218"/>
        <v>0</v>
      </c>
      <c r="HP23" s="136">
        <f t="shared" si="219"/>
        <v>0</v>
      </c>
      <c r="HQ23" s="136">
        <f t="shared" si="220"/>
        <v>0</v>
      </c>
      <c r="HR23" s="136">
        <f t="shared" si="221"/>
        <v>0</v>
      </c>
      <c r="HS23" s="136">
        <f t="shared" si="222"/>
        <v>0</v>
      </c>
      <c r="HT23" s="136">
        <f t="shared" si="223"/>
        <v>0</v>
      </c>
      <c r="HU23" s="136">
        <f t="shared" si="224"/>
        <v>0</v>
      </c>
      <c r="HV23" s="136">
        <f t="shared" si="225"/>
        <v>0</v>
      </c>
      <c r="HW23" s="136">
        <f t="shared" si="226"/>
        <v>0</v>
      </c>
      <c r="HX23" s="136">
        <f t="shared" si="227"/>
        <v>0</v>
      </c>
      <c r="HY23" s="136">
        <f t="shared" ca="1" si="228"/>
        <v>0</v>
      </c>
      <c r="HZ23" s="136">
        <f t="shared" ca="1" si="229"/>
        <v>0</v>
      </c>
      <c r="IA23" s="136">
        <f t="shared" ca="1" si="230"/>
        <v>0</v>
      </c>
      <c r="IB23" s="136">
        <f t="shared" ca="1" si="231"/>
        <v>0</v>
      </c>
      <c r="IC23" s="136">
        <f t="shared" ca="1" si="232"/>
        <v>0</v>
      </c>
      <c r="ID23" s="136">
        <f t="shared" ca="1" si="233"/>
        <v>0</v>
      </c>
      <c r="IE23" s="136">
        <f t="shared" ca="1" si="234"/>
        <v>0</v>
      </c>
      <c r="IF23" s="136">
        <f t="shared" ca="1" si="235"/>
        <v>0</v>
      </c>
      <c r="IG23" s="136">
        <f t="shared" ca="1" si="236"/>
        <v>0</v>
      </c>
      <c r="IH23" s="136">
        <f t="shared" ca="1" si="237"/>
        <v>0</v>
      </c>
      <c r="II23" s="136">
        <f t="shared" ca="1" si="238"/>
        <v>0</v>
      </c>
      <c r="IJ23" s="137">
        <f t="shared" ca="1" si="239"/>
        <v>0</v>
      </c>
      <c r="IK23" s="132">
        <f t="shared" ca="1" si="240"/>
        <v>0</v>
      </c>
    </row>
    <row r="24" spans="1:245" ht="14.65" thickTop="1" x14ac:dyDescent="0.45">
      <c r="A24" s="67" t="s">
        <v>442</v>
      </c>
      <c r="B24" s="112"/>
      <c r="C24" s="138">
        <f ca="1">SUM(C4:C23)</f>
        <v>904076972</v>
      </c>
      <c r="D24" s="138">
        <f ca="1">SUM(D4:D23)</f>
        <v>131569762</v>
      </c>
      <c r="E24" s="131">
        <f>SUM(E4:E23)</f>
        <v>0</v>
      </c>
      <c r="F24" s="129">
        <f t="shared" ref="F24:BQ24" si="241">SUM(F4:F23)</f>
        <v>0</v>
      </c>
      <c r="G24" s="129">
        <f t="shared" si="241"/>
        <v>0</v>
      </c>
      <c r="H24" s="129">
        <f t="shared" si="241"/>
        <v>0</v>
      </c>
      <c r="I24" s="129">
        <f t="shared" si="241"/>
        <v>0</v>
      </c>
      <c r="J24" s="129">
        <f t="shared" si="241"/>
        <v>0</v>
      </c>
      <c r="K24" s="129">
        <f t="shared" si="241"/>
        <v>0</v>
      </c>
      <c r="L24" s="129">
        <f t="shared" si="241"/>
        <v>0</v>
      </c>
      <c r="M24" s="129">
        <f t="shared" si="241"/>
        <v>0</v>
      </c>
      <c r="N24" s="129">
        <f t="shared" si="241"/>
        <v>0</v>
      </c>
      <c r="O24" s="129">
        <f t="shared" si="241"/>
        <v>0</v>
      </c>
      <c r="P24" s="129">
        <f t="shared" si="241"/>
        <v>0</v>
      </c>
      <c r="Q24" s="129">
        <f t="shared" ca="1" si="241"/>
        <v>5022649.8777777776</v>
      </c>
      <c r="R24" s="129">
        <f t="shared" ca="1" si="241"/>
        <v>4966842.6561728399</v>
      </c>
      <c r="S24" s="129">
        <f t="shared" ca="1" si="241"/>
        <v>4911655.5148326475</v>
      </c>
      <c r="T24" s="129">
        <f t="shared" ca="1" si="241"/>
        <v>4857081.5639756601</v>
      </c>
      <c r="U24" s="129">
        <f t="shared" ca="1" si="241"/>
        <v>4803113.9903734876</v>
      </c>
      <c r="V24" s="129">
        <f t="shared" ca="1" si="241"/>
        <v>4749746.056500311</v>
      </c>
      <c r="W24" s="129">
        <f t="shared" ca="1" si="241"/>
        <v>4696971.0996917291</v>
      </c>
      <c r="X24" s="129">
        <f t="shared" ca="1" si="241"/>
        <v>4644782.5313129742</v>
      </c>
      <c r="Y24" s="129">
        <f t="shared" ca="1" si="241"/>
        <v>4593173.8359363507</v>
      </c>
      <c r="Z24" s="129">
        <f t="shared" ca="1" si="241"/>
        <v>4542138.570527833</v>
      </c>
      <c r="AA24" s="129">
        <f t="shared" ca="1" si="241"/>
        <v>4491670.3636426795</v>
      </c>
      <c r="AB24" s="129">
        <f t="shared" ca="1" si="241"/>
        <v>4441762.9146300042</v>
      </c>
      <c r="AC24" s="129">
        <f t="shared" ca="1" si="241"/>
        <v>9415059.8706239499</v>
      </c>
      <c r="AD24" s="129">
        <f t="shared" ca="1" si="241"/>
        <v>9310448.0930497851</v>
      </c>
      <c r="AE24" s="129">
        <f t="shared" ca="1" si="241"/>
        <v>9206998.6686009057</v>
      </c>
      <c r="AF24" s="129">
        <f t="shared" ca="1" si="241"/>
        <v>9104698.68224122</v>
      </c>
      <c r="AG24" s="129">
        <f t="shared" ca="1" si="241"/>
        <v>9003535.3624350727</v>
      </c>
      <c r="AH24" s="129">
        <f t="shared" ca="1" si="241"/>
        <v>8903496.0795528125</v>
      </c>
      <c r="AI24" s="129">
        <f t="shared" ca="1" si="241"/>
        <v>8804568.3442940488</v>
      </c>
      <c r="AJ24" s="129">
        <f t="shared" ca="1" si="241"/>
        <v>8706739.806128433</v>
      </c>
      <c r="AK24" s="129">
        <f t="shared" ca="1" si="241"/>
        <v>8609998.2517537717</v>
      </c>
      <c r="AL24" s="129">
        <f t="shared" ca="1" si="241"/>
        <v>8514331.6035712715</v>
      </c>
      <c r="AM24" s="129">
        <f t="shared" ca="1" si="241"/>
        <v>8419727.9181777127</v>
      </c>
      <c r="AN24" s="129">
        <f t="shared" ca="1" si="241"/>
        <v>8326175.3848743979</v>
      </c>
      <c r="AO24" s="129">
        <f t="shared" ca="1" si="241"/>
        <v>8233662.324192645</v>
      </c>
      <c r="AP24" s="129">
        <f t="shared" ca="1" si="241"/>
        <v>8142177.1864356846</v>
      </c>
      <c r="AQ24" s="129">
        <f t="shared" ca="1" si="241"/>
        <v>8051708.5502367383</v>
      </c>
      <c r="AR24" s="129">
        <f t="shared" ca="1" si="241"/>
        <v>7962245.1211331403</v>
      </c>
      <c r="AS24" s="129">
        <f t="shared" ca="1" si="241"/>
        <v>7873775.730156282</v>
      </c>
      <c r="AT24" s="129">
        <f t="shared" ca="1" si="241"/>
        <v>7786289.332437234</v>
      </c>
      <c r="AU24" s="129">
        <f t="shared" ca="1" si="241"/>
        <v>7699775.0058278637</v>
      </c>
      <c r="AV24" s="129">
        <f t="shared" ca="1" si="241"/>
        <v>7614221.9499391131</v>
      </c>
      <c r="AW24" s="129">
        <f t="shared" ca="1" si="241"/>
        <v>7529619.4835736491</v>
      </c>
      <c r="AX24" s="129">
        <f t="shared" ca="1" si="241"/>
        <v>7445957.0446252124</v>
      </c>
      <c r="AY24" s="129">
        <f t="shared" ca="1" si="241"/>
        <v>7363224.1883442923</v>
      </c>
      <c r="AZ24" s="129">
        <f t="shared" ca="1" si="241"/>
        <v>7281410.5860341648</v>
      </c>
      <c r="BA24" s="129">
        <f t="shared" ca="1" si="241"/>
        <v>7200506.0237614177</v>
      </c>
      <c r="BB24" s="129">
        <f t="shared" ca="1" si="241"/>
        <v>7120500.4010808002</v>
      </c>
      <c r="BC24" s="129">
        <f t="shared" ca="1" si="241"/>
        <v>7041383.7297742441</v>
      </c>
      <c r="BD24" s="129">
        <f t="shared" ca="1" si="241"/>
        <v>6963146.1326038968</v>
      </c>
      <c r="BE24" s="129">
        <f t="shared" ca="1" si="241"/>
        <v>6885777.8420790043</v>
      </c>
      <c r="BF24" s="129">
        <f t="shared" ca="1" si="241"/>
        <v>6809269.1992364945</v>
      </c>
      <c r="BG24" s="129">
        <f t="shared" ca="1" si="241"/>
        <v>6733610.6524351258</v>
      </c>
      <c r="BH24" s="129">
        <f t="shared" ca="1" si="241"/>
        <v>6658792.7565648537</v>
      </c>
      <c r="BI24" s="129">
        <f t="shared" ca="1" si="241"/>
        <v>6584806.1706486978</v>
      </c>
      <c r="BJ24" s="129">
        <f t="shared" ca="1" si="241"/>
        <v>6511641.6579093877</v>
      </c>
      <c r="BK24" s="129">
        <f t="shared" ca="1" si="241"/>
        <v>6439290.0842005145</v>
      </c>
      <c r="BL24" s="129">
        <f t="shared" ca="1" si="241"/>
        <v>6367742.4168661833</v>
      </c>
      <c r="BM24" s="129">
        <f t="shared" ca="1" si="241"/>
        <v>6296989.723613346</v>
      </c>
      <c r="BN24" s="129">
        <f t="shared" ca="1" si="241"/>
        <v>6227023.1713966504</v>
      </c>
      <c r="BO24" s="129">
        <f t="shared" ca="1" si="241"/>
        <v>6157834.0253156964</v>
      </c>
      <c r="BP24" s="129">
        <f t="shared" ca="1" si="241"/>
        <v>6089413.6475245301</v>
      </c>
      <c r="BQ24" s="129">
        <f t="shared" ca="1" si="241"/>
        <v>6021753.4961532671</v>
      </c>
      <c r="BR24" s="129">
        <f t="shared" ref="BR24:EC24" ca="1" si="242">SUM(BR4:BR23)</f>
        <v>5954845.1242416836</v>
      </c>
      <c r="BS24" s="129">
        <f t="shared" ca="1" si="242"/>
        <v>5888680.1786846742</v>
      </c>
      <c r="BT24" s="129">
        <f t="shared" ca="1" si="242"/>
        <v>5823250.3991894079</v>
      </c>
      <c r="BU24" s="129">
        <f t="shared" ca="1" si="242"/>
        <v>5758547.617244089</v>
      </c>
      <c r="BV24" s="129">
        <f t="shared" ca="1" si="242"/>
        <v>5694563.7550981641</v>
      </c>
      <c r="BW24" s="129">
        <f t="shared" ca="1" si="242"/>
        <v>5631290.82475386</v>
      </c>
      <c r="BX24" s="129">
        <f t="shared" ca="1" si="242"/>
        <v>5568720.9269689368</v>
      </c>
      <c r="BY24" s="129">
        <f t="shared" ca="1" si="242"/>
        <v>6173512.9048817959</v>
      </c>
      <c r="BZ24" s="129">
        <f t="shared" ca="1" si="242"/>
        <v>6090103.5023689084</v>
      </c>
      <c r="CA24" s="129">
        <f t="shared" ca="1" si="242"/>
        <v>6008114.6981555484</v>
      </c>
      <c r="CB24" s="129">
        <f t="shared" ca="1" si="242"/>
        <v>5927514.2469108151</v>
      </c>
      <c r="CC24" s="129">
        <f t="shared" ca="1" si="242"/>
        <v>5848270.8102821046</v>
      </c>
      <c r="CD24" s="129">
        <f t="shared" ca="1" si="242"/>
        <v>5770353.9285276886</v>
      </c>
      <c r="CE24" s="129">
        <f t="shared" ca="1" si="242"/>
        <v>5693733.9930741247</v>
      </c>
      <c r="CF24" s="129">
        <f t="shared" ca="1" si="242"/>
        <v>5618382.219967952</v>
      </c>
      <c r="CG24" s="129">
        <f t="shared" ca="1" si="242"/>
        <v>5544270.6241920479</v>
      </c>
      <c r="CH24" s="129">
        <f t="shared" ca="1" si="242"/>
        <v>5471371.9948180653</v>
      </c>
      <c r="CI24" s="129">
        <f t="shared" ca="1" si="242"/>
        <v>5399659.870967323</v>
      </c>
      <c r="CJ24" s="129">
        <f t="shared" ca="1" si="242"/>
        <v>5329108.5185533669</v>
      </c>
      <c r="CK24" s="129">
        <f t="shared" ca="1" si="242"/>
        <v>5259692.8957250509</v>
      </c>
      <c r="CL24" s="129">
        <f t="shared" ca="1" si="242"/>
        <v>5191388.6793173961</v>
      </c>
      <c r="CM24" s="129">
        <f t="shared" ca="1" si="242"/>
        <v>5124172.1714553712</v>
      </c>
      <c r="CN24" s="129">
        <f t="shared" ca="1" si="242"/>
        <v>5058020.3273948729</v>
      </c>
      <c r="CO24" s="129">
        <f t="shared" ca="1" si="242"/>
        <v>4992910.7237476362</v>
      </c>
      <c r="CP24" s="129">
        <f t="shared" ca="1" si="242"/>
        <v>4928821.5394005002</v>
      </c>
      <c r="CQ24" s="129">
        <f t="shared" ca="1" si="242"/>
        <v>4865731.5370525885</v>
      </c>
      <c r="CR24" s="129">
        <f t="shared" ca="1" si="242"/>
        <v>4803620.0453499928</v>
      </c>
      <c r="CS24" s="129">
        <f t="shared" ca="1" si="242"/>
        <v>4742466.9415982338</v>
      </c>
      <c r="CT24" s="129">
        <f t="shared" ca="1" si="242"/>
        <v>4682252.6350334594</v>
      </c>
      <c r="CU24" s="129">
        <f t="shared" ca="1" si="242"/>
        <v>4622958.0506339362</v>
      </c>
      <c r="CV24" s="129">
        <f t="shared" ca="1" si="242"/>
        <v>4564564.6134540085</v>
      </c>
      <c r="CW24" s="129">
        <f t="shared" ca="1" si="242"/>
        <v>4507054.2334633237</v>
      </c>
      <c r="CX24" s="129">
        <f t="shared" ca="1" si="242"/>
        <v>4450409.2908746488</v>
      </c>
      <c r="CY24" s="129">
        <f t="shared" ca="1" si="242"/>
        <v>4394612.6219441891</v>
      </c>
      <c r="CZ24" s="129">
        <f t="shared" ca="1" si="242"/>
        <v>4339647.5052288333</v>
      </c>
      <c r="DA24" s="129">
        <f t="shared" ca="1" si="242"/>
        <v>4285497.6482852912</v>
      </c>
      <c r="DB24" s="129">
        <f t="shared" ca="1" si="242"/>
        <v>4232147.1747965626</v>
      </c>
      <c r="DC24" s="129">
        <f t="shared" ca="1" si="242"/>
        <v>4179580.6121116718</v>
      </c>
      <c r="DD24" s="129">
        <f t="shared" ca="1" si="242"/>
        <v>4156235.542415767</v>
      </c>
      <c r="DE24" s="129">
        <f t="shared" ca="1" si="242"/>
        <v>4133149.8623831505</v>
      </c>
      <c r="DF24" s="129">
        <f t="shared" ca="1" si="242"/>
        <v>4110320.6899064514</v>
      </c>
      <c r="DG24" s="129">
        <f t="shared" ca="1" si="242"/>
        <v>4087745.1749017159</v>
      </c>
      <c r="DH24" s="129">
        <f t="shared" ca="1" si="242"/>
        <v>4065420.4989525885</v>
      </c>
      <c r="DI24" s="129">
        <f t="shared" ca="1" si="242"/>
        <v>4043343.8749584514</v>
      </c>
      <c r="DJ24" s="129">
        <f t="shared" ca="1" si="242"/>
        <v>4021512.5467864713</v>
      </c>
      <c r="DK24" s="129">
        <f t="shared" ca="1" si="242"/>
        <v>3999923.7889275132</v>
      </c>
      <c r="DL24" s="129">
        <f t="shared" ca="1" si="242"/>
        <v>3978574.9061558768</v>
      </c>
      <c r="DM24" s="129">
        <f t="shared" ca="1" si="242"/>
        <v>3957463.233192814</v>
      </c>
      <c r="DN24" s="129">
        <f t="shared" ca="1" si="242"/>
        <v>3936586.1343737855</v>
      </c>
      <c r="DO24" s="129">
        <f t="shared" ca="1" si="242"/>
        <v>3915941.0033194125</v>
      </c>
      <c r="DP24" s="129">
        <f t="shared" ca="1" si="242"/>
        <v>3915941.0033194129</v>
      </c>
      <c r="DQ24" s="129">
        <f t="shared" ca="1" si="242"/>
        <v>3915941.0033194129</v>
      </c>
      <c r="DR24" s="129">
        <f t="shared" ca="1" si="242"/>
        <v>3915941.0033194129</v>
      </c>
      <c r="DS24" s="129">
        <f t="shared" ca="1" si="242"/>
        <v>3915941.0033194129</v>
      </c>
      <c r="DT24" s="129">
        <f t="shared" ca="1" si="242"/>
        <v>3915941.0033194129</v>
      </c>
      <c r="DU24" s="129">
        <f t="shared" ca="1" si="242"/>
        <v>3915941.0033194129</v>
      </c>
      <c r="DV24" s="129">
        <f t="shared" ca="1" si="242"/>
        <v>3915941.0033194129</v>
      </c>
      <c r="DW24" s="129">
        <f t="shared" ca="1" si="242"/>
        <v>3915941.0033194129</v>
      </c>
      <c r="DX24" s="129">
        <f t="shared" ca="1" si="242"/>
        <v>3915941.0033194129</v>
      </c>
      <c r="DY24" s="129">
        <f t="shared" ca="1" si="242"/>
        <v>3915941.0033194129</v>
      </c>
      <c r="DZ24" s="129">
        <f t="shared" ca="1" si="242"/>
        <v>3915941.0033194129</v>
      </c>
      <c r="EA24" s="129">
        <f t="shared" ca="1" si="242"/>
        <v>3915941.0033194129</v>
      </c>
      <c r="EB24" s="129">
        <f t="shared" ca="1" si="242"/>
        <v>3915941.0033194129</v>
      </c>
      <c r="EC24" s="129">
        <f t="shared" ca="1" si="242"/>
        <v>3915941.0033194129</v>
      </c>
      <c r="ED24" s="129">
        <f t="shared" ref="ED24:GO24" ca="1" si="243">SUM(ED4:ED23)</f>
        <v>3915941.0033194129</v>
      </c>
      <c r="EE24" s="129">
        <f t="shared" ca="1" si="243"/>
        <v>3915941.0033194129</v>
      </c>
      <c r="EF24" s="129">
        <f t="shared" ca="1" si="243"/>
        <v>3915941.0033194129</v>
      </c>
      <c r="EG24" s="129">
        <f t="shared" ca="1" si="243"/>
        <v>4841499.9943450056</v>
      </c>
      <c r="EH24" s="129">
        <f t="shared" ca="1" si="243"/>
        <v>4802611.1054561166</v>
      </c>
      <c r="EI24" s="129">
        <f t="shared" ca="1" si="243"/>
        <v>4765018.5128635243</v>
      </c>
      <c r="EJ24" s="129">
        <f t="shared" ca="1" si="243"/>
        <v>4728679.0066906847</v>
      </c>
      <c r="EK24" s="129">
        <f t="shared" ca="1" si="243"/>
        <v>4693550.8173902733</v>
      </c>
      <c r="EL24" s="129">
        <f t="shared" ca="1" si="243"/>
        <v>4659593.5677332086</v>
      </c>
      <c r="EM24" s="129">
        <f t="shared" ca="1" si="243"/>
        <v>4626768.2263980471</v>
      </c>
      <c r="EN24" s="129">
        <f t="shared" ca="1" si="243"/>
        <v>4595037.06310739</v>
      </c>
      <c r="EO24" s="129">
        <f t="shared" ca="1" si="243"/>
        <v>4564363.6052597547</v>
      </c>
      <c r="EP24" s="129">
        <f t="shared" ca="1" si="243"/>
        <v>4534712.5960070407</v>
      </c>
      <c r="EQ24" s="129">
        <f t="shared" ca="1" si="243"/>
        <v>4506049.9537294172</v>
      </c>
      <c r="ER24" s="129">
        <f t="shared" ca="1" si="243"/>
        <v>4478342.7328610476</v>
      </c>
      <c r="ES24" s="129">
        <f t="shared" ca="1" si="243"/>
        <v>4951559.0860216245</v>
      </c>
      <c r="ET24" s="129">
        <f t="shared" ca="1" si="243"/>
        <v>4909001.5607435144</v>
      </c>
      <c r="EU24" s="129">
        <f t="shared" ca="1" si="243"/>
        <v>4867862.6196413422</v>
      </c>
      <c r="EV24" s="129">
        <f t="shared" ca="1" si="243"/>
        <v>4828094.9765759092</v>
      </c>
      <c r="EW24" s="129">
        <f t="shared" ca="1" si="243"/>
        <v>4789652.9216126567</v>
      </c>
      <c r="EX24" s="129">
        <f t="shared" ca="1" si="243"/>
        <v>4752492.2684815126</v>
      </c>
      <c r="EY24" s="129">
        <f t="shared" ca="1" si="243"/>
        <v>4716570.3037880743</v>
      </c>
      <c r="EZ24" s="129">
        <f t="shared" ca="1" si="243"/>
        <v>4681845.7379177492</v>
      </c>
      <c r="FA24" s="129">
        <f t="shared" ca="1" si="243"/>
        <v>4648278.6575764362</v>
      </c>
      <c r="FB24" s="129">
        <f t="shared" ca="1" si="243"/>
        <v>4615830.4799131658</v>
      </c>
      <c r="FC24" s="129">
        <f t="shared" ca="1" si="243"/>
        <v>4584463.9081720049</v>
      </c>
      <c r="FD24" s="129">
        <f t="shared" ca="1" si="243"/>
        <v>4554142.8888222156</v>
      </c>
      <c r="FE24" s="129">
        <f t="shared" ca="1" si="243"/>
        <v>4691499.2367840875</v>
      </c>
      <c r="FF24" s="129">
        <f t="shared" ca="1" si="243"/>
        <v>4657610.3731472287</v>
      </c>
      <c r="FG24" s="129">
        <f t="shared" ca="1" si="243"/>
        <v>4624851.1382982656</v>
      </c>
      <c r="FH24" s="129">
        <f t="shared" ca="1" si="243"/>
        <v>4593183.8779442683</v>
      </c>
      <c r="FI24" s="129">
        <f t="shared" ca="1" si="243"/>
        <v>4562572.1929354034</v>
      </c>
      <c r="FJ24" s="129">
        <f t="shared" ca="1" si="243"/>
        <v>4532980.8974268353</v>
      </c>
      <c r="FK24" s="129">
        <f t="shared" ca="1" si="243"/>
        <v>4504375.9784352183</v>
      </c>
      <c r="FL24" s="129">
        <f t="shared" ca="1" si="243"/>
        <v>4490789.1711557182</v>
      </c>
      <c r="FM24" s="129">
        <f t="shared" ca="1" si="243"/>
        <v>4477655.257452202</v>
      </c>
      <c r="FN24" s="129">
        <f t="shared" ca="1" si="243"/>
        <v>4464959.1408721358</v>
      </c>
      <c r="FO24" s="129">
        <f t="shared" ca="1" si="243"/>
        <v>4452686.2281780709</v>
      </c>
      <c r="FP24" s="129">
        <f t="shared" ca="1" si="243"/>
        <v>4440822.4125738097</v>
      </c>
      <c r="FQ24" s="129">
        <f t="shared" ca="1" si="243"/>
        <v>4762687.3908230225</v>
      </c>
      <c r="FR24" s="129">
        <f t="shared" ca="1" si="243"/>
        <v>4740490.2031305963</v>
      </c>
      <c r="FS24" s="129">
        <f t="shared" ca="1" si="243"/>
        <v>4719032.9216945842</v>
      </c>
      <c r="FT24" s="129">
        <f t="shared" ca="1" si="243"/>
        <v>4698290.8829731047</v>
      </c>
      <c r="FU24" s="129">
        <f t="shared" ca="1" si="243"/>
        <v>4678240.2455423418</v>
      </c>
      <c r="FV24" s="129">
        <f t="shared" ca="1" si="243"/>
        <v>4658857.9626926053</v>
      </c>
      <c r="FW24" s="129">
        <f t="shared" ca="1" si="243"/>
        <v>4640121.7559378585</v>
      </c>
      <c r="FX24" s="129">
        <f t="shared" ca="1" si="243"/>
        <v>4628037.7812992977</v>
      </c>
      <c r="FY24" s="129">
        <f t="shared" ca="1" si="243"/>
        <v>4616356.6058153557</v>
      </c>
      <c r="FZ24" s="129">
        <f t="shared" ca="1" si="243"/>
        <v>4605064.8028475437</v>
      </c>
      <c r="GA24" s="129">
        <f t="shared" ca="1" si="243"/>
        <v>4594149.3933119932</v>
      </c>
      <c r="GB24" s="129">
        <f t="shared" ca="1" si="243"/>
        <v>4583597.8307609605</v>
      </c>
      <c r="GC24" s="129">
        <f t="shared" ca="1" si="243"/>
        <v>4573397.9869616292</v>
      </c>
      <c r="GD24" s="129">
        <f t="shared" ca="1" si="243"/>
        <v>4563538.1379556097</v>
      </c>
      <c r="GE24" s="129">
        <f t="shared" ca="1" si="243"/>
        <v>4554006.9505831236</v>
      </c>
      <c r="GF24" s="129">
        <f t="shared" ca="1" si="243"/>
        <v>4544793.4694563868</v>
      </c>
      <c r="GG24" s="129">
        <f t="shared" ca="1" si="243"/>
        <v>4535887.1043672077</v>
      </c>
      <c r="GH24" s="129">
        <f t="shared" ca="1" si="243"/>
        <v>4527277.6181143345</v>
      </c>
      <c r="GI24" s="129">
        <f t="shared" ca="1" si="243"/>
        <v>4518955.1147365589</v>
      </c>
      <c r="GJ24" s="129">
        <f t="shared" ca="1" si="243"/>
        <v>4512919.2587683834</v>
      </c>
      <c r="GK24" s="129">
        <f t="shared" ca="1" si="243"/>
        <v>4507084.5979991462</v>
      </c>
      <c r="GL24" s="129">
        <f t="shared" ca="1" si="243"/>
        <v>4501444.4259222178</v>
      </c>
      <c r="GM24" s="129">
        <f t="shared" ca="1" si="243"/>
        <v>4495992.2595811877</v>
      </c>
      <c r="GN24" s="129">
        <f t="shared" ca="1" si="243"/>
        <v>4490721.8321181908</v>
      </c>
      <c r="GO24" s="129">
        <f t="shared" ca="1" si="243"/>
        <v>3778597.3226929121</v>
      </c>
      <c r="GP24" s="129">
        <f t="shared" ref="GP24:IJ24" ca="1" si="244">SUM(GP4:GP23)</f>
        <v>3721928.2232524892</v>
      </c>
      <c r="GQ24" s="129">
        <f t="shared" ca="1" si="244"/>
        <v>3667148.0937934145</v>
      </c>
      <c r="GR24" s="129">
        <f t="shared" ca="1" si="244"/>
        <v>3614193.9686496416</v>
      </c>
      <c r="GS24" s="129">
        <f t="shared" ca="1" si="244"/>
        <v>3563004.9810106624</v>
      </c>
      <c r="GT24" s="129">
        <f t="shared" ca="1" si="244"/>
        <v>3513522.2929596482</v>
      </c>
      <c r="GU24" s="129">
        <f t="shared" ca="1" si="244"/>
        <v>3465689.0278436681</v>
      </c>
      <c r="GV24" s="129">
        <f t="shared" ca="1" si="244"/>
        <v>3423468.6661589053</v>
      </c>
      <c r="GW24" s="129">
        <f t="shared" ca="1" si="244"/>
        <v>3382655.6498636343</v>
      </c>
      <c r="GX24" s="129">
        <f t="shared" ca="1" si="244"/>
        <v>3343203.0674448721</v>
      </c>
      <c r="GY24" s="129">
        <f t="shared" ca="1" si="244"/>
        <v>3305065.5711067356</v>
      </c>
      <c r="GZ24" s="129">
        <f t="shared" ca="1" si="244"/>
        <v>3268199.3246465372</v>
      </c>
      <c r="HA24" s="129">
        <f t="shared" ca="1" si="244"/>
        <v>1214314.5324983704</v>
      </c>
      <c r="HB24" s="129">
        <f t="shared" ca="1" si="244"/>
        <v>1179865.0733061184</v>
      </c>
      <c r="HC24" s="129">
        <f t="shared" ca="1" si="244"/>
        <v>1146563.9294202744</v>
      </c>
      <c r="HD24" s="129">
        <f t="shared" ca="1" si="244"/>
        <v>1114372.8236639588</v>
      </c>
      <c r="HE24" s="129">
        <f t="shared" ca="1" si="244"/>
        <v>1083254.7547661872</v>
      </c>
      <c r="HF24" s="129">
        <f t="shared" ca="1" si="244"/>
        <v>1053173.9548316742</v>
      </c>
      <c r="HG24" s="129">
        <f t="shared" ca="1" si="244"/>
        <v>1024095.8482283121</v>
      </c>
      <c r="HH24" s="129">
        <f t="shared" ca="1" si="244"/>
        <v>995987.0118450619</v>
      </c>
      <c r="HI24" s="129">
        <f t="shared" ca="1" si="244"/>
        <v>968815.13667458657</v>
      </c>
      <c r="HJ24" s="129">
        <f t="shared" ca="1" si="244"/>
        <v>942548.99067646055</v>
      </c>
      <c r="HK24" s="129">
        <f t="shared" ca="1" si="244"/>
        <v>917158.38287827198</v>
      </c>
      <c r="HL24" s="129">
        <f t="shared" ca="1" si="244"/>
        <v>892614.12867335649</v>
      </c>
      <c r="HM24" s="129">
        <f t="shared" ca="1" si="244"/>
        <v>808611.09736500296</v>
      </c>
      <c r="HN24" s="129">
        <f t="shared" ca="1" si="244"/>
        <v>785675.85538018751</v>
      </c>
      <c r="HO24" s="129">
        <f t="shared" ca="1" si="244"/>
        <v>763505.12146153243</v>
      </c>
      <c r="HP24" s="129">
        <f t="shared" ca="1" si="244"/>
        <v>742073.41200683254</v>
      </c>
      <c r="HQ24" s="129">
        <f t="shared" ca="1" si="244"/>
        <v>721356.09286728944</v>
      </c>
      <c r="HR24" s="129">
        <f t="shared" ca="1" si="244"/>
        <v>701329.35103239771</v>
      </c>
      <c r="HS24" s="129">
        <f t="shared" ca="1" si="244"/>
        <v>681970.16725866892</v>
      </c>
      <c r="HT24" s="129">
        <f t="shared" ca="1" si="244"/>
        <v>681970.16725866904</v>
      </c>
      <c r="HU24" s="129">
        <f t="shared" ca="1" si="244"/>
        <v>681970.16725866904</v>
      </c>
      <c r="HV24" s="129">
        <f t="shared" ca="1" si="244"/>
        <v>681970.16725866904</v>
      </c>
      <c r="HW24" s="129">
        <f t="shared" ca="1" si="244"/>
        <v>681970.16725866904</v>
      </c>
      <c r="HX24" s="129">
        <f t="shared" ca="1" si="244"/>
        <v>681970.16725866904</v>
      </c>
      <c r="HY24" s="129">
        <f t="shared" ca="1" si="244"/>
        <v>561416.32943813223</v>
      </c>
      <c r="HZ24" s="129">
        <f t="shared" ca="1" si="244"/>
        <v>561416.32943813223</v>
      </c>
      <c r="IA24" s="129">
        <f t="shared" ca="1" si="244"/>
        <v>561416.32943813223</v>
      </c>
      <c r="IB24" s="129">
        <f t="shared" ca="1" si="244"/>
        <v>561416.32943813223</v>
      </c>
      <c r="IC24" s="129">
        <f t="shared" ca="1" si="244"/>
        <v>561416.32943813223</v>
      </c>
      <c r="ID24" s="129">
        <f t="shared" ca="1" si="244"/>
        <v>561416.32943813223</v>
      </c>
      <c r="IE24" s="129">
        <f t="shared" ca="1" si="244"/>
        <v>561416.32943813223</v>
      </c>
      <c r="IF24" s="129">
        <f t="shared" ca="1" si="244"/>
        <v>561416.32943813223</v>
      </c>
      <c r="IG24" s="129">
        <f t="shared" ca="1" si="244"/>
        <v>561416.32943813223</v>
      </c>
      <c r="IH24" s="129">
        <f t="shared" ca="1" si="244"/>
        <v>561416.32943813223</v>
      </c>
      <c r="II24" s="129">
        <f t="shared" ca="1" si="244"/>
        <v>561416.32943813223</v>
      </c>
      <c r="IJ24" s="129">
        <f t="shared" ca="1" si="244"/>
        <v>561416.32943813223</v>
      </c>
    </row>
    <row r="28" spans="1:245" x14ac:dyDescent="0.45">
      <c r="C28" t="s">
        <v>443</v>
      </c>
    </row>
    <row r="29" spans="1:245" x14ac:dyDescent="0.45">
      <c r="C29" t="s">
        <v>444</v>
      </c>
    </row>
  </sheetData>
  <mergeCells count="20">
    <mergeCell ref="ES1:FD1"/>
    <mergeCell ref="E1:P1"/>
    <mergeCell ref="Q1:AB1"/>
    <mergeCell ref="AC1:AN1"/>
    <mergeCell ref="AO1:AZ1"/>
    <mergeCell ref="BA1:BL1"/>
    <mergeCell ref="BM1:BX1"/>
    <mergeCell ref="BY1:CJ1"/>
    <mergeCell ref="CK1:CV1"/>
    <mergeCell ref="CW1:DH1"/>
    <mergeCell ref="DI1:DT1"/>
    <mergeCell ref="DU1:EF1"/>
    <mergeCell ref="EG1:ER1"/>
    <mergeCell ref="HY1:IJ1"/>
    <mergeCell ref="FE1:FP1"/>
    <mergeCell ref="FQ1:GB1"/>
    <mergeCell ref="GC1:GN1"/>
    <mergeCell ref="GO1:GZ1"/>
    <mergeCell ref="HA1:HL1"/>
    <mergeCell ref="HM1:HX1"/>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6" tint="0.39997558519241921"/>
  </sheetPr>
  <dimension ref="A1:FZ9"/>
  <sheetViews>
    <sheetView workbookViewId="0"/>
  </sheetViews>
  <sheetFormatPr defaultRowHeight="14.25" x14ac:dyDescent="0.45"/>
  <cols>
    <col min="1" max="1" width="36.265625" customWidth="1"/>
    <col min="2" max="2" width="12.59765625" customWidth="1"/>
    <col min="3" max="182" width="12.86328125" customWidth="1"/>
  </cols>
  <sheetData>
    <row r="1" spans="1:182" ht="23.25" x14ac:dyDescent="0.7">
      <c r="A1" s="9" t="s">
        <v>271</v>
      </c>
      <c r="B1" s="9"/>
    </row>
    <row r="3" spans="1:182" x14ac:dyDescent="0.45">
      <c r="A3" s="888" t="s">
        <v>166</v>
      </c>
      <c r="B3" s="889"/>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row>
    <row r="4" spans="1:182" x14ac:dyDescent="0.45">
      <c r="A4" s="888" t="s">
        <v>167</v>
      </c>
      <c r="B4" s="889"/>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row>
    <row r="5" spans="1:182" x14ac:dyDescent="0.45">
      <c r="A5" s="888" t="s">
        <v>253</v>
      </c>
      <c r="B5" s="889"/>
      <c r="C5" s="70">
        <v>1</v>
      </c>
      <c r="D5" s="71">
        <v>2</v>
      </c>
      <c r="E5" s="71">
        <v>3</v>
      </c>
      <c r="F5" s="70">
        <v>4</v>
      </c>
      <c r="G5" s="71">
        <v>5</v>
      </c>
      <c r="H5" s="71">
        <v>6</v>
      </c>
      <c r="I5" s="70">
        <v>7</v>
      </c>
      <c r="J5" s="71">
        <v>8</v>
      </c>
      <c r="K5" s="71">
        <v>9</v>
      </c>
      <c r="L5" s="70">
        <v>10</v>
      </c>
      <c r="M5" s="71">
        <v>11</v>
      </c>
      <c r="N5" s="71">
        <v>12</v>
      </c>
      <c r="O5" s="70">
        <v>13</v>
      </c>
      <c r="P5" s="71">
        <v>14</v>
      </c>
      <c r="Q5" s="71">
        <v>15</v>
      </c>
      <c r="R5" s="70">
        <v>16</v>
      </c>
      <c r="S5" s="71">
        <v>17</v>
      </c>
      <c r="T5" s="71">
        <v>18</v>
      </c>
      <c r="U5" s="70">
        <v>19</v>
      </c>
      <c r="V5" s="71">
        <v>20</v>
      </c>
      <c r="W5" s="71">
        <v>21</v>
      </c>
      <c r="X5" s="70">
        <v>22</v>
      </c>
      <c r="Y5" s="71">
        <v>23</v>
      </c>
      <c r="Z5" s="71">
        <v>24</v>
      </c>
      <c r="AA5" s="70">
        <v>25</v>
      </c>
      <c r="AB5" s="71">
        <v>26</v>
      </c>
      <c r="AC5" s="71">
        <v>27</v>
      </c>
      <c r="AD5" s="70">
        <v>28</v>
      </c>
      <c r="AE5" s="71">
        <v>29</v>
      </c>
      <c r="AF5" s="71">
        <v>30</v>
      </c>
      <c r="AG5" s="70">
        <v>31</v>
      </c>
      <c r="AH5" s="71">
        <v>32</v>
      </c>
      <c r="AI5" s="71">
        <v>33</v>
      </c>
      <c r="AJ5" s="70">
        <v>34</v>
      </c>
      <c r="AK5" s="71">
        <v>35</v>
      </c>
      <c r="AL5" s="71">
        <v>36</v>
      </c>
      <c r="AM5" s="70">
        <v>37</v>
      </c>
      <c r="AN5" s="71">
        <v>38</v>
      </c>
      <c r="AO5" s="71">
        <v>39</v>
      </c>
      <c r="AP5" s="70">
        <v>40</v>
      </c>
      <c r="AQ5" s="71">
        <v>41</v>
      </c>
      <c r="AR5" s="71">
        <v>42</v>
      </c>
      <c r="AS5" s="70">
        <v>43</v>
      </c>
      <c r="AT5" s="71">
        <v>44</v>
      </c>
      <c r="AU5" s="71">
        <v>45</v>
      </c>
      <c r="AV5" s="70">
        <v>46</v>
      </c>
      <c r="AW5" s="71">
        <v>47</v>
      </c>
      <c r="AX5" s="71">
        <v>48</v>
      </c>
      <c r="AY5" s="70">
        <v>49</v>
      </c>
      <c r="AZ5" s="71">
        <v>50</v>
      </c>
      <c r="BA5" s="71">
        <v>51</v>
      </c>
      <c r="BB5" s="70">
        <v>52</v>
      </c>
      <c r="BC5" s="71">
        <v>53</v>
      </c>
      <c r="BD5" s="71">
        <v>54</v>
      </c>
      <c r="BE5" s="70">
        <v>55</v>
      </c>
      <c r="BF5" s="71">
        <v>56</v>
      </c>
      <c r="BG5" s="71">
        <v>57</v>
      </c>
      <c r="BH5" s="70">
        <v>58</v>
      </c>
      <c r="BI5" s="71">
        <v>59</v>
      </c>
      <c r="BJ5" s="71">
        <v>60</v>
      </c>
      <c r="BK5" s="70">
        <v>61</v>
      </c>
      <c r="BL5" s="71">
        <v>62</v>
      </c>
      <c r="BM5" s="71">
        <v>63</v>
      </c>
      <c r="BN5" s="70">
        <v>64</v>
      </c>
      <c r="BO5" s="71">
        <v>65</v>
      </c>
      <c r="BP5" s="71">
        <v>66</v>
      </c>
      <c r="BQ5" s="70">
        <v>67</v>
      </c>
      <c r="BR5" s="71">
        <v>68</v>
      </c>
      <c r="BS5" s="71">
        <v>69</v>
      </c>
      <c r="BT5" s="70">
        <v>70</v>
      </c>
      <c r="BU5" s="71">
        <v>71</v>
      </c>
      <c r="BV5" s="71">
        <v>72</v>
      </c>
      <c r="BW5" s="70">
        <v>73</v>
      </c>
      <c r="BX5" s="71">
        <v>74</v>
      </c>
      <c r="BY5" s="71">
        <v>75</v>
      </c>
      <c r="BZ5" s="70">
        <v>76</v>
      </c>
      <c r="CA5" s="71">
        <v>77</v>
      </c>
      <c r="CB5" s="71">
        <v>78</v>
      </c>
      <c r="CC5" s="70">
        <v>79</v>
      </c>
      <c r="CD5" s="71">
        <v>80</v>
      </c>
      <c r="CE5" s="71">
        <v>81</v>
      </c>
      <c r="CF5" s="70">
        <v>82</v>
      </c>
      <c r="CG5" s="71">
        <v>83</v>
      </c>
      <c r="CH5" s="71">
        <v>84</v>
      </c>
      <c r="CI5" s="70">
        <v>85</v>
      </c>
      <c r="CJ5" s="71">
        <v>86</v>
      </c>
      <c r="CK5" s="71">
        <v>87</v>
      </c>
      <c r="CL5" s="70">
        <v>88</v>
      </c>
      <c r="CM5" s="71">
        <v>89</v>
      </c>
      <c r="CN5" s="71">
        <v>90</v>
      </c>
      <c r="CO5" s="70">
        <v>91</v>
      </c>
      <c r="CP5" s="71">
        <v>92</v>
      </c>
      <c r="CQ5" s="71">
        <v>93</v>
      </c>
      <c r="CR5" s="70">
        <v>94</v>
      </c>
      <c r="CS5" s="71">
        <v>95</v>
      </c>
      <c r="CT5" s="71">
        <v>96</v>
      </c>
      <c r="CU5" s="70">
        <v>97</v>
      </c>
      <c r="CV5" s="71">
        <v>98</v>
      </c>
      <c r="CW5" s="71">
        <v>99</v>
      </c>
      <c r="CX5" s="70">
        <v>100</v>
      </c>
      <c r="CY5" s="71">
        <v>101</v>
      </c>
      <c r="CZ5" s="71">
        <v>102</v>
      </c>
      <c r="DA5" s="70">
        <v>103</v>
      </c>
      <c r="DB5" s="71">
        <v>104</v>
      </c>
      <c r="DC5" s="71">
        <v>105</v>
      </c>
      <c r="DD5" s="70">
        <v>106</v>
      </c>
      <c r="DE5" s="71">
        <v>107</v>
      </c>
      <c r="DF5" s="71">
        <v>108</v>
      </c>
      <c r="DG5" s="70">
        <v>109</v>
      </c>
      <c r="DH5" s="71">
        <v>110</v>
      </c>
      <c r="DI5" s="71">
        <v>111</v>
      </c>
      <c r="DJ5" s="70">
        <v>112</v>
      </c>
      <c r="DK5" s="71">
        <v>113</v>
      </c>
      <c r="DL5" s="71">
        <v>114</v>
      </c>
      <c r="DM5" s="70">
        <v>115</v>
      </c>
      <c r="DN5" s="71">
        <v>116</v>
      </c>
      <c r="DO5" s="71">
        <v>117</v>
      </c>
      <c r="DP5" s="70">
        <v>118</v>
      </c>
      <c r="DQ5" s="71">
        <v>119</v>
      </c>
      <c r="DR5" s="71">
        <v>120</v>
      </c>
      <c r="DS5" s="70">
        <v>121</v>
      </c>
      <c r="DT5" s="71">
        <v>122</v>
      </c>
      <c r="DU5" s="71">
        <v>123</v>
      </c>
      <c r="DV5" s="70">
        <v>124</v>
      </c>
      <c r="DW5" s="71">
        <v>125</v>
      </c>
      <c r="DX5" s="71">
        <v>126</v>
      </c>
      <c r="DY5" s="70">
        <v>127</v>
      </c>
      <c r="DZ5" s="71">
        <v>128</v>
      </c>
      <c r="EA5" s="71">
        <v>129</v>
      </c>
      <c r="EB5" s="70">
        <v>130</v>
      </c>
      <c r="EC5" s="71">
        <v>131</v>
      </c>
      <c r="ED5" s="71">
        <v>132</v>
      </c>
      <c r="EE5" s="70">
        <v>133</v>
      </c>
      <c r="EF5" s="71">
        <v>134</v>
      </c>
      <c r="EG5" s="71">
        <v>135</v>
      </c>
      <c r="EH5" s="70">
        <v>136</v>
      </c>
      <c r="EI5" s="71">
        <v>137</v>
      </c>
      <c r="EJ5" s="71">
        <v>138</v>
      </c>
      <c r="EK5" s="70">
        <v>139</v>
      </c>
      <c r="EL5" s="71">
        <v>140</v>
      </c>
      <c r="EM5" s="71">
        <v>141</v>
      </c>
      <c r="EN5" s="70">
        <v>142</v>
      </c>
      <c r="EO5" s="71">
        <v>143</v>
      </c>
      <c r="EP5" s="71">
        <v>144</v>
      </c>
      <c r="EQ5" s="70">
        <v>145</v>
      </c>
      <c r="ER5" s="71">
        <v>146</v>
      </c>
      <c r="ES5" s="71">
        <v>147</v>
      </c>
      <c r="ET5" s="70">
        <v>148</v>
      </c>
      <c r="EU5" s="71">
        <v>149</v>
      </c>
      <c r="EV5" s="71">
        <v>150</v>
      </c>
      <c r="EW5" s="70">
        <v>151</v>
      </c>
      <c r="EX5" s="71">
        <v>152</v>
      </c>
      <c r="EY5" s="71">
        <v>153</v>
      </c>
      <c r="EZ5" s="70">
        <v>154</v>
      </c>
      <c r="FA5" s="71">
        <v>155</v>
      </c>
      <c r="FB5" s="71">
        <v>156</v>
      </c>
      <c r="FC5" s="70">
        <v>157</v>
      </c>
      <c r="FD5" s="71">
        <v>158</v>
      </c>
      <c r="FE5" s="71">
        <v>159</v>
      </c>
      <c r="FF5" s="70">
        <v>160</v>
      </c>
      <c r="FG5" s="71">
        <v>161</v>
      </c>
      <c r="FH5" s="71">
        <v>162</v>
      </c>
      <c r="FI5" s="70">
        <v>163</v>
      </c>
      <c r="FJ5" s="71">
        <v>164</v>
      </c>
      <c r="FK5" s="71">
        <v>165</v>
      </c>
      <c r="FL5" s="70">
        <v>166</v>
      </c>
      <c r="FM5" s="71">
        <v>167</v>
      </c>
      <c r="FN5" s="71">
        <v>168</v>
      </c>
      <c r="FO5" s="70">
        <v>169</v>
      </c>
      <c r="FP5" s="71">
        <v>170</v>
      </c>
      <c r="FQ5" s="71">
        <v>171</v>
      </c>
      <c r="FR5" s="70">
        <v>172</v>
      </c>
      <c r="FS5" s="71">
        <v>173</v>
      </c>
      <c r="FT5" s="71">
        <v>174</v>
      </c>
      <c r="FU5" s="70">
        <v>175</v>
      </c>
      <c r="FV5" s="71">
        <v>176</v>
      </c>
      <c r="FW5" s="71">
        <v>177</v>
      </c>
      <c r="FX5" s="70">
        <v>178</v>
      </c>
      <c r="FY5" s="71">
        <v>179</v>
      </c>
      <c r="FZ5" s="71">
        <v>180</v>
      </c>
    </row>
    <row r="6" spans="1:182" x14ac:dyDescent="0.45">
      <c r="A6" s="893" t="s">
        <v>272</v>
      </c>
      <c r="B6" s="894"/>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row>
    <row r="7" spans="1:182" x14ac:dyDescent="0.45">
      <c r="A7" s="893" t="s">
        <v>273</v>
      </c>
      <c r="B7" s="894"/>
      <c r="C7" s="32">
        <f>C6/2</f>
        <v>0</v>
      </c>
      <c r="D7" s="32">
        <f t="shared" ref="D7:BO7" si="0">D6/2</f>
        <v>0</v>
      </c>
      <c r="E7" s="32">
        <f t="shared" si="0"/>
        <v>0</v>
      </c>
      <c r="F7" s="32">
        <f t="shared" si="0"/>
        <v>0</v>
      </c>
      <c r="G7" s="32">
        <f t="shared" si="0"/>
        <v>0</v>
      </c>
      <c r="H7" s="32">
        <f t="shared" si="0"/>
        <v>0</v>
      </c>
      <c r="I7" s="32">
        <f t="shared" si="0"/>
        <v>0</v>
      </c>
      <c r="J7" s="32">
        <f t="shared" si="0"/>
        <v>0</v>
      </c>
      <c r="K7" s="32">
        <f t="shared" si="0"/>
        <v>0</v>
      </c>
      <c r="L7" s="32">
        <f t="shared" si="0"/>
        <v>0</v>
      </c>
      <c r="M7" s="32">
        <f t="shared" si="0"/>
        <v>0</v>
      </c>
      <c r="N7" s="32">
        <f t="shared" si="0"/>
        <v>0</v>
      </c>
      <c r="O7" s="32">
        <f t="shared" si="0"/>
        <v>0</v>
      </c>
      <c r="P7" s="32">
        <f t="shared" si="0"/>
        <v>0</v>
      </c>
      <c r="Q7" s="32">
        <f t="shared" si="0"/>
        <v>0</v>
      </c>
      <c r="R7" s="32">
        <f t="shared" si="0"/>
        <v>0</v>
      </c>
      <c r="S7" s="32">
        <f t="shared" si="0"/>
        <v>0</v>
      </c>
      <c r="T7" s="32">
        <f t="shared" si="0"/>
        <v>0</v>
      </c>
      <c r="U7" s="32">
        <f t="shared" si="0"/>
        <v>0</v>
      </c>
      <c r="V7" s="32">
        <f t="shared" si="0"/>
        <v>0</v>
      </c>
      <c r="W7" s="32">
        <f t="shared" si="0"/>
        <v>0</v>
      </c>
      <c r="X7" s="32">
        <f t="shared" si="0"/>
        <v>0</v>
      </c>
      <c r="Y7" s="32">
        <f t="shared" si="0"/>
        <v>0</v>
      </c>
      <c r="Z7" s="32">
        <f t="shared" si="0"/>
        <v>0</v>
      </c>
      <c r="AA7" s="32">
        <f t="shared" si="0"/>
        <v>0</v>
      </c>
      <c r="AB7" s="32">
        <f t="shared" si="0"/>
        <v>0</v>
      </c>
      <c r="AC7" s="32">
        <f t="shared" si="0"/>
        <v>0</v>
      </c>
      <c r="AD7" s="32">
        <f t="shared" si="0"/>
        <v>0</v>
      </c>
      <c r="AE7" s="32">
        <f t="shared" si="0"/>
        <v>0</v>
      </c>
      <c r="AF7" s="32">
        <f t="shared" si="0"/>
        <v>0</v>
      </c>
      <c r="AG7" s="32">
        <f t="shared" si="0"/>
        <v>0</v>
      </c>
      <c r="AH7" s="32">
        <f t="shared" si="0"/>
        <v>0</v>
      </c>
      <c r="AI7" s="32">
        <f t="shared" si="0"/>
        <v>0</v>
      </c>
      <c r="AJ7" s="32">
        <f t="shared" si="0"/>
        <v>0</v>
      </c>
      <c r="AK7" s="32">
        <f t="shared" si="0"/>
        <v>0</v>
      </c>
      <c r="AL7" s="32">
        <f t="shared" si="0"/>
        <v>0</v>
      </c>
      <c r="AM7" s="32">
        <f t="shared" si="0"/>
        <v>0</v>
      </c>
      <c r="AN7" s="32">
        <f t="shared" si="0"/>
        <v>0</v>
      </c>
      <c r="AO7" s="32">
        <f t="shared" si="0"/>
        <v>0</v>
      </c>
      <c r="AP7" s="32">
        <f t="shared" si="0"/>
        <v>0</v>
      </c>
      <c r="AQ7" s="32">
        <f t="shared" si="0"/>
        <v>0</v>
      </c>
      <c r="AR7" s="32">
        <f t="shared" si="0"/>
        <v>0</v>
      </c>
      <c r="AS7" s="32">
        <f t="shared" si="0"/>
        <v>0</v>
      </c>
      <c r="AT7" s="32">
        <f t="shared" si="0"/>
        <v>0</v>
      </c>
      <c r="AU7" s="32">
        <f t="shared" si="0"/>
        <v>0</v>
      </c>
      <c r="AV7" s="32">
        <f t="shared" si="0"/>
        <v>0</v>
      </c>
      <c r="AW7" s="32">
        <f t="shared" si="0"/>
        <v>0</v>
      </c>
      <c r="AX7" s="32">
        <f t="shared" si="0"/>
        <v>0</v>
      </c>
      <c r="AY7" s="32">
        <f t="shared" si="0"/>
        <v>0</v>
      </c>
      <c r="AZ7" s="32">
        <f t="shared" si="0"/>
        <v>0</v>
      </c>
      <c r="BA7" s="32">
        <f t="shared" si="0"/>
        <v>0</v>
      </c>
      <c r="BB7" s="32">
        <f t="shared" si="0"/>
        <v>0</v>
      </c>
      <c r="BC7" s="32">
        <f t="shared" si="0"/>
        <v>0</v>
      </c>
      <c r="BD7" s="32">
        <f t="shared" si="0"/>
        <v>0</v>
      </c>
      <c r="BE7" s="32">
        <f t="shared" si="0"/>
        <v>0</v>
      </c>
      <c r="BF7" s="32">
        <f t="shared" si="0"/>
        <v>0</v>
      </c>
      <c r="BG7" s="32">
        <f t="shared" si="0"/>
        <v>0</v>
      </c>
      <c r="BH7" s="32">
        <f t="shared" si="0"/>
        <v>0</v>
      </c>
      <c r="BI7" s="32">
        <f t="shared" si="0"/>
        <v>0</v>
      </c>
      <c r="BJ7" s="32">
        <f t="shared" si="0"/>
        <v>0</v>
      </c>
      <c r="BK7" s="32">
        <f t="shared" si="0"/>
        <v>0</v>
      </c>
      <c r="BL7" s="32">
        <f t="shared" si="0"/>
        <v>0</v>
      </c>
      <c r="BM7" s="32">
        <f t="shared" si="0"/>
        <v>0</v>
      </c>
      <c r="BN7" s="32">
        <f t="shared" si="0"/>
        <v>0</v>
      </c>
      <c r="BO7" s="32">
        <f t="shared" si="0"/>
        <v>0</v>
      </c>
      <c r="BP7" s="32">
        <f t="shared" ref="BP7:EA7" si="1">BP6/2</f>
        <v>0</v>
      </c>
      <c r="BQ7" s="32">
        <f t="shared" si="1"/>
        <v>0</v>
      </c>
      <c r="BR7" s="32">
        <f t="shared" si="1"/>
        <v>0</v>
      </c>
      <c r="BS7" s="32">
        <f t="shared" si="1"/>
        <v>0</v>
      </c>
      <c r="BT7" s="32">
        <f t="shared" si="1"/>
        <v>0</v>
      </c>
      <c r="BU7" s="32">
        <f t="shared" si="1"/>
        <v>0</v>
      </c>
      <c r="BV7" s="32">
        <f t="shared" si="1"/>
        <v>0</v>
      </c>
      <c r="BW7" s="32">
        <f t="shared" si="1"/>
        <v>0</v>
      </c>
      <c r="BX7" s="32">
        <f t="shared" si="1"/>
        <v>0</v>
      </c>
      <c r="BY7" s="32">
        <f t="shared" si="1"/>
        <v>0</v>
      </c>
      <c r="BZ7" s="32">
        <f t="shared" si="1"/>
        <v>0</v>
      </c>
      <c r="CA7" s="32">
        <f t="shared" si="1"/>
        <v>0</v>
      </c>
      <c r="CB7" s="32">
        <f t="shared" si="1"/>
        <v>0</v>
      </c>
      <c r="CC7" s="32">
        <f t="shared" si="1"/>
        <v>0</v>
      </c>
      <c r="CD7" s="32">
        <f t="shared" si="1"/>
        <v>0</v>
      </c>
      <c r="CE7" s="32">
        <f t="shared" si="1"/>
        <v>0</v>
      </c>
      <c r="CF7" s="32">
        <f t="shared" si="1"/>
        <v>0</v>
      </c>
      <c r="CG7" s="32">
        <f t="shared" si="1"/>
        <v>0</v>
      </c>
      <c r="CH7" s="32">
        <f t="shared" si="1"/>
        <v>0</v>
      </c>
      <c r="CI7" s="32">
        <f t="shared" si="1"/>
        <v>0</v>
      </c>
      <c r="CJ7" s="32">
        <f t="shared" si="1"/>
        <v>0</v>
      </c>
      <c r="CK7" s="32">
        <f t="shared" si="1"/>
        <v>0</v>
      </c>
      <c r="CL7" s="32">
        <f t="shared" si="1"/>
        <v>0</v>
      </c>
      <c r="CM7" s="32">
        <f t="shared" si="1"/>
        <v>0</v>
      </c>
      <c r="CN7" s="32">
        <f t="shared" si="1"/>
        <v>0</v>
      </c>
      <c r="CO7" s="32">
        <f t="shared" si="1"/>
        <v>0</v>
      </c>
      <c r="CP7" s="32">
        <f t="shared" si="1"/>
        <v>0</v>
      </c>
      <c r="CQ7" s="32">
        <f t="shared" si="1"/>
        <v>0</v>
      </c>
      <c r="CR7" s="32">
        <f t="shared" si="1"/>
        <v>0</v>
      </c>
      <c r="CS7" s="32">
        <f t="shared" si="1"/>
        <v>0</v>
      </c>
      <c r="CT7" s="32">
        <f t="shared" si="1"/>
        <v>0</v>
      </c>
      <c r="CU7" s="32">
        <f t="shared" si="1"/>
        <v>0</v>
      </c>
      <c r="CV7" s="32">
        <f t="shared" si="1"/>
        <v>0</v>
      </c>
      <c r="CW7" s="32">
        <f t="shared" si="1"/>
        <v>0</v>
      </c>
      <c r="CX7" s="32">
        <f t="shared" si="1"/>
        <v>0</v>
      </c>
      <c r="CY7" s="32">
        <f t="shared" si="1"/>
        <v>0</v>
      </c>
      <c r="CZ7" s="32">
        <f t="shared" si="1"/>
        <v>0</v>
      </c>
      <c r="DA7" s="32">
        <f t="shared" si="1"/>
        <v>0</v>
      </c>
      <c r="DB7" s="32">
        <f t="shared" si="1"/>
        <v>0</v>
      </c>
      <c r="DC7" s="32">
        <f t="shared" si="1"/>
        <v>0</v>
      </c>
      <c r="DD7" s="32">
        <f t="shared" si="1"/>
        <v>0</v>
      </c>
      <c r="DE7" s="32">
        <f t="shared" si="1"/>
        <v>0</v>
      </c>
      <c r="DF7" s="32">
        <f t="shared" si="1"/>
        <v>0</v>
      </c>
      <c r="DG7" s="32">
        <f t="shared" si="1"/>
        <v>0</v>
      </c>
      <c r="DH7" s="32">
        <f t="shared" si="1"/>
        <v>0</v>
      </c>
      <c r="DI7" s="32">
        <f t="shared" si="1"/>
        <v>0</v>
      </c>
      <c r="DJ7" s="32">
        <f t="shared" si="1"/>
        <v>0</v>
      </c>
      <c r="DK7" s="32">
        <f t="shared" si="1"/>
        <v>0</v>
      </c>
      <c r="DL7" s="32">
        <f t="shared" si="1"/>
        <v>0</v>
      </c>
      <c r="DM7" s="32">
        <f t="shared" si="1"/>
        <v>0</v>
      </c>
      <c r="DN7" s="32">
        <f t="shared" si="1"/>
        <v>0</v>
      </c>
      <c r="DO7" s="32">
        <f t="shared" si="1"/>
        <v>0</v>
      </c>
      <c r="DP7" s="32">
        <f t="shared" si="1"/>
        <v>0</v>
      </c>
      <c r="DQ7" s="32">
        <f t="shared" si="1"/>
        <v>0</v>
      </c>
      <c r="DR7" s="32">
        <f t="shared" si="1"/>
        <v>0</v>
      </c>
      <c r="DS7" s="32">
        <f t="shared" si="1"/>
        <v>0</v>
      </c>
      <c r="DT7" s="32">
        <f t="shared" si="1"/>
        <v>0</v>
      </c>
      <c r="DU7" s="32">
        <f t="shared" si="1"/>
        <v>0</v>
      </c>
      <c r="DV7" s="32">
        <f t="shared" si="1"/>
        <v>0</v>
      </c>
      <c r="DW7" s="32">
        <f t="shared" si="1"/>
        <v>0</v>
      </c>
      <c r="DX7" s="32">
        <f t="shared" si="1"/>
        <v>0</v>
      </c>
      <c r="DY7" s="32">
        <f t="shared" si="1"/>
        <v>0</v>
      </c>
      <c r="DZ7" s="32">
        <f t="shared" si="1"/>
        <v>0</v>
      </c>
      <c r="EA7" s="32">
        <f t="shared" si="1"/>
        <v>0</v>
      </c>
      <c r="EB7" s="32">
        <f t="shared" ref="EB7:FZ7" si="2">EB6/2</f>
        <v>0</v>
      </c>
      <c r="EC7" s="32">
        <f t="shared" si="2"/>
        <v>0</v>
      </c>
      <c r="ED7" s="32">
        <f t="shared" si="2"/>
        <v>0</v>
      </c>
      <c r="EE7" s="32">
        <f t="shared" si="2"/>
        <v>0</v>
      </c>
      <c r="EF7" s="32">
        <f t="shared" si="2"/>
        <v>0</v>
      </c>
      <c r="EG7" s="32">
        <f t="shared" si="2"/>
        <v>0</v>
      </c>
      <c r="EH7" s="32">
        <f t="shared" si="2"/>
        <v>0</v>
      </c>
      <c r="EI7" s="32">
        <f t="shared" si="2"/>
        <v>0</v>
      </c>
      <c r="EJ7" s="32">
        <f t="shared" si="2"/>
        <v>0</v>
      </c>
      <c r="EK7" s="32">
        <f t="shared" si="2"/>
        <v>0</v>
      </c>
      <c r="EL7" s="32">
        <f t="shared" si="2"/>
        <v>0</v>
      </c>
      <c r="EM7" s="32">
        <f t="shared" si="2"/>
        <v>0</v>
      </c>
      <c r="EN7" s="32">
        <f t="shared" si="2"/>
        <v>0</v>
      </c>
      <c r="EO7" s="32">
        <f t="shared" si="2"/>
        <v>0</v>
      </c>
      <c r="EP7" s="32">
        <f t="shared" si="2"/>
        <v>0</v>
      </c>
      <c r="EQ7" s="32">
        <f t="shared" si="2"/>
        <v>0</v>
      </c>
      <c r="ER7" s="32">
        <f t="shared" si="2"/>
        <v>0</v>
      </c>
      <c r="ES7" s="32">
        <f t="shared" si="2"/>
        <v>0</v>
      </c>
      <c r="ET7" s="32">
        <f t="shared" si="2"/>
        <v>0</v>
      </c>
      <c r="EU7" s="32">
        <f t="shared" si="2"/>
        <v>0</v>
      </c>
      <c r="EV7" s="32">
        <f t="shared" si="2"/>
        <v>0</v>
      </c>
      <c r="EW7" s="32">
        <f t="shared" si="2"/>
        <v>0</v>
      </c>
      <c r="EX7" s="32">
        <f t="shared" si="2"/>
        <v>0</v>
      </c>
      <c r="EY7" s="32">
        <f t="shared" si="2"/>
        <v>0</v>
      </c>
      <c r="EZ7" s="32">
        <f t="shared" si="2"/>
        <v>0</v>
      </c>
      <c r="FA7" s="32">
        <f t="shared" si="2"/>
        <v>0</v>
      </c>
      <c r="FB7" s="32">
        <f t="shared" si="2"/>
        <v>0</v>
      </c>
      <c r="FC7" s="32">
        <f t="shared" si="2"/>
        <v>0</v>
      </c>
      <c r="FD7" s="32">
        <f t="shared" si="2"/>
        <v>0</v>
      </c>
      <c r="FE7" s="32">
        <f t="shared" si="2"/>
        <v>0</v>
      </c>
      <c r="FF7" s="32">
        <f t="shared" si="2"/>
        <v>0</v>
      </c>
      <c r="FG7" s="32">
        <f t="shared" si="2"/>
        <v>0</v>
      </c>
      <c r="FH7" s="32">
        <f t="shared" si="2"/>
        <v>0</v>
      </c>
      <c r="FI7" s="32">
        <f t="shared" si="2"/>
        <v>0</v>
      </c>
      <c r="FJ7" s="32">
        <f t="shared" si="2"/>
        <v>0</v>
      </c>
      <c r="FK7" s="32">
        <f t="shared" si="2"/>
        <v>0</v>
      </c>
      <c r="FL7" s="32">
        <f t="shared" si="2"/>
        <v>0</v>
      </c>
      <c r="FM7" s="32">
        <f t="shared" si="2"/>
        <v>0</v>
      </c>
      <c r="FN7" s="32">
        <f t="shared" si="2"/>
        <v>0</v>
      </c>
      <c r="FO7" s="32">
        <f t="shared" si="2"/>
        <v>0</v>
      </c>
      <c r="FP7" s="32">
        <f t="shared" si="2"/>
        <v>0</v>
      </c>
      <c r="FQ7" s="32">
        <f t="shared" si="2"/>
        <v>0</v>
      </c>
      <c r="FR7" s="32">
        <f t="shared" si="2"/>
        <v>0</v>
      </c>
      <c r="FS7" s="32">
        <f t="shared" si="2"/>
        <v>0</v>
      </c>
      <c r="FT7" s="32">
        <f t="shared" si="2"/>
        <v>0</v>
      </c>
      <c r="FU7" s="32">
        <f t="shared" si="2"/>
        <v>0</v>
      </c>
      <c r="FV7" s="32">
        <f t="shared" si="2"/>
        <v>0</v>
      </c>
      <c r="FW7" s="32">
        <f t="shared" si="2"/>
        <v>0</v>
      </c>
      <c r="FX7" s="32">
        <f t="shared" si="2"/>
        <v>0</v>
      </c>
      <c r="FY7" s="32">
        <f t="shared" si="2"/>
        <v>0</v>
      </c>
      <c r="FZ7" s="32">
        <f t="shared" si="2"/>
        <v>0</v>
      </c>
    </row>
    <row r="8" spans="1:182" x14ac:dyDescent="0.45">
      <c r="A8" s="893" t="s">
        <v>257</v>
      </c>
      <c r="B8" s="894"/>
      <c r="C8" s="24">
        <f>C6*(1+C7)</f>
        <v>0</v>
      </c>
      <c r="D8" s="24">
        <f t="shared" ref="D8:BO8" si="3">D6*(1+D7)</f>
        <v>0</v>
      </c>
      <c r="E8" s="24">
        <f t="shared" si="3"/>
        <v>0</v>
      </c>
      <c r="F8" s="24">
        <f t="shared" si="3"/>
        <v>0</v>
      </c>
      <c r="G8" s="24">
        <f t="shared" si="3"/>
        <v>0</v>
      </c>
      <c r="H8" s="24">
        <f t="shared" si="3"/>
        <v>0</v>
      </c>
      <c r="I8" s="24">
        <f t="shared" si="3"/>
        <v>0</v>
      </c>
      <c r="J8" s="24">
        <f t="shared" si="3"/>
        <v>0</v>
      </c>
      <c r="K8" s="24">
        <f t="shared" si="3"/>
        <v>0</v>
      </c>
      <c r="L8" s="24">
        <f t="shared" si="3"/>
        <v>0</v>
      </c>
      <c r="M8" s="24">
        <f t="shared" si="3"/>
        <v>0</v>
      </c>
      <c r="N8" s="24">
        <f t="shared" si="3"/>
        <v>0</v>
      </c>
      <c r="O8" s="24">
        <f t="shared" si="3"/>
        <v>0</v>
      </c>
      <c r="P8" s="24">
        <f t="shared" si="3"/>
        <v>0</v>
      </c>
      <c r="Q8" s="24">
        <f t="shared" si="3"/>
        <v>0</v>
      </c>
      <c r="R8" s="24">
        <f t="shared" si="3"/>
        <v>0</v>
      </c>
      <c r="S8" s="24">
        <f t="shared" si="3"/>
        <v>0</v>
      </c>
      <c r="T8" s="24">
        <f t="shared" si="3"/>
        <v>0</v>
      </c>
      <c r="U8" s="24">
        <f t="shared" si="3"/>
        <v>0</v>
      </c>
      <c r="V8" s="24">
        <f t="shared" si="3"/>
        <v>0</v>
      </c>
      <c r="W8" s="24">
        <f t="shared" si="3"/>
        <v>0</v>
      </c>
      <c r="X8" s="24">
        <f t="shared" si="3"/>
        <v>0</v>
      </c>
      <c r="Y8" s="24">
        <f t="shared" si="3"/>
        <v>0</v>
      </c>
      <c r="Z8" s="24">
        <f t="shared" si="3"/>
        <v>0</v>
      </c>
      <c r="AA8" s="24">
        <f t="shared" si="3"/>
        <v>0</v>
      </c>
      <c r="AB8" s="24">
        <f t="shared" si="3"/>
        <v>0</v>
      </c>
      <c r="AC8" s="24">
        <f t="shared" si="3"/>
        <v>0</v>
      </c>
      <c r="AD8" s="24">
        <f t="shared" si="3"/>
        <v>0</v>
      </c>
      <c r="AE8" s="24">
        <f t="shared" si="3"/>
        <v>0</v>
      </c>
      <c r="AF8" s="24">
        <f t="shared" si="3"/>
        <v>0</v>
      </c>
      <c r="AG8" s="24">
        <f t="shared" si="3"/>
        <v>0</v>
      </c>
      <c r="AH8" s="24">
        <f t="shared" si="3"/>
        <v>0</v>
      </c>
      <c r="AI8" s="24">
        <f t="shared" si="3"/>
        <v>0</v>
      </c>
      <c r="AJ8" s="24">
        <f t="shared" si="3"/>
        <v>0</v>
      </c>
      <c r="AK8" s="24">
        <f t="shared" si="3"/>
        <v>0</v>
      </c>
      <c r="AL8" s="24">
        <f t="shared" si="3"/>
        <v>0</v>
      </c>
      <c r="AM8" s="24">
        <f t="shared" si="3"/>
        <v>0</v>
      </c>
      <c r="AN8" s="24">
        <f t="shared" si="3"/>
        <v>0</v>
      </c>
      <c r="AO8" s="24">
        <f t="shared" si="3"/>
        <v>0</v>
      </c>
      <c r="AP8" s="24">
        <f t="shared" si="3"/>
        <v>0</v>
      </c>
      <c r="AQ8" s="24">
        <f t="shared" si="3"/>
        <v>0</v>
      </c>
      <c r="AR8" s="24">
        <f t="shared" si="3"/>
        <v>0</v>
      </c>
      <c r="AS8" s="24">
        <f t="shared" si="3"/>
        <v>0</v>
      </c>
      <c r="AT8" s="24">
        <f t="shared" si="3"/>
        <v>0</v>
      </c>
      <c r="AU8" s="24">
        <f t="shared" si="3"/>
        <v>0</v>
      </c>
      <c r="AV8" s="24">
        <f t="shared" si="3"/>
        <v>0</v>
      </c>
      <c r="AW8" s="24">
        <f t="shared" si="3"/>
        <v>0</v>
      </c>
      <c r="AX8" s="24">
        <f t="shared" si="3"/>
        <v>0</v>
      </c>
      <c r="AY8" s="24">
        <f t="shared" si="3"/>
        <v>0</v>
      </c>
      <c r="AZ8" s="24">
        <f t="shared" si="3"/>
        <v>0</v>
      </c>
      <c r="BA8" s="24">
        <f t="shared" si="3"/>
        <v>0</v>
      </c>
      <c r="BB8" s="24">
        <f t="shared" si="3"/>
        <v>0</v>
      </c>
      <c r="BC8" s="24">
        <f t="shared" si="3"/>
        <v>0</v>
      </c>
      <c r="BD8" s="24">
        <f t="shared" si="3"/>
        <v>0</v>
      </c>
      <c r="BE8" s="24">
        <f t="shared" si="3"/>
        <v>0</v>
      </c>
      <c r="BF8" s="24">
        <f t="shared" si="3"/>
        <v>0</v>
      </c>
      <c r="BG8" s="24">
        <f t="shared" si="3"/>
        <v>0</v>
      </c>
      <c r="BH8" s="24">
        <f t="shared" si="3"/>
        <v>0</v>
      </c>
      <c r="BI8" s="24">
        <f t="shared" si="3"/>
        <v>0</v>
      </c>
      <c r="BJ8" s="24">
        <f t="shared" si="3"/>
        <v>0</v>
      </c>
      <c r="BK8" s="24">
        <f t="shared" si="3"/>
        <v>0</v>
      </c>
      <c r="BL8" s="24">
        <f t="shared" si="3"/>
        <v>0</v>
      </c>
      <c r="BM8" s="24">
        <f t="shared" si="3"/>
        <v>0</v>
      </c>
      <c r="BN8" s="24">
        <f t="shared" si="3"/>
        <v>0</v>
      </c>
      <c r="BO8" s="24">
        <f t="shared" si="3"/>
        <v>0</v>
      </c>
      <c r="BP8" s="24">
        <f t="shared" ref="BP8:EA8" si="4">BP6*(1+BP7)</f>
        <v>0</v>
      </c>
      <c r="BQ8" s="24">
        <f t="shared" si="4"/>
        <v>0</v>
      </c>
      <c r="BR8" s="24">
        <f t="shared" si="4"/>
        <v>0</v>
      </c>
      <c r="BS8" s="24">
        <f t="shared" si="4"/>
        <v>0</v>
      </c>
      <c r="BT8" s="24">
        <f t="shared" si="4"/>
        <v>0</v>
      </c>
      <c r="BU8" s="24">
        <f t="shared" si="4"/>
        <v>0</v>
      </c>
      <c r="BV8" s="24">
        <f t="shared" si="4"/>
        <v>0</v>
      </c>
      <c r="BW8" s="24">
        <f t="shared" si="4"/>
        <v>0</v>
      </c>
      <c r="BX8" s="24">
        <f t="shared" si="4"/>
        <v>0</v>
      </c>
      <c r="BY8" s="24">
        <f t="shared" si="4"/>
        <v>0</v>
      </c>
      <c r="BZ8" s="24">
        <f t="shared" si="4"/>
        <v>0</v>
      </c>
      <c r="CA8" s="24">
        <f t="shared" si="4"/>
        <v>0</v>
      </c>
      <c r="CB8" s="24">
        <f t="shared" si="4"/>
        <v>0</v>
      </c>
      <c r="CC8" s="24">
        <f t="shared" si="4"/>
        <v>0</v>
      </c>
      <c r="CD8" s="24">
        <f t="shared" si="4"/>
        <v>0</v>
      </c>
      <c r="CE8" s="24">
        <f t="shared" si="4"/>
        <v>0</v>
      </c>
      <c r="CF8" s="24">
        <f t="shared" si="4"/>
        <v>0</v>
      </c>
      <c r="CG8" s="24">
        <f t="shared" si="4"/>
        <v>0</v>
      </c>
      <c r="CH8" s="24">
        <f t="shared" si="4"/>
        <v>0</v>
      </c>
      <c r="CI8" s="24">
        <f t="shared" si="4"/>
        <v>0</v>
      </c>
      <c r="CJ8" s="24">
        <f t="shared" si="4"/>
        <v>0</v>
      </c>
      <c r="CK8" s="24">
        <f t="shared" si="4"/>
        <v>0</v>
      </c>
      <c r="CL8" s="24">
        <f t="shared" si="4"/>
        <v>0</v>
      </c>
      <c r="CM8" s="24">
        <f t="shared" si="4"/>
        <v>0</v>
      </c>
      <c r="CN8" s="24">
        <f t="shared" si="4"/>
        <v>0</v>
      </c>
      <c r="CO8" s="24">
        <f t="shared" si="4"/>
        <v>0</v>
      </c>
      <c r="CP8" s="24">
        <f t="shared" si="4"/>
        <v>0</v>
      </c>
      <c r="CQ8" s="24">
        <f t="shared" si="4"/>
        <v>0</v>
      </c>
      <c r="CR8" s="24">
        <f t="shared" si="4"/>
        <v>0</v>
      </c>
      <c r="CS8" s="24">
        <f t="shared" si="4"/>
        <v>0</v>
      </c>
      <c r="CT8" s="24">
        <f t="shared" si="4"/>
        <v>0</v>
      </c>
      <c r="CU8" s="24">
        <f t="shared" si="4"/>
        <v>0</v>
      </c>
      <c r="CV8" s="24">
        <f t="shared" si="4"/>
        <v>0</v>
      </c>
      <c r="CW8" s="24">
        <f t="shared" si="4"/>
        <v>0</v>
      </c>
      <c r="CX8" s="24">
        <f t="shared" si="4"/>
        <v>0</v>
      </c>
      <c r="CY8" s="24">
        <f t="shared" si="4"/>
        <v>0</v>
      </c>
      <c r="CZ8" s="24">
        <f t="shared" si="4"/>
        <v>0</v>
      </c>
      <c r="DA8" s="24">
        <f t="shared" si="4"/>
        <v>0</v>
      </c>
      <c r="DB8" s="24">
        <f t="shared" si="4"/>
        <v>0</v>
      </c>
      <c r="DC8" s="24">
        <f t="shared" si="4"/>
        <v>0</v>
      </c>
      <c r="DD8" s="24">
        <f t="shared" si="4"/>
        <v>0</v>
      </c>
      <c r="DE8" s="24">
        <f t="shared" si="4"/>
        <v>0</v>
      </c>
      <c r="DF8" s="24">
        <f t="shared" si="4"/>
        <v>0</v>
      </c>
      <c r="DG8" s="24">
        <f t="shared" si="4"/>
        <v>0</v>
      </c>
      <c r="DH8" s="24">
        <f t="shared" si="4"/>
        <v>0</v>
      </c>
      <c r="DI8" s="24">
        <f t="shared" si="4"/>
        <v>0</v>
      </c>
      <c r="DJ8" s="24">
        <f t="shared" si="4"/>
        <v>0</v>
      </c>
      <c r="DK8" s="24">
        <f t="shared" si="4"/>
        <v>0</v>
      </c>
      <c r="DL8" s="24">
        <f t="shared" si="4"/>
        <v>0</v>
      </c>
      <c r="DM8" s="24">
        <f t="shared" si="4"/>
        <v>0</v>
      </c>
      <c r="DN8" s="24">
        <f t="shared" si="4"/>
        <v>0</v>
      </c>
      <c r="DO8" s="24">
        <f t="shared" si="4"/>
        <v>0</v>
      </c>
      <c r="DP8" s="24">
        <f t="shared" si="4"/>
        <v>0</v>
      </c>
      <c r="DQ8" s="24">
        <f t="shared" si="4"/>
        <v>0</v>
      </c>
      <c r="DR8" s="24">
        <f t="shared" si="4"/>
        <v>0</v>
      </c>
      <c r="DS8" s="24">
        <f t="shared" si="4"/>
        <v>0</v>
      </c>
      <c r="DT8" s="24">
        <f t="shared" si="4"/>
        <v>0</v>
      </c>
      <c r="DU8" s="24">
        <f t="shared" si="4"/>
        <v>0</v>
      </c>
      <c r="DV8" s="24">
        <f t="shared" si="4"/>
        <v>0</v>
      </c>
      <c r="DW8" s="24">
        <f t="shared" si="4"/>
        <v>0</v>
      </c>
      <c r="DX8" s="24">
        <f t="shared" si="4"/>
        <v>0</v>
      </c>
      <c r="DY8" s="24">
        <f t="shared" si="4"/>
        <v>0</v>
      </c>
      <c r="DZ8" s="24">
        <f t="shared" si="4"/>
        <v>0</v>
      </c>
      <c r="EA8" s="24">
        <f t="shared" si="4"/>
        <v>0</v>
      </c>
      <c r="EB8" s="24">
        <f t="shared" ref="EB8:FZ8" si="5">EB6*(1+EB7)</f>
        <v>0</v>
      </c>
      <c r="EC8" s="24">
        <f t="shared" si="5"/>
        <v>0</v>
      </c>
      <c r="ED8" s="24">
        <f t="shared" si="5"/>
        <v>0</v>
      </c>
      <c r="EE8" s="24">
        <f t="shared" si="5"/>
        <v>0</v>
      </c>
      <c r="EF8" s="24">
        <f t="shared" si="5"/>
        <v>0</v>
      </c>
      <c r="EG8" s="24">
        <f t="shared" si="5"/>
        <v>0</v>
      </c>
      <c r="EH8" s="24">
        <f t="shared" si="5"/>
        <v>0</v>
      </c>
      <c r="EI8" s="24">
        <f t="shared" si="5"/>
        <v>0</v>
      </c>
      <c r="EJ8" s="24">
        <f t="shared" si="5"/>
        <v>0</v>
      </c>
      <c r="EK8" s="24">
        <f t="shared" si="5"/>
        <v>0</v>
      </c>
      <c r="EL8" s="24">
        <f t="shared" si="5"/>
        <v>0</v>
      </c>
      <c r="EM8" s="24">
        <f t="shared" si="5"/>
        <v>0</v>
      </c>
      <c r="EN8" s="24">
        <f t="shared" si="5"/>
        <v>0</v>
      </c>
      <c r="EO8" s="24">
        <f t="shared" si="5"/>
        <v>0</v>
      </c>
      <c r="EP8" s="24">
        <f t="shared" si="5"/>
        <v>0</v>
      </c>
      <c r="EQ8" s="24">
        <f t="shared" si="5"/>
        <v>0</v>
      </c>
      <c r="ER8" s="24">
        <f t="shared" si="5"/>
        <v>0</v>
      </c>
      <c r="ES8" s="24">
        <f t="shared" si="5"/>
        <v>0</v>
      </c>
      <c r="ET8" s="24">
        <f t="shared" si="5"/>
        <v>0</v>
      </c>
      <c r="EU8" s="24">
        <f t="shared" si="5"/>
        <v>0</v>
      </c>
      <c r="EV8" s="24">
        <f t="shared" si="5"/>
        <v>0</v>
      </c>
      <c r="EW8" s="24">
        <f t="shared" si="5"/>
        <v>0</v>
      </c>
      <c r="EX8" s="24">
        <f t="shared" si="5"/>
        <v>0</v>
      </c>
      <c r="EY8" s="24">
        <f t="shared" si="5"/>
        <v>0</v>
      </c>
      <c r="EZ8" s="24">
        <f t="shared" si="5"/>
        <v>0</v>
      </c>
      <c r="FA8" s="24">
        <f t="shared" si="5"/>
        <v>0</v>
      </c>
      <c r="FB8" s="24">
        <f t="shared" si="5"/>
        <v>0</v>
      </c>
      <c r="FC8" s="24">
        <f t="shared" si="5"/>
        <v>0</v>
      </c>
      <c r="FD8" s="24">
        <f t="shared" si="5"/>
        <v>0</v>
      </c>
      <c r="FE8" s="24">
        <f t="shared" si="5"/>
        <v>0</v>
      </c>
      <c r="FF8" s="24">
        <f t="shared" si="5"/>
        <v>0</v>
      </c>
      <c r="FG8" s="24">
        <f t="shared" si="5"/>
        <v>0</v>
      </c>
      <c r="FH8" s="24">
        <f t="shared" si="5"/>
        <v>0</v>
      </c>
      <c r="FI8" s="24">
        <f t="shared" si="5"/>
        <v>0</v>
      </c>
      <c r="FJ8" s="24">
        <f t="shared" si="5"/>
        <v>0</v>
      </c>
      <c r="FK8" s="24">
        <f t="shared" si="5"/>
        <v>0</v>
      </c>
      <c r="FL8" s="24">
        <f t="shared" si="5"/>
        <v>0</v>
      </c>
      <c r="FM8" s="24">
        <f t="shared" si="5"/>
        <v>0</v>
      </c>
      <c r="FN8" s="24">
        <f t="shared" si="5"/>
        <v>0</v>
      </c>
      <c r="FO8" s="24">
        <f t="shared" si="5"/>
        <v>0</v>
      </c>
      <c r="FP8" s="24">
        <f t="shared" si="5"/>
        <v>0</v>
      </c>
      <c r="FQ8" s="24">
        <f t="shared" si="5"/>
        <v>0</v>
      </c>
      <c r="FR8" s="24">
        <f t="shared" si="5"/>
        <v>0</v>
      </c>
      <c r="FS8" s="24">
        <f t="shared" si="5"/>
        <v>0</v>
      </c>
      <c r="FT8" s="24">
        <f t="shared" si="5"/>
        <v>0</v>
      </c>
      <c r="FU8" s="24">
        <f t="shared" si="5"/>
        <v>0</v>
      </c>
      <c r="FV8" s="24">
        <f t="shared" si="5"/>
        <v>0</v>
      </c>
      <c r="FW8" s="24">
        <f t="shared" si="5"/>
        <v>0</v>
      </c>
      <c r="FX8" s="24">
        <f t="shared" si="5"/>
        <v>0</v>
      </c>
      <c r="FY8" s="24">
        <f t="shared" si="5"/>
        <v>0</v>
      </c>
      <c r="FZ8" s="24">
        <f t="shared" si="5"/>
        <v>0</v>
      </c>
    </row>
    <row r="9" spans="1:182" x14ac:dyDescent="0.45">
      <c r="A9" s="893" t="s">
        <v>258</v>
      </c>
      <c r="B9" s="894"/>
      <c r="C9" s="24">
        <f t="shared" ref="C9:AH9" si="6">C6*(CST_INTEREST_CASH/12)</f>
        <v>0</v>
      </c>
      <c r="D9" s="24">
        <f t="shared" si="6"/>
        <v>0</v>
      </c>
      <c r="E9" s="24">
        <f t="shared" si="6"/>
        <v>0</v>
      </c>
      <c r="F9" s="24">
        <f t="shared" si="6"/>
        <v>0</v>
      </c>
      <c r="G9" s="24">
        <f t="shared" si="6"/>
        <v>0</v>
      </c>
      <c r="H9" s="24">
        <f t="shared" si="6"/>
        <v>0</v>
      </c>
      <c r="I9" s="24">
        <f t="shared" si="6"/>
        <v>0</v>
      </c>
      <c r="J9" s="24">
        <f t="shared" si="6"/>
        <v>0</v>
      </c>
      <c r="K9" s="24">
        <f t="shared" si="6"/>
        <v>0</v>
      </c>
      <c r="L9" s="24">
        <f t="shared" si="6"/>
        <v>0</v>
      </c>
      <c r="M9" s="24">
        <f t="shared" si="6"/>
        <v>0</v>
      </c>
      <c r="N9" s="24">
        <f t="shared" si="6"/>
        <v>0</v>
      </c>
      <c r="O9" s="24">
        <f t="shared" si="6"/>
        <v>0</v>
      </c>
      <c r="P9" s="24">
        <f t="shared" si="6"/>
        <v>0</v>
      </c>
      <c r="Q9" s="24">
        <f t="shared" si="6"/>
        <v>0</v>
      </c>
      <c r="R9" s="24">
        <f t="shared" si="6"/>
        <v>0</v>
      </c>
      <c r="S9" s="24">
        <f t="shared" si="6"/>
        <v>0</v>
      </c>
      <c r="T9" s="24">
        <f t="shared" si="6"/>
        <v>0</v>
      </c>
      <c r="U9" s="24">
        <f t="shared" si="6"/>
        <v>0</v>
      </c>
      <c r="V9" s="24">
        <f t="shared" si="6"/>
        <v>0</v>
      </c>
      <c r="W9" s="24">
        <f t="shared" si="6"/>
        <v>0</v>
      </c>
      <c r="X9" s="24">
        <f t="shared" si="6"/>
        <v>0</v>
      </c>
      <c r="Y9" s="24">
        <f t="shared" si="6"/>
        <v>0</v>
      </c>
      <c r="Z9" s="24">
        <f t="shared" si="6"/>
        <v>0</v>
      </c>
      <c r="AA9" s="24">
        <f t="shared" si="6"/>
        <v>0</v>
      </c>
      <c r="AB9" s="24">
        <f t="shared" si="6"/>
        <v>0</v>
      </c>
      <c r="AC9" s="24">
        <f t="shared" si="6"/>
        <v>0</v>
      </c>
      <c r="AD9" s="24">
        <f t="shared" si="6"/>
        <v>0</v>
      </c>
      <c r="AE9" s="24">
        <f t="shared" si="6"/>
        <v>0</v>
      </c>
      <c r="AF9" s="24">
        <f t="shared" si="6"/>
        <v>0</v>
      </c>
      <c r="AG9" s="24">
        <f t="shared" si="6"/>
        <v>0</v>
      </c>
      <c r="AH9" s="24">
        <f t="shared" si="6"/>
        <v>0</v>
      </c>
      <c r="AI9" s="24">
        <f t="shared" ref="AI9:BN9" si="7">AI6*(CST_INTEREST_CASH/12)</f>
        <v>0</v>
      </c>
      <c r="AJ9" s="24">
        <f t="shared" si="7"/>
        <v>0</v>
      </c>
      <c r="AK9" s="24">
        <f t="shared" si="7"/>
        <v>0</v>
      </c>
      <c r="AL9" s="24">
        <f t="shared" si="7"/>
        <v>0</v>
      </c>
      <c r="AM9" s="24">
        <f t="shared" si="7"/>
        <v>0</v>
      </c>
      <c r="AN9" s="24">
        <f t="shared" si="7"/>
        <v>0</v>
      </c>
      <c r="AO9" s="24">
        <f t="shared" si="7"/>
        <v>0</v>
      </c>
      <c r="AP9" s="24">
        <f t="shared" si="7"/>
        <v>0</v>
      </c>
      <c r="AQ9" s="24">
        <f t="shared" si="7"/>
        <v>0</v>
      </c>
      <c r="AR9" s="24">
        <f t="shared" si="7"/>
        <v>0</v>
      </c>
      <c r="AS9" s="24">
        <f t="shared" si="7"/>
        <v>0</v>
      </c>
      <c r="AT9" s="24">
        <f t="shared" si="7"/>
        <v>0</v>
      </c>
      <c r="AU9" s="24">
        <f t="shared" si="7"/>
        <v>0</v>
      </c>
      <c r="AV9" s="24">
        <f t="shared" si="7"/>
        <v>0</v>
      </c>
      <c r="AW9" s="24">
        <f t="shared" si="7"/>
        <v>0</v>
      </c>
      <c r="AX9" s="24">
        <f t="shared" si="7"/>
        <v>0</v>
      </c>
      <c r="AY9" s="24">
        <f t="shared" si="7"/>
        <v>0</v>
      </c>
      <c r="AZ9" s="24">
        <f t="shared" si="7"/>
        <v>0</v>
      </c>
      <c r="BA9" s="24">
        <f t="shared" si="7"/>
        <v>0</v>
      </c>
      <c r="BB9" s="24">
        <f t="shared" si="7"/>
        <v>0</v>
      </c>
      <c r="BC9" s="24">
        <f t="shared" si="7"/>
        <v>0</v>
      </c>
      <c r="BD9" s="24">
        <f t="shared" si="7"/>
        <v>0</v>
      </c>
      <c r="BE9" s="24">
        <f t="shared" si="7"/>
        <v>0</v>
      </c>
      <c r="BF9" s="24">
        <f t="shared" si="7"/>
        <v>0</v>
      </c>
      <c r="BG9" s="24">
        <f t="shared" si="7"/>
        <v>0</v>
      </c>
      <c r="BH9" s="24">
        <f t="shared" si="7"/>
        <v>0</v>
      </c>
      <c r="BI9" s="24">
        <f t="shared" si="7"/>
        <v>0</v>
      </c>
      <c r="BJ9" s="24">
        <f t="shared" si="7"/>
        <v>0</v>
      </c>
      <c r="BK9" s="24">
        <f t="shared" si="7"/>
        <v>0</v>
      </c>
      <c r="BL9" s="24">
        <f t="shared" si="7"/>
        <v>0</v>
      </c>
      <c r="BM9" s="24">
        <f t="shared" si="7"/>
        <v>0</v>
      </c>
      <c r="BN9" s="24">
        <f t="shared" si="7"/>
        <v>0</v>
      </c>
      <c r="BO9" s="24">
        <f t="shared" ref="BO9:CT9" si="8">BO6*(CST_INTEREST_CASH/12)</f>
        <v>0</v>
      </c>
      <c r="BP9" s="24">
        <f t="shared" si="8"/>
        <v>0</v>
      </c>
      <c r="BQ9" s="24">
        <f t="shared" si="8"/>
        <v>0</v>
      </c>
      <c r="BR9" s="24">
        <f t="shared" si="8"/>
        <v>0</v>
      </c>
      <c r="BS9" s="24">
        <f t="shared" si="8"/>
        <v>0</v>
      </c>
      <c r="BT9" s="24">
        <f t="shared" si="8"/>
        <v>0</v>
      </c>
      <c r="BU9" s="24">
        <f t="shared" si="8"/>
        <v>0</v>
      </c>
      <c r="BV9" s="24">
        <f t="shared" si="8"/>
        <v>0</v>
      </c>
      <c r="BW9" s="24">
        <f t="shared" si="8"/>
        <v>0</v>
      </c>
      <c r="BX9" s="24">
        <f t="shared" si="8"/>
        <v>0</v>
      </c>
      <c r="BY9" s="24">
        <f t="shared" si="8"/>
        <v>0</v>
      </c>
      <c r="BZ9" s="24">
        <f t="shared" si="8"/>
        <v>0</v>
      </c>
      <c r="CA9" s="24">
        <f t="shared" si="8"/>
        <v>0</v>
      </c>
      <c r="CB9" s="24">
        <f t="shared" si="8"/>
        <v>0</v>
      </c>
      <c r="CC9" s="24">
        <f t="shared" si="8"/>
        <v>0</v>
      </c>
      <c r="CD9" s="24">
        <f t="shared" si="8"/>
        <v>0</v>
      </c>
      <c r="CE9" s="24">
        <f t="shared" si="8"/>
        <v>0</v>
      </c>
      <c r="CF9" s="24">
        <f t="shared" si="8"/>
        <v>0</v>
      </c>
      <c r="CG9" s="24">
        <f t="shared" si="8"/>
        <v>0</v>
      </c>
      <c r="CH9" s="24">
        <f t="shared" si="8"/>
        <v>0</v>
      </c>
      <c r="CI9" s="24">
        <f t="shared" si="8"/>
        <v>0</v>
      </c>
      <c r="CJ9" s="24">
        <f t="shared" si="8"/>
        <v>0</v>
      </c>
      <c r="CK9" s="24">
        <f t="shared" si="8"/>
        <v>0</v>
      </c>
      <c r="CL9" s="24">
        <f t="shared" si="8"/>
        <v>0</v>
      </c>
      <c r="CM9" s="24">
        <f t="shared" si="8"/>
        <v>0</v>
      </c>
      <c r="CN9" s="24">
        <f t="shared" si="8"/>
        <v>0</v>
      </c>
      <c r="CO9" s="24">
        <f t="shared" si="8"/>
        <v>0</v>
      </c>
      <c r="CP9" s="24">
        <f t="shared" si="8"/>
        <v>0</v>
      </c>
      <c r="CQ9" s="24">
        <f t="shared" si="8"/>
        <v>0</v>
      </c>
      <c r="CR9" s="24">
        <f t="shared" si="8"/>
        <v>0</v>
      </c>
      <c r="CS9" s="24">
        <f t="shared" si="8"/>
        <v>0</v>
      </c>
      <c r="CT9" s="24">
        <f t="shared" si="8"/>
        <v>0</v>
      </c>
      <c r="CU9" s="24">
        <f t="shared" ref="CU9:DZ9" si="9">CU6*(CST_INTEREST_CASH/12)</f>
        <v>0</v>
      </c>
      <c r="CV9" s="24">
        <f t="shared" si="9"/>
        <v>0</v>
      </c>
      <c r="CW9" s="24">
        <f t="shared" si="9"/>
        <v>0</v>
      </c>
      <c r="CX9" s="24">
        <f t="shared" si="9"/>
        <v>0</v>
      </c>
      <c r="CY9" s="24">
        <f t="shared" si="9"/>
        <v>0</v>
      </c>
      <c r="CZ9" s="24">
        <f t="shared" si="9"/>
        <v>0</v>
      </c>
      <c r="DA9" s="24">
        <f t="shared" si="9"/>
        <v>0</v>
      </c>
      <c r="DB9" s="24">
        <f t="shared" si="9"/>
        <v>0</v>
      </c>
      <c r="DC9" s="24">
        <f t="shared" si="9"/>
        <v>0</v>
      </c>
      <c r="DD9" s="24">
        <f t="shared" si="9"/>
        <v>0</v>
      </c>
      <c r="DE9" s="24">
        <f t="shared" si="9"/>
        <v>0</v>
      </c>
      <c r="DF9" s="24">
        <f t="shared" si="9"/>
        <v>0</v>
      </c>
      <c r="DG9" s="24">
        <f t="shared" si="9"/>
        <v>0</v>
      </c>
      <c r="DH9" s="24">
        <f t="shared" si="9"/>
        <v>0</v>
      </c>
      <c r="DI9" s="24">
        <f t="shared" si="9"/>
        <v>0</v>
      </c>
      <c r="DJ9" s="24">
        <f t="shared" si="9"/>
        <v>0</v>
      </c>
      <c r="DK9" s="24">
        <f t="shared" si="9"/>
        <v>0</v>
      </c>
      <c r="DL9" s="24">
        <f t="shared" si="9"/>
        <v>0</v>
      </c>
      <c r="DM9" s="24">
        <f t="shared" si="9"/>
        <v>0</v>
      </c>
      <c r="DN9" s="24">
        <f t="shared" si="9"/>
        <v>0</v>
      </c>
      <c r="DO9" s="24">
        <f t="shared" si="9"/>
        <v>0</v>
      </c>
      <c r="DP9" s="24">
        <f t="shared" si="9"/>
        <v>0</v>
      </c>
      <c r="DQ9" s="24">
        <f t="shared" si="9"/>
        <v>0</v>
      </c>
      <c r="DR9" s="24">
        <f t="shared" si="9"/>
        <v>0</v>
      </c>
      <c r="DS9" s="24">
        <f t="shared" si="9"/>
        <v>0</v>
      </c>
      <c r="DT9" s="24">
        <f t="shared" si="9"/>
        <v>0</v>
      </c>
      <c r="DU9" s="24">
        <f t="shared" si="9"/>
        <v>0</v>
      </c>
      <c r="DV9" s="24">
        <f t="shared" si="9"/>
        <v>0</v>
      </c>
      <c r="DW9" s="24">
        <f t="shared" si="9"/>
        <v>0</v>
      </c>
      <c r="DX9" s="24">
        <f t="shared" si="9"/>
        <v>0</v>
      </c>
      <c r="DY9" s="24">
        <f t="shared" si="9"/>
        <v>0</v>
      </c>
      <c r="DZ9" s="24">
        <f t="shared" si="9"/>
        <v>0</v>
      </c>
      <c r="EA9" s="24">
        <f t="shared" ref="EA9:FF9" si="10">EA6*(CST_INTEREST_CASH/12)</f>
        <v>0</v>
      </c>
      <c r="EB9" s="24">
        <f t="shared" si="10"/>
        <v>0</v>
      </c>
      <c r="EC9" s="24">
        <f t="shared" si="10"/>
        <v>0</v>
      </c>
      <c r="ED9" s="24">
        <f t="shared" si="10"/>
        <v>0</v>
      </c>
      <c r="EE9" s="24">
        <f t="shared" si="10"/>
        <v>0</v>
      </c>
      <c r="EF9" s="24">
        <f t="shared" si="10"/>
        <v>0</v>
      </c>
      <c r="EG9" s="24">
        <f t="shared" si="10"/>
        <v>0</v>
      </c>
      <c r="EH9" s="24">
        <f t="shared" si="10"/>
        <v>0</v>
      </c>
      <c r="EI9" s="24">
        <f t="shared" si="10"/>
        <v>0</v>
      </c>
      <c r="EJ9" s="24">
        <f t="shared" si="10"/>
        <v>0</v>
      </c>
      <c r="EK9" s="24">
        <f t="shared" si="10"/>
        <v>0</v>
      </c>
      <c r="EL9" s="24">
        <f t="shared" si="10"/>
        <v>0</v>
      </c>
      <c r="EM9" s="24">
        <f t="shared" si="10"/>
        <v>0</v>
      </c>
      <c r="EN9" s="24">
        <f t="shared" si="10"/>
        <v>0</v>
      </c>
      <c r="EO9" s="24">
        <f t="shared" si="10"/>
        <v>0</v>
      </c>
      <c r="EP9" s="24">
        <f t="shared" si="10"/>
        <v>0</v>
      </c>
      <c r="EQ9" s="24">
        <f t="shared" si="10"/>
        <v>0</v>
      </c>
      <c r="ER9" s="24">
        <f t="shared" si="10"/>
        <v>0</v>
      </c>
      <c r="ES9" s="24">
        <f t="shared" si="10"/>
        <v>0</v>
      </c>
      <c r="ET9" s="24">
        <f t="shared" si="10"/>
        <v>0</v>
      </c>
      <c r="EU9" s="24">
        <f t="shared" si="10"/>
        <v>0</v>
      </c>
      <c r="EV9" s="24">
        <f t="shared" si="10"/>
        <v>0</v>
      </c>
      <c r="EW9" s="24">
        <f t="shared" si="10"/>
        <v>0</v>
      </c>
      <c r="EX9" s="24">
        <f t="shared" si="10"/>
        <v>0</v>
      </c>
      <c r="EY9" s="24">
        <f t="shared" si="10"/>
        <v>0</v>
      </c>
      <c r="EZ9" s="24">
        <f t="shared" si="10"/>
        <v>0</v>
      </c>
      <c r="FA9" s="24">
        <f t="shared" si="10"/>
        <v>0</v>
      </c>
      <c r="FB9" s="24">
        <f t="shared" si="10"/>
        <v>0</v>
      </c>
      <c r="FC9" s="24">
        <f t="shared" si="10"/>
        <v>0</v>
      </c>
      <c r="FD9" s="24">
        <f t="shared" si="10"/>
        <v>0</v>
      </c>
      <c r="FE9" s="24">
        <f t="shared" si="10"/>
        <v>0</v>
      </c>
      <c r="FF9" s="24">
        <f t="shared" si="10"/>
        <v>0</v>
      </c>
      <c r="FG9" s="24">
        <f t="shared" ref="FG9:FZ9" si="11">FG6*(CST_INTEREST_CASH/12)</f>
        <v>0</v>
      </c>
      <c r="FH9" s="24">
        <f t="shared" si="11"/>
        <v>0</v>
      </c>
      <c r="FI9" s="24">
        <f t="shared" si="11"/>
        <v>0</v>
      </c>
      <c r="FJ9" s="24">
        <f t="shared" si="11"/>
        <v>0</v>
      </c>
      <c r="FK9" s="24">
        <f t="shared" si="11"/>
        <v>0</v>
      </c>
      <c r="FL9" s="24">
        <f t="shared" si="11"/>
        <v>0</v>
      </c>
      <c r="FM9" s="24">
        <f t="shared" si="11"/>
        <v>0</v>
      </c>
      <c r="FN9" s="24">
        <f t="shared" si="11"/>
        <v>0</v>
      </c>
      <c r="FO9" s="24">
        <f t="shared" si="11"/>
        <v>0</v>
      </c>
      <c r="FP9" s="24">
        <f t="shared" si="11"/>
        <v>0</v>
      </c>
      <c r="FQ9" s="24">
        <f t="shared" si="11"/>
        <v>0</v>
      </c>
      <c r="FR9" s="24">
        <f t="shared" si="11"/>
        <v>0</v>
      </c>
      <c r="FS9" s="24">
        <f t="shared" si="11"/>
        <v>0</v>
      </c>
      <c r="FT9" s="24">
        <f t="shared" si="11"/>
        <v>0</v>
      </c>
      <c r="FU9" s="24">
        <f t="shared" si="11"/>
        <v>0</v>
      </c>
      <c r="FV9" s="24">
        <f t="shared" si="11"/>
        <v>0</v>
      </c>
      <c r="FW9" s="24">
        <f t="shared" si="11"/>
        <v>0</v>
      </c>
      <c r="FX9" s="24">
        <f t="shared" si="11"/>
        <v>0</v>
      </c>
      <c r="FY9" s="24">
        <f t="shared" si="11"/>
        <v>0</v>
      </c>
      <c r="FZ9" s="24">
        <f t="shared" si="11"/>
        <v>0</v>
      </c>
    </row>
  </sheetData>
  <mergeCells count="22">
    <mergeCell ref="A6:B6"/>
    <mergeCell ref="A7:B7"/>
    <mergeCell ref="A8:B8"/>
    <mergeCell ref="A9:B9"/>
    <mergeCell ref="EE3:EP3"/>
    <mergeCell ref="AY3:BJ3"/>
    <mergeCell ref="EQ3:FB3"/>
    <mergeCell ref="FC3:FN3"/>
    <mergeCell ref="FO3:FZ3"/>
    <mergeCell ref="A4:B4"/>
    <mergeCell ref="A5:B5"/>
    <mergeCell ref="BK3:BV3"/>
    <mergeCell ref="BW3:CH3"/>
    <mergeCell ref="CI3:CT3"/>
    <mergeCell ref="CU3:DF3"/>
    <mergeCell ref="DG3:DR3"/>
    <mergeCell ref="DS3:ED3"/>
    <mergeCell ref="A3:B3"/>
    <mergeCell ref="C3:N3"/>
    <mergeCell ref="O3:Z3"/>
    <mergeCell ref="AA3:AL3"/>
    <mergeCell ref="AM3:AX3"/>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6" tint="0.39997558519241921"/>
  </sheetPr>
  <dimension ref="A1:IH9"/>
  <sheetViews>
    <sheetView workbookViewId="0"/>
  </sheetViews>
  <sheetFormatPr defaultRowHeight="14.25" x14ac:dyDescent="0.45"/>
  <cols>
    <col min="1" max="1" width="36.265625" customWidth="1"/>
    <col min="2" max="2" width="4.86328125" customWidth="1"/>
    <col min="3" max="242" width="14.3984375" customWidth="1"/>
  </cols>
  <sheetData>
    <row r="1" spans="1:242" ht="23.25" x14ac:dyDescent="0.7">
      <c r="A1" s="9" t="s">
        <v>246</v>
      </c>
      <c r="B1" s="9"/>
    </row>
    <row r="3" spans="1:242" x14ac:dyDescent="0.45">
      <c r="A3" s="888" t="s">
        <v>166</v>
      </c>
      <c r="B3" s="889"/>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row>
    <row r="4" spans="1:242" x14ac:dyDescent="0.45">
      <c r="A4" s="888" t="s">
        <v>167</v>
      </c>
      <c r="B4" s="889"/>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2" x14ac:dyDescent="0.45">
      <c r="A5" s="888" t="s">
        <v>253</v>
      </c>
      <c r="B5" s="889"/>
      <c r="C5" s="70">
        <v>1</v>
      </c>
      <c r="D5" s="71">
        <v>2</v>
      </c>
      <c r="E5" s="71">
        <v>3</v>
      </c>
      <c r="F5" s="70">
        <v>4</v>
      </c>
      <c r="G5" s="71">
        <v>5</v>
      </c>
      <c r="H5" s="71">
        <v>6</v>
      </c>
      <c r="I5" s="70">
        <v>7</v>
      </c>
      <c r="J5" s="71">
        <v>8</v>
      </c>
      <c r="K5" s="71">
        <v>9</v>
      </c>
      <c r="L5" s="70">
        <v>10</v>
      </c>
      <c r="M5" s="71">
        <v>11</v>
      </c>
      <c r="N5" s="71">
        <v>12</v>
      </c>
      <c r="O5" s="70">
        <v>13</v>
      </c>
      <c r="P5" s="71">
        <v>14</v>
      </c>
      <c r="Q5" s="71">
        <v>15</v>
      </c>
      <c r="R5" s="70">
        <v>16</v>
      </c>
      <c r="S5" s="71">
        <v>17</v>
      </c>
      <c r="T5" s="71">
        <v>18</v>
      </c>
      <c r="U5" s="70">
        <v>19</v>
      </c>
      <c r="V5" s="71">
        <v>20</v>
      </c>
      <c r="W5" s="71">
        <v>21</v>
      </c>
      <c r="X5" s="70">
        <v>22</v>
      </c>
      <c r="Y5" s="71">
        <v>23</v>
      </c>
      <c r="Z5" s="71">
        <v>24</v>
      </c>
      <c r="AA5" s="70">
        <v>25</v>
      </c>
      <c r="AB5" s="71">
        <v>26</v>
      </c>
      <c r="AC5" s="71">
        <v>27</v>
      </c>
      <c r="AD5" s="70">
        <v>28</v>
      </c>
      <c r="AE5" s="71">
        <v>29</v>
      </c>
      <c r="AF5" s="71">
        <v>30</v>
      </c>
      <c r="AG5" s="70">
        <v>31</v>
      </c>
      <c r="AH5" s="71">
        <v>32</v>
      </c>
      <c r="AI5" s="71">
        <v>33</v>
      </c>
      <c r="AJ5" s="70">
        <v>34</v>
      </c>
      <c r="AK5" s="71">
        <v>35</v>
      </c>
      <c r="AL5" s="71">
        <v>36</v>
      </c>
      <c r="AM5" s="70">
        <v>37</v>
      </c>
      <c r="AN5" s="71">
        <v>38</v>
      </c>
      <c r="AO5" s="71">
        <v>39</v>
      </c>
      <c r="AP5" s="70">
        <v>40</v>
      </c>
      <c r="AQ5" s="71">
        <v>41</v>
      </c>
      <c r="AR5" s="71">
        <v>42</v>
      </c>
      <c r="AS5" s="70">
        <v>43</v>
      </c>
      <c r="AT5" s="71">
        <v>44</v>
      </c>
      <c r="AU5" s="71">
        <v>45</v>
      </c>
      <c r="AV5" s="70">
        <v>46</v>
      </c>
      <c r="AW5" s="71">
        <v>47</v>
      </c>
      <c r="AX5" s="71">
        <v>48</v>
      </c>
      <c r="AY5" s="70">
        <v>49</v>
      </c>
      <c r="AZ5" s="71">
        <v>50</v>
      </c>
      <c r="BA5" s="71">
        <v>51</v>
      </c>
      <c r="BB5" s="70">
        <v>52</v>
      </c>
      <c r="BC5" s="71">
        <v>53</v>
      </c>
      <c r="BD5" s="71">
        <v>54</v>
      </c>
      <c r="BE5" s="70">
        <v>55</v>
      </c>
      <c r="BF5" s="71">
        <v>56</v>
      </c>
      <c r="BG5" s="71">
        <v>57</v>
      </c>
      <c r="BH5" s="70">
        <v>58</v>
      </c>
      <c r="BI5" s="71">
        <v>59</v>
      </c>
      <c r="BJ5" s="71">
        <v>60</v>
      </c>
      <c r="BK5" s="70">
        <v>61</v>
      </c>
      <c r="BL5" s="71">
        <v>62</v>
      </c>
      <c r="BM5" s="71">
        <v>63</v>
      </c>
      <c r="BN5" s="70">
        <v>64</v>
      </c>
      <c r="BO5" s="71">
        <v>65</v>
      </c>
      <c r="BP5" s="71">
        <v>66</v>
      </c>
      <c r="BQ5" s="70">
        <v>67</v>
      </c>
      <c r="BR5" s="71">
        <v>68</v>
      </c>
      <c r="BS5" s="71">
        <v>69</v>
      </c>
      <c r="BT5" s="70">
        <v>70</v>
      </c>
      <c r="BU5" s="71">
        <v>71</v>
      </c>
      <c r="BV5" s="71">
        <v>72</v>
      </c>
      <c r="BW5" s="70">
        <v>73</v>
      </c>
      <c r="BX5" s="71">
        <v>74</v>
      </c>
      <c r="BY5" s="71">
        <v>75</v>
      </c>
      <c r="BZ5" s="70">
        <v>76</v>
      </c>
      <c r="CA5" s="71">
        <v>77</v>
      </c>
      <c r="CB5" s="71">
        <v>78</v>
      </c>
      <c r="CC5" s="70">
        <v>79</v>
      </c>
      <c r="CD5" s="71">
        <v>80</v>
      </c>
      <c r="CE5" s="71">
        <v>81</v>
      </c>
      <c r="CF5" s="70">
        <v>82</v>
      </c>
      <c r="CG5" s="71">
        <v>83</v>
      </c>
      <c r="CH5" s="71">
        <v>84</v>
      </c>
      <c r="CI5" s="70">
        <v>85</v>
      </c>
      <c r="CJ5" s="71">
        <v>86</v>
      </c>
      <c r="CK5" s="71">
        <v>87</v>
      </c>
      <c r="CL5" s="70">
        <v>88</v>
      </c>
      <c r="CM5" s="71">
        <v>89</v>
      </c>
      <c r="CN5" s="71">
        <v>90</v>
      </c>
      <c r="CO5" s="70">
        <v>91</v>
      </c>
      <c r="CP5" s="71">
        <v>92</v>
      </c>
      <c r="CQ5" s="71">
        <v>93</v>
      </c>
      <c r="CR5" s="70">
        <v>94</v>
      </c>
      <c r="CS5" s="71">
        <v>95</v>
      </c>
      <c r="CT5" s="71">
        <v>96</v>
      </c>
      <c r="CU5" s="70">
        <v>97</v>
      </c>
      <c r="CV5" s="71">
        <v>98</v>
      </c>
      <c r="CW5" s="71">
        <v>99</v>
      </c>
      <c r="CX5" s="70">
        <v>100</v>
      </c>
      <c r="CY5" s="71">
        <v>101</v>
      </c>
      <c r="CZ5" s="71">
        <v>102</v>
      </c>
      <c r="DA5" s="70">
        <v>103</v>
      </c>
      <c r="DB5" s="71">
        <v>104</v>
      </c>
      <c r="DC5" s="71">
        <v>105</v>
      </c>
      <c r="DD5" s="70">
        <v>106</v>
      </c>
      <c r="DE5" s="71">
        <v>107</v>
      </c>
      <c r="DF5" s="71">
        <v>108</v>
      </c>
      <c r="DG5" s="70">
        <v>109</v>
      </c>
      <c r="DH5" s="71">
        <v>110</v>
      </c>
      <c r="DI5" s="71">
        <v>111</v>
      </c>
      <c r="DJ5" s="70">
        <v>112</v>
      </c>
      <c r="DK5" s="71">
        <v>113</v>
      </c>
      <c r="DL5" s="71">
        <v>114</v>
      </c>
      <c r="DM5" s="70">
        <v>115</v>
      </c>
      <c r="DN5" s="71">
        <v>116</v>
      </c>
      <c r="DO5" s="71">
        <v>117</v>
      </c>
      <c r="DP5" s="70">
        <v>118</v>
      </c>
      <c r="DQ5" s="71">
        <v>119</v>
      </c>
      <c r="DR5" s="71">
        <v>120</v>
      </c>
      <c r="DS5" s="70">
        <v>121</v>
      </c>
      <c r="DT5" s="71">
        <v>122</v>
      </c>
      <c r="DU5" s="71">
        <v>123</v>
      </c>
      <c r="DV5" s="70">
        <v>124</v>
      </c>
      <c r="DW5" s="71">
        <v>125</v>
      </c>
      <c r="DX5" s="71">
        <v>126</v>
      </c>
      <c r="DY5" s="70">
        <v>127</v>
      </c>
      <c r="DZ5" s="71">
        <v>128</v>
      </c>
      <c r="EA5" s="71">
        <v>129</v>
      </c>
      <c r="EB5" s="70">
        <v>130</v>
      </c>
      <c r="EC5" s="71">
        <v>131</v>
      </c>
      <c r="ED5" s="71">
        <v>132</v>
      </c>
      <c r="EE5" s="70">
        <v>133</v>
      </c>
      <c r="EF5" s="71">
        <v>134</v>
      </c>
      <c r="EG5" s="71">
        <v>135</v>
      </c>
      <c r="EH5" s="70">
        <v>136</v>
      </c>
      <c r="EI5" s="71">
        <v>137</v>
      </c>
      <c r="EJ5" s="71">
        <v>138</v>
      </c>
      <c r="EK5" s="70">
        <v>139</v>
      </c>
      <c r="EL5" s="71">
        <v>140</v>
      </c>
      <c r="EM5" s="71">
        <v>141</v>
      </c>
      <c r="EN5" s="70">
        <v>142</v>
      </c>
      <c r="EO5" s="71">
        <v>143</v>
      </c>
      <c r="EP5" s="71">
        <v>144</v>
      </c>
      <c r="EQ5" s="70">
        <v>145</v>
      </c>
      <c r="ER5" s="71">
        <v>146</v>
      </c>
      <c r="ES5" s="71">
        <v>147</v>
      </c>
      <c r="ET5" s="70">
        <v>148</v>
      </c>
      <c r="EU5" s="71">
        <v>149</v>
      </c>
      <c r="EV5" s="71">
        <v>150</v>
      </c>
      <c r="EW5" s="70">
        <v>151</v>
      </c>
      <c r="EX5" s="71">
        <v>152</v>
      </c>
      <c r="EY5" s="71">
        <v>153</v>
      </c>
      <c r="EZ5" s="70">
        <v>154</v>
      </c>
      <c r="FA5" s="71">
        <v>155</v>
      </c>
      <c r="FB5" s="71">
        <v>156</v>
      </c>
      <c r="FC5" s="70">
        <v>157</v>
      </c>
      <c r="FD5" s="71">
        <v>158</v>
      </c>
      <c r="FE5" s="71">
        <v>159</v>
      </c>
      <c r="FF5" s="70">
        <v>160</v>
      </c>
      <c r="FG5" s="71">
        <v>161</v>
      </c>
      <c r="FH5" s="71">
        <v>162</v>
      </c>
      <c r="FI5" s="70">
        <v>163</v>
      </c>
      <c r="FJ5" s="71">
        <v>164</v>
      </c>
      <c r="FK5" s="71">
        <v>165</v>
      </c>
      <c r="FL5" s="70">
        <v>166</v>
      </c>
      <c r="FM5" s="71">
        <v>167</v>
      </c>
      <c r="FN5" s="71">
        <v>168</v>
      </c>
      <c r="FO5" s="70">
        <v>169</v>
      </c>
      <c r="FP5" s="71">
        <v>170</v>
      </c>
      <c r="FQ5" s="71">
        <v>171</v>
      </c>
      <c r="FR5" s="70">
        <v>172</v>
      </c>
      <c r="FS5" s="71">
        <v>173</v>
      </c>
      <c r="FT5" s="71">
        <v>174</v>
      </c>
      <c r="FU5" s="70">
        <v>175</v>
      </c>
      <c r="FV5" s="71">
        <v>176</v>
      </c>
      <c r="FW5" s="71">
        <v>177</v>
      </c>
      <c r="FX5" s="70">
        <v>178</v>
      </c>
      <c r="FY5" s="71">
        <v>179</v>
      </c>
      <c r="FZ5" s="71">
        <v>180</v>
      </c>
      <c r="GA5" s="71">
        <v>181</v>
      </c>
      <c r="GB5" s="71">
        <v>182</v>
      </c>
      <c r="GC5" s="71">
        <v>183</v>
      </c>
      <c r="GD5" s="71">
        <v>184</v>
      </c>
      <c r="GE5" s="71">
        <v>185</v>
      </c>
      <c r="GF5" s="71">
        <v>186</v>
      </c>
      <c r="GG5" s="71">
        <v>187</v>
      </c>
      <c r="GH5" s="71">
        <v>188</v>
      </c>
      <c r="GI5" s="71">
        <v>189</v>
      </c>
      <c r="GJ5" s="71">
        <v>190</v>
      </c>
      <c r="GK5" s="71">
        <v>191</v>
      </c>
      <c r="GL5" s="71">
        <v>192</v>
      </c>
      <c r="GM5" s="71">
        <v>193</v>
      </c>
      <c r="GN5" s="71">
        <v>194</v>
      </c>
      <c r="GO5" s="71">
        <v>195</v>
      </c>
      <c r="GP5" s="71">
        <v>196</v>
      </c>
      <c r="GQ5" s="71">
        <v>197</v>
      </c>
      <c r="GR5" s="71">
        <v>198</v>
      </c>
      <c r="GS5" s="71">
        <v>199</v>
      </c>
      <c r="GT5" s="71">
        <v>200</v>
      </c>
      <c r="GU5" s="71">
        <v>201</v>
      </c>
      <c r="GV5" s="71">
        <v>202</v>
      </c>
      <c r="GW5" s="71">
        <v>203</v>
      </c>
      <c r="GX5" s="71">
        <v>204</v>
      </c>
      <c r="GY5" s="71">
        <v>205</v>
      </c>
      <c r="GZ5" s="71">
        <v>206</v>
      </c>
      <c r="HA5" s="71">
        <v>207</v>
      </c>
      <c r="HB5" s="71">
        <v>208</v>
      </c>
      <c r="HC5" s="71">
        <v>209</v>
      </c>
      <c r="HD5" s="71">
        <v>210</v>
      </c>
      <c r="HE5" s="71">
        <v>211</v>
      </c>
      <c r="HF5" s="71">
        <v>212</v>
      </c>
      <c r="HG5" s="71">
        <v>213</v>
      </c>
      <c r="HH5" s="71">
        <v>214</v>
      </c>
      <c r="HI5" s="71">
        <v>215</v>
      </c>
      <c r="HJ5" s="71">
        <v>216</v>
      </c>
      <c r="HK5" s="71">
        <v>217</v>
      </c>
      <c r="HL5" s="71">
        <v>218</v>
      </c>
      <c r="HM5" s="71">
        <v>219</v>
      </c>
      <c r="HN5" s="71">
        <v>220</v>
      </c>
      <c r="HO5" s="71">
        <v>221</v>
      </c>
      <c r="HP5" s="71">
        <v>222</v>
      </c>
      <c r="HQ5" s="71">
        <v>223</v>
      </c>
      <c r="HR5" s="71">
        <v>224</v>
      </c>
      <c r="HS5" s="71">
        <v>225</v>
      </c>
      <c r="HT5" s="71">
        <v>226</v>
      </c>
      <c r="HU5" s="71">
        <v>227</v>
      </c>
      <c r="HV5" s="71">
        <v>228</v>
      </c>
      <c r="HW5" s="71">
        <v>229</v>
      </c>
      <c r="HX5" s="71">
        <v>230</v>
      </c>
      <c r="HY5" s="71">
        <v>231</v>
      </c>
      <c r="HZ5" s="71">
        <v>232</v>
      </c>
      <c r="IA5" s="71">
        <v>233</v>
      </c>
      <c r="IB5" s="71">
        <v>234</v>
      </c>
      <c r="IC5" s="71">
        <v>235</v>
      </c>
      <c r="ID5" s="71">
        <v>236</v>
      </c>
      <c r="IE5" s="71">
        <v>237</v>
      </c>
      <c r="IF5" s="71">
        <v>238</v>
      </c>
      <c r="IG5" s="71">
        <v>239</v>
      </c>
      <c r="IH5" s="71">
        <v>240</v>
      </c>
    </row>
    <row r="6" spans="1:242" x14ac:dyDescent="0.45">
      <c r="A6" s="893" t="s">
        <v>255</v>
      </c>
      <c r="B6" s="894"/>
      <c r="C6" s="60">
        <f>'Cash Flow'!C22</f>
        <v>0</v>
      </c>
      <c r="D6" s="60">
        <f>'Cash Flow'!D22</f>
        <v>1099869345.3716428</v>
      </c>
      <c r="E6" s="60">
        <f>'Cash Flow'!E22</f>
        <v>1098952869.1721928</v>
      </c>
      <c r="F6" s="60">
        <f>'Cash Flow'!F22</f>
        <v>1098476267.9727428</v>
      </c>
      <c r="G6" s="60">
        <f>'Cash Flow'!G22</f>
        <v>1097999666.7732928</v>
      </c>
      <c r="H6" s="60">
        <f>'Cash Flow'!H22</f>
        <v>1097523065.5738428</v>
      </c>
      <c r="I6" s="60">
        <f>'Cash Flow'!I22</f>
        <v>1097046464.3743927</v>
      </c>
      <c r="J6" s="60">
        <f>'Cash Flow'!J22</f>
        <v>1186977560.6469178</v>
      </c>
      <c r="K6" s="60">
        <f>'Cash Flow'!K22</f>
        <v>1231704808.1834552</v>
      </c>
      <c r="L6" s="60">
        <f>'Cash Flow'!L22</f>
        <v>1231228206.9840052</v>
      </c>
      <c r="M6" s="60">
        <f>'Cash Flow'!M22</f>
        <v>1275955454.5205429</v>
      </c>
      <c r="N6" s="60">
        <f>'Cash Flow'!N22</f>
        <v>1275478853.3210928</v>
      </c>
      <c r="O6" s="60">
        <f>'Cash Flow'!O22</f>
        <v>1320206100.8576303</v>
      </c>
      <c r="P6" s="60">
        <f>'Cash Flow'!P22</f>
        <v>1545769743.3381178</v>
      </c>
      <c r="Q6" s="60">
        <f>'Cash Flow'!Q22</f>
        <v>1545089027.4720013</v>
      </c>
      <c r="R6" s="60">
        <f>'Cash Flow'!R22</f>
        <v>1544569311.6058846</v>
      </c>
      <c r="S6" s="60">
        <f>'Cash Flow'!S22</f>
        <v>1544049595.739768</v>
      </c>
      <c r="T6" s="60">
        <f>'Cash Flow'!T22</f>
        <v>1543529879.8736513</v>
      </c>
      <c r="U6" s="60">
        <f>'Cash Flow'!U22</f>
        <v>1543010164.0075347</v>
      </c>
      <c r="V6" s="60">
        <f>'Cash Flow'!V22</f>
        <v>1632898145.6133931</v>
      </c>
      <c r="W6" s="60">
        <f>'Cash Flow'!W22</f>
        <v>1632378429.7472763</v>
      </c>
      <c r="X6" s="60">
        <f>'Cash Flow'!X22</f>
        <v>1677062562.6171472</v>
      </c>
      <c r="Y6" s="60">
        <f>'Cash Flow'!Y22</f>
        <v>1721746695.4870181</v>
      </c>
      <c r="Z6" s="60">
        <f>'Cash Flow'!Z22</f>
        <v>1721226979.6209016</v>
      </c>
      <c r="AA6" s="60">
        <f>'Cash Flow'!AA22</f>
        <v>1765911112.4907725</v>
      </c>
      <c r="AB6" s="60">
        <f>'Cash Flow'!AB22</f>
        <v>1767206505.0412314</v>
      </c>
      <c r="AC6" s="60">
        <f>'Cash Flow'!AC22</f>
        <v>1771483959.1596758</v>
      </c>
      <c r="AD6" s="60">
        <f>'Cash Flow'!AD22</f>
        <v>1775761413.2781203</v>
      </c>
      <c r="AE6" s="60">
        <f>'Cash Flow'!AE22</f>
        <v>1780038867.3965647</v>
      </c>
      <c r="AF6" s="60">
        <f>'Cash Flow'!AF22</f>
        <v>1784316321.5150092</v>
      </c>
      <c r="AG6" s="60">
        <f>'Cash Flow'!AG22</f>
        <v>1788593775.6334536</v>
      </c>
      <c r="AH6" s="60">
        <f>'Cash Flow'!AH22</f>
        <v>1792871229.7518981</v>
      </c>
      <c r="AI6" s="60">
        <f>'Cash Flow'!AI22</f>
        <v>1797148683.8703425</v>
      </c>
      <c r="AJ6" s="60">
        <f>'Cash Flow'!AJ22</f>
        <v>1801426137.9887869</v>
      </c>
      <c r="AK6" s="60">
        <f>'Cash Flow'!AK22</f>
        <v>1805703592.1072314</v>
      </c>
      <c r="AL6" s="60">
        <f>'Cash Flow'!AL22</f>
        <v>1809981046.2256758</v>
      </c>
      <c r="AM6" s="60">
        <f>'Cash Flow'!AM22</f>
        <v>1814258500.3441203</v>
      </c>
      <c r="AN6" s="60">
        <f>'Cash Flow'!AN22</f>
        <v>1819654686.5003917</v>
      </c>
      <c r="AO6" s="60">
        <f>'Cash Flow'!AO22</f>
        <v>1827549374.2078102</v>
      </c>
      <c r="AP6" s="60">
        <f>'Cash Flow'!AP22</f>
        <v>1835444061.9152288</v>
      </c>
      <c r="AQ6" s="60">
        <f>'Cash Flow'!AQ22</f>
        <v>1843338749.6226473</v>
      </c>
      <c r="AR6" s="60">
        <f>'Cash Flow'!AR22</f>
        <v>1851233437.330066</v>
      </c>
      <c r="AS6" s="60">
        <f>'Cash Flow'!AS22</f>
        <v>1859128125.0374844</v>
      </c>
      <c r="AT6" s="60">
        <f>'Cash Flow'!AT22</f>
        <v>1867022812.7449028</v>
      </c>
      <c r="AU6" s="60">
        <f>'Cash Flow'!AU22</f>
        <v>1874917500.4523213</v>
      </c>
      <c r="AV6" s="60">
        <f>'Cash Flow'!AV22</f>
        <v>1882812188.1597397</v>
      </c>
      <c r="AW6" s="60">
        <f>'Cash Flow'!AW22</f>
        <v>1890706875.8671582</v>
      </c>
      <c r="AX6" s="60">
        <f>'Cash Flow'!AX22</f>
        <v>1898601563.5745769</v>
      </c>
      <c r="AY6" s="60">
        <f>'Cash Flow'!AY22</f>
        <v>1906496251.2819955</v>
      </c>
      <c r="AZ6" s="60">
        <f>'Cash Flow'!AZ22</f>
        <v>1915202254.2745368</v>
      </c>
      <c r="BA6" s="60">
        <f>'Cash Flow'!BA22</f>
        <v>1926842253.0113819</v>
      </c>
      <c r="BB6" s="60">
        <f>'Cash Flow'!BB22</f>
        <v>1938477043.007925</v>
      </c>
      <c r="BC6" s="60">
        <f>'Cash Flow'!BC22</f>
        <v>1950106596.0501566</v>
      </c>
      <c r="BD6" s="60">
        <f>'Cash Flow'!BD22</f>
        <v>1961730883.7712407</v>
      </c>
      <c r="BE6" s="60">
        <f>'Cash Flow'!BE22</f>
        <v>1973349877.6506879</v>
      </c>
      <c r="BF6" s="60">
        <f>'Cash Flow'!BF22</f>
        <v>1984963549.0135226</v>
      </c>
      <c r="BG6" s="60">
        <f>'Cash Flow'!BG22</f>
        <v>1996571869.0294464</v>
      </c>
      <c r="BH6" s="60">
        <f>'Cash Flow'!BH22</f>
        <v>2008174808.7119968</v>
      </c>
      <c r="BI6" s="60">
        <f>'Cash Flow'!BI22</f>
        <v>2019772338.9177015</v>
      </c>
      <c r="BJ6" s="60">
        <f>'Cash Flow'!BJ22</f>
        <v>2031364430.3452272</v>
      </c>
      <c r="BK6" s="60">
        <f>'Cash Flow'!BK22</f>
        <v>2042951053.5345261</v>
      </c>
      <c r="BL6" s="60">
        <f>'Cash Flow'!BL22</f>
        <v>2064985894.6280653</v>
      </c>
      <c r="BM6" s="60">
        <f>'Cash Flow'!BM22</f>
        <v>2078982778.0552187</v>
      </c>
      <c r="BN6" s="60">
        <f>'Cash Flow'!BN22</f>
        <v>2092974103.9030857</v>
      </c>
      <c r="BO6" s="60">
        <f>'Cash Flow'!BO22</f>
        <v>2112959842.0681121</v>
      </c>
      <c r="BP6" s="60">
        <f>'Cash Flow'!BP22</f>
        <v>2126939962.2836823</v>
      </c>
      <c r="BQ6" s="60">
        <f>'Cash Flow'!BQ22</f>
        <v>2140914434.1192369</v>
      </c>
      <c r="BR6" s="60">
        <f>'Cash Flow'!BR22</f>
        <v>2158883226.9793839</v>
      </c>
      <c r="BS6" s="60">
        <f>'Cash Flow'!BS22</f>
        <v>2172846310.1030068</v>
      </c>
      <c r="BT6" s="60">
        <f>'Cash Flow'!BT22</f>
        <v>2186803652.562366</v>
      </c>
      <c r="BU6" s="60">
        <f>'Cash Flow'!BU22</f>
        <v>2200755223.2621965</v>
      </c>
      <c r="BV6" s="60">
        <f>'Cash Flow'!BV22</f>
        <v>2214700990.9388013</v>
      </c>
      <c r="BW6" s="60">
        <f>'Cash Flow'!BW22</f>
        <v>2228640924.1591377</v>
      </c>
      <c r="BX6" s="60">
        <f>'Cash Flow'!BX22</f>
        <v>2242815695.5021257</v>
      </c>
      <c r="BY6" s="60">
        <f>'Cash Flow'!BY22</f>
        <v>2257068596.3113022</v>
      </c>
      <c r="BZ6" s="60">
        <f>'Cash Flow'!BZ22</f>
        <v>2271315567.3398151</v>
      </c>
      <c r="CA6" s="60">
        <f>'Cash Flow'!CA22</f>
        <v>2285556576.468019</v>
      </c>
      <c r="CB6" s="60">
        <f>'Cash Flow'!CB22</f>
        <v>2299791591.402287</v>
      </c>
      <c r="CC6" s="60">
        <f>'Cash Flow'!CC22</f>
        <v>2314020579.6740694</v>
      </c>
      <c r="CD6" s="60">
        <f>'Cash Flow'!CD22</f>
        <v>2328243508.6389437</v>
      </c>
      <c r="CE6" s="60">
        <f>'Cash Flow'!CE22</f>
        <v>2342460345.4756641</v>
      </c>
      <c r="CF6" s="60">
        <f>'Cash Flow'!CF22</f>
        <v>2356671057.1852036</v>
      </c>
      <c r="CG6" s="60">
        <f>'Cash Flow'!CG22</f>
        <v>2370875610.5897894</v>
      </c>
      <c r="CH6" s="60">
        <f>'Cash Flow'!CH22</f>
        <v>2385073972.3319368</v>
      </c>
      <c r="CI6" s="60">
        <f>'Cash Flow'!CI22</f>
        <v>2399266108.8734741</v>
      </c>
      <c r="CJ6" s="60">
        <f>'Cash Flow'!CJ22</f>
        <v>2413451986.4945645</v>
      </c>
      <c r="CK6" s="60">
        <f>'Cash Flow'!CK22</f>
        <v>2427631571.2927227</v>
      </c>
      <c r="CL6" s="60">
        <f>'Cash Flow'!CL22</f>
        <v>2441804829.1818242</v>
      </c>
      <c r="CM6" s="60">
        <f>'Cash Flow'!CM22</f>
        <v>2455971725.8911114</v>
      </c>
      <c r="CN6" s="60">
        <f>'Cash Flow'!CN22</f>
        <v>2470132226.9641933</v>
      </c>
      <c r="CO6" s="60">
        <f>'Cash Flow'!CO22</f>
        <v>2484300395.4012218</v>
      </c>
      <c r="CP6" s="60">
        <f>'Cash Flow'!CP22</f>
        <v>2498408057.7628126</v>
      </c>
      <c r="CQ6" s="60">
        <f>'Cash Flow'!CQ22</f>
        <v>2512509219.9951448</v>
      </c>
      <c r="CR6" s="60">
        <f>'Cash Flow'!CR22</f>
        <v>2526603846.889185</v>
      </c>
      <c r="CS6" s="60">
        <f>'Cash Flow'!CS22</f>
        <v>2540691903.0451837</v>
      </c>
      <c r="CT6" s="60">
        <f>'Cash Flow'!CT22</f>
        <v>2554773352.8716431</v>
      </c>
      <c r="CU6" s="60">
        <f>'Cash Flow'!CU22</f>
        <v>2568848160.5842781</v>
      </c>
      <c r="CV6" s="60">
        <f>'Cash Flow'!CV22</f>
        <v>2583053611.6705427</v>
      </c>
      <c r="CW6" s="60">
        <f>'Cash Flow'!CW22</f>
        <v>2597732676.2059636</v>
      </c>
      <c r="CX6" s="60">
        <f>'Cash Flow'!CX22</f>
        <v>2612404990.1075106</v>
      </c>
      <c r="CY6" s="60">
        <f>'Cash Flow'!CY22</f>
        <v>2627070516.8092504</v>
      </c>
      <c r="CZ6" s="60">
        <f>'Cash Flow'!CZ22</f>
        <v>2641729219.547184</v>
      </c>
      <c r="DA6" s="60">
        <f>'Cash Flow'!DA22</f>
        <v>2656381061.3581738</v>
      </c>
      <c r="DB6" s="60">
        <f>'Cash Flow'!DB22</f>
        <v>2671026005.0788665</v>
      </c>
      <c r="DC6" s="60">
        <f>'Cash Flow'!DC22</f>
        <v>2685664013.3446059</v>
      </c>
      <c r="DD6" s="60">
        <f>'Cash Flow'!DD22</f>
        <v>2700295048.5883436</v>
      </c>
      <c r="DE6" s="60">
        <f>'Cash Flow'!DE22</f>
        <v>2714919073.0395446</v>
      </c>
      <c r="DF6" s="60">
        <f>'Cash Flow'!DF22</f>
        <v>2729536048.7230821</v>
      </c>
      <c r="DG6" s="60">
        <f>'Cash Flow'!DG22</f>
        <v>2744145937.4581318</v>
      </c>
      <c r="DH6" s="60">
        <f>'Cash Flow'!DH22</f>
        <v>2758762798.5002356</v>
      </c>
      <c r="DI6" s="60">
        <f>'Cash Flow'!DI22</f>
        <v>2773318454.6451192</v>
      </c>
      <c r="DJ6" s="60">
        <f>'Cash Flow'!DJ22</f>
        <v>2787866908.0536761</v>
      </c>
      <c r="DK6" s="60">
        <f>'Cash Flow'!DK22</f>
        <v>2802408119.7110848</v>
      </c>
      <c r="DL6" s="60">
        <f>'Cash Flow'!DL22</f>
        <v>2816942050.3911934</v>
      </c>
      <c r="DM6" s="60">
        <f>'Cash Flow'!DM22</f>
        <v>2831468660.6553745</v>
      </c>
      <c r="DN6" s="60">
        <f>'Cash Flow'!DN22</f>
        <v>2845987910.8513761</v>
      </c>
      <c r="DO6" s="60">
        <f>'Cash Flow'!DO22</f>
        <v>2860499761.1121612</v>
      </c>
      <c r="DP6" s="60">
        <f>'Cash Flow'!DP22</f>
        <v>2875004171.3547478</v>
      </c>
      <c r="DQ6" s="60">
        <f>'Cash Flow'!DQ22</f>
        <v>2889501101.279037</v>
      </c>
      <c r="DR6" s="60">
        <f>'Cash Flow'!DR22</f>
        <v>2903990510.3666382</v>
      </c>
      <c r="DS6" s="60">
        <f>'Cash Flow'!DS22</f>
        <v>2918472357.8796864</v>
      </c>
      <c r="DT6" s="60">
        <f>'Cash Flow'!DT22</f>
        <v>2948083924.3252215</v>
      </c>
      <c r="DU6" s="60">
        <f>'Cash Flow'!DU22</f>
        <v>2963175818.4848518</v>
      </c>
      <c r="DV6" s="60">
        <f>'Cash Flow'!DV22</f>
        <v>2978267712.6444821</v>
      </c>
      <c r="DW6" s="60">
        <f>'Cash Flow'!DW22</f>
        <v>3004359606.8041124</v>
      </c>
      <c r="DX6" s="60">
        <f>'Cash Flow'!DX22</f>
        <v>3019451500.9637427</v>
      </c>
      <c r="DY6" s="60">
        <f>'Cash Flow'!DY22</f>
        <v>3034543395.123373</v>
      </c>
      <c r="DZ6" s="60">
        <f>'Cash Flow'!DZ22</f>
        <v>3058635289.2830033</v>
      </c>
      <c r="EA6" s="60">
        <f>'Cash Flow'!EA22</f>
        <v>3073727183.4426336</v>
      </c>
      <c r="EB6" s="60">
        <f>'Cash Flow'!EB22</f>
        <v>3088819077.6022639</v>
      </c>
      <c r="EC6" s="60">
        <f>'Cash Flow'!EC22</f>
        <v>3103910971.7618942</v>
      </c>
      <c r="ED6" s="60">
        <f>'Cash Flow'!ED22</f>
        <v>3119002865.9215245</v>
      </c>
      <c r="EE6" s="60">
        <f>'Cash Flow'!EE22</f>
        <v>3134094760.0811548</v>
      </c>
      <c r="EF6" s="60">
        <f>'Cash Flow'!EF22</f>
        <v>3149200751.8839655</v>
      </c>
      <c r="EG6" s="60">
        <f>'Cash Flow'!EG22</f>
        <v>3164252702.721252</v>
      </c>
      <c r="EH6" s="60">
        <f>'Cash Flow'!EH22</f>
        <v>3179304653.5585384</v>
      </c>
      <c r="EI6" s="60">
        <f>'Cash Flow'!EI22</f>
        <v>3194356604.3958249</v>
      </c>
      <c r="EJ6" s="60">
        <f>'Cash Flow'!EJ22</f>
        <v>3209408555.2331114</v>
      </c>
      <c r="EK6" s="60">
        <f>'Cash Flow'!EK22</f>
        <v>3224460506.0703979</v>
      </c>
      <c r="EL6" s="60">
        <f>'Cash Flow'!EL22</f>
        <v>3244512456.9076843</v>
      </c>
      <c r="EM6" s="60">
        <f>'Cash Flow'!EM22</f>
        <v>3259564407.7449708</v>
      </c>
      <c r="EN6" s="60">
        <f>'Cash Flow'!EN22</f>
        <v>3274616358.5822573</v>
      </c>
      <c r="EO6" s="60">
        <f>'Cash Flow'!EO22</f>
        <v>3289668309.4195437</v>
      </c>
      <c r="EP6" s="60">
        <f>'Cash Flow'!EP22</f>
        <v>3304720260.2568302</v>
      </c>
      <c r="EQ6" s="60">
        <f>'Cash Flow'!EQ22</f>
        <v>3329772211.0941167</v>
      </c>
      <c r="ER6" s="60">
        <f>'Cash Flow'!ER22</f>
        <v>3344961483.3969727</v>
      </c>
      <c r="ES6" s="60">
        <f>'Cash Flow'!ES22</f>
        <v>3360631083.4139233</v>
      </c>
      <c r="ET6" s="60">
        <f>'Cash Flow'!ET22</f>
        <v>3376300683.4308739</v>
      </c>
      <c r="EU6" s="60">
        <f>'Cash Flow'!EU22</f>
        <v>3391970283.4478245</v>
      </c>
      <c r="EV6" s="60">
        <f>'Cash Flow'!EV22</f>
        <v>3407639883.4647751</v>
      </c>
      <c r="EW6" s="60">
        <f>'Cash Flow'!EW22</f>
        <v>3423309483.4817257</v>
      </c>
      <c r="EX6" s="60">
        <f>'Cash Flow'!EX22</f>
        <v>3438979083.4986763</v>
      </c>
      <c r="EY6" s="60">
        <f>'Cash Flow'!EY22</f>
        <v>3454648683.5156269</v>
      </c>
      <c r="EZ6" s="60">
        <f>'Cash Flow'!EZ22</f>
        <v>3470318283.5325775</v>
      </c>
      <c r="FA6" s="60">
        <f>'Cash Flow'!FA22</f>
        <v>3490987883.5495281</v>
      </c>
      <c r="FB6" s="60">
        <f>'Cash Flow'!FB22</f>
        <v>3506657483.5664787</v>
      </c>
      <c r="FC6" s="60">
        <f>'Cash Flow'!FC22</f>
        <v>3522327083.5834293</v>
      </c>
      <c r="FD6" s="60">
        <f>'Cash Flow'!FD22</f>
        <v>3538010781.2435603</v>
      </c>
      <c r="FE6" s="60">
        <f>'Cash Flow'!FE22</f>
        <v>3553640437.9381671</v>
      </c>
      <c r="FF6" s="60">
        <f>'Cash Flow'!FF22</f>
        <v>3569270094.6327739</v>
      </c>
      <c r="FG6" s="60">
        <f>'Cash Flow'!FG22</f>
        <v>3584899751.3273807</v>
      </c>
      <c r="FH6" s="60">
        <f>'Cash Flow'!FH22</f>
        <v>3600529408.0219874</v>
      </c>
      <c r="FI6" s="60">
        <f>'Cash Flow'!FI22</f>
        <v>3626159064.7165942</v>
      </c>
      <c r="FJ6" s="60">
        <f>'Cash Flow'!FJ22</f>
        <v>3641788721.411201</v>
      </c>
      <c r="FK6" s="60">
        <f>'Cash Flow'!FK22</f>
        <v>3657418378.1058078</v>
      </c>
      <c r="FL6" s="60">
        <f>'Cash Flow'!FL22</f>
        <v>3673048034.8004146</v>
      </c>
      <c r="FM6" s="60">
        <f>'Cash Flow'!FM22</f>
        <v>3688677691.4950213</v>
      </c>
      <c r="FN6" s="60">
        <f>'Cash Flow'!FN22</f>
        <v>3704307348.1896281</v>
      </c>
      <c r="FO6" s="60">
        <f>'Cash Flow'!FO22</f>
        <v>3719937004.8842349</v>
      </c>
      <c r="FP6" s="60">
        <f>'Cash Flow'!FP22</f>
        <v>3735703983.0444117</v>
      </c>
      <c r="FQ6" s="60">
        <f>'Cash Flow'!FQ22</f>
        <v>3751951288.9186831</v>
      </c>
      <c r="FR6" s="60">
        <f>'Cash Flow'!FR22</f>
        <v>3768198594.7929544</v>
      </c>
      <c r="FS6" s="60">
        <f>'Cash Flow'!FS22</f>
        <v>3784445900.6672258</v>
      </c>
      <c r="FT6" s="60">
        <f>'Cash Flow'!FT22</f>
        <v>3800693206.5414972</v>
      </c>
      <c r="FU6" s="60">
        <f>'Cash Flow'!FU22</f>
        <v>3816940512.4157686</v>
      </c>
      <c r="FV6" s="60">
        <f>'Cash Flow'!FV22</f>
        <v>3833187818.29004</v>
      </c>
      <c r="FW6" s="60">
        <f>'Cash Flow'!FW22</f>
        <v>3849435124.1643114</v>
      </c>
      <c r="FX6" s="60">
        <f>'Cash Flow'!FX22</f>
        <v>3865682430.0385828</v>
      </c>
      <c r="FY6" s="60">
        <f>'Cash Flow'!FY22</f>
        <v>3881929735.9128542</v>
      </c>
      <c r="FZ6" s="60">
        <f>'Cash Flow'!FZ22</f>
        <v>3898177041.7871256</v>
      </c>
      <c r="GA6" s="60">
        <f>'Cash Flow'!II22</f>
        <v>0</v>
      </c>
      <c r="GB6" s="60">
        <f>'Cash Flow'!IJ22</f>
        <v>0</v>
      </c>
      <c r="GC6" s="60">
        <f>'Cash Flow'!IK22</f>
        <v>0</v>
      </c>
      <c r="GD6" s="60">
        <f>'Cash Flow'!IL22</f>
        <v>0</v>
      </c>
      <c r="GE6" s="60">
        <f>'Cash Flow'!IM22</f>
        <v>0</v>
      </c>
      <c r="GF6" s="60">
        <f>'Cash Flow'!IN22</f>
        <v>0</v>
      </c>
      <c r="GG6" s="60">
        <f>'Cash Flow'!IO22</f>
        <v>0</v>
      </c>
      <c r="GH6" s="60">
        <f>'Cash Flow'!IP22</f>
        <v>0</v>
      </c>
      <c r="GI6" s="60">
        <f>'Cash Flow'!IQ22</f>
        <v>0</v>
      </c>
      <c r="GJ6" s="60">
        <f>'Cash Flow'!IR22</f>
        <v>0</v>
      </c>
      <c r="GK6" s="60">
        <f>'Cash Flow'!IS22</f>
        <v>0</v>
      </c>
      <c r="GL6" s="60">
        <f>'Cash Flow'!IT22</f>
        <v>0</v>
      </c>
      <c r="GM6" s="60">
        <f>'Cash Flow'!IU22</f>
        <v>0</v>
      </c>
      <c r="GN6" s="60">
        <f>'Cash Flow'!IV22</f>
        <v>0</v>
      </c>
      <c r="GO6" s="60">
        <f>'Cash Flow'!IW22</f>
        <v>0</v>
      </c>
      <c r="GP6" s="60">
        <f>'Cash Flow'!IX22</f>
        <v>0</v>
      </c>
      <c r="GQ6" s="60">
        <f>'Cash Flow'!IY22</f>
        <v>0</v>
      </c>
      <c r="GR6" s="60">
        <f>'Cash Flow'!IZ22</f>
        <v>0</v>
      </c>
      <c r="GS6" s="60">
        <f>'Cash Flow'!JA22</f>
        <v>0</v>
      </c>
      <c r="GT6" s="60">
        <f>'Cash Flow'!JB22</f>
        <v>0</v>
      </c>
      <c r="GU6" s="60">
        <f>'Cash Flow'!JC22</f>
        <v>0</v>
      </c>
      <c r="GV6" s="60">
        <f>'Cash Flow'!JD22</f>
        <v>0</v>
      </c>
      <c r="GW6" s="60">
        <f>'Cash Flow'!JE22</f>
        <v>0</v>
      </c>
      <c r="GX6" s="60">
        <f>'Cash Flow'!JF22</f>
        <v>0</v>
      </c>
      <c r="GY6" s="60">
        <f>'Cash Flow'!JG22</f>
        <v>0</v>
      </c>
      <c r="GZ6" s="60">
        <f>'Cash Flow'!JH22</f>
        <v>0</v>
      </c>
      <c r="HA6" s="60">
        <f>'Cash Flow'!JI22</f>
        <v>0</v>
      </c>
      <c r="HB6" s="60">
        <f>'Cash Flow'!JJ22</f>
        <v>0</v>
      </c>
      <c r="HC6" s="60">
        <f>'Cash Flow'!JK22</f>
        <v>0</v>
      </c>
      <c r="HD6" s="60">
        <f>'Cash Flow'!JL22</f>
        <v>0</v>
      </c>
      <c r="HE6" s="60">
        <f>'Cash Flow'!JM22</f>
        <v>0</v>
      </c>
      <c r="HF6" s="60">
        <f>'Cash Flow'!JN22</f>
        <v>0</v>
      </c>
      <c r="HG6" s="60">
        <f>'Cash Flow'!JO22</f>
        <v>0</v>
      </c>
      <c r="HH6" s="60">
        <f>'Cash Flow'!JP22</f>
        <v>0</v>
      </c>
      <c r="HI6" s="60">
        <f>'Cash Flow'!JQ22</f>
        <v>0</v>
      </c>
      <c r="HJ6" s="60">
        <f>'Cash Flow'!JR22</f>
        <v>0</v>
      </c>
      <c r="HK6" s="60">
        <f>'Cash Flow'!JS22</f>
        <v>0</v>
      </c>
      <c r="HL6" s="60">
        <f>'Cash Flow'!JT22</f>
        <v>0</v>
      </c>
      <c r="HM6" s="60">
        <f>'Cash Flow'!JU22</f>
        <v>0</v>
      </c>
      <c r="HN6" s="60">
        <f>'Cash Flow'!JV22</f>
        <v>0</v>
      </c>
      <c r="HO6" s="60">
        <f>'Cash Flow'!JW22</f>
        <v>0</v>
      </c>
      <c r="HP6" s="60">
        <f>'Cash Flow'!JX22</f>
        <v>0</v>
      </c>
      <c r="HQ6" s="60">
        <f>'Cash Flow'!JY22</f>
        <v>0</v>
      </c>
      <c r="HR6" s="60">
        <f>'Cash Flow'!JZ22</f>
        <v>0</v>
      </c>
      <c r="HS6" s="60">
        <f>'Cash Flow'!KA22</f>
        <v>0</v>
      </c>
      <c r="HT6" s="60">
        <f>'Cash Flow'!KB22</f>
        <v>0</v>
      </c>
      <c r="HU6" s="60">
        <f>'Cash Flow'!KC22</f>
        <v>0</v>
      </c>
      <c r="HV6" s="60">
        <f>'Cash Flow'!KD22</f>
        <v>0</v>
      </c>
      <c r="HW6" s="60">
        <f>'Cash Flow'!KE22</f>
        <v>0</v>
      </c>
      <c r="HX6" s="60">
        <f>'Cash Flow'!KF22</f>
        <v>0</v>
      </c>
      <c r="HY6" s="60">
        <f>'Cash Flow'!KG22</f>
        <v>0</v>
      </c>
      <c r="HZ6" s="60">
        <f>'Cash Flow'!KH22</f>
        <v>0</v>
      </c>
      <c r="IA6" s="60">
        <f>'Cash Flow'!KI22</f>
        <v>0</v>
      </c>
      <c r="IB6" s="60">
        <f>'Cash Flow'!KJ22</f>
        <v>0</v>
      </c>
      <c r="IC6" s="60">
        <f>'Cash Flow'!KK22</f>
        <v>0</v>
      </c>
      <c r="ID6" s="60">
        <f>'Cash Flow'!KL22</f>
        <v>0</v>
      </c>
      <c r="IE6" s="60">
        <f>'Cash Flow'!KM22</f>
        <v>0</v>
      </c>
      <c r="IF6" s="60">
        <f>'Cash Flow'!KN22</f>
        <v>0</v>
      </c>
      <c r="IG6" s="60">
        <f>'Cash Flow'!KO22</f>
        <v>0</v>
      </c>
      <c r="IH6" s="60">
        <f>'Cash Flow'!KP22</f>
        <v>0</v>
      </c>
    </row>
    <row r="7" spans="1:242" x14ac:dyDescent="0.45">
      <c r="A7" s="893" t="s">
        <v>256</v>
      </c>
      <c r="B7" s="894"/>
      <c r="C7" s="75">
        <v>0.2</v>
      </c>
      <c r="D7" s="74">
        <f>C7</f>
        <v>0.2</v>
      </c>
      <c r="E7" s="74">
        <f>D7</f>
        <v>0.2</v>
      </c>
      <c r="F7" s="74">
        <f t="shared" ref="F7:BQ7" si="0">E7</f>
        <v>0.2</v>
      </c>
      <c r="G7" s="74">
        <f t="shared" si="0"/>
        <v>0.2</v>
      </c>
      <c r="H7" s="74">
        <f t="shared" si="0"/>
        <v>0.2</v>
      </c>
      <c r="I7" s="74">
        <f t="shared" si="0"/>
        <v>0.2</v>
      </c>
      <c r="J7" s="74">
        <f t="shared" si="0"/>
        <v>0.2</v>
      </c>
      <c r="K7" s="74">
        <f t="shared" si="0"/>
        <v>0.2</v>
      </c>
      <c r="L7" s="74">
        <f t="shared" si="0"/>
        <v>0.2</v>
      </c>
      <c r="M7" s="74">
        <f t="shared" si="0"/>
        <v>0.2</v>
      </c>
      <c r="N7" s="74">
        <f t="shared" si="0"/>
        <v>0.2</v>
      </c>
      <c r="O7" s="74">
        <f t="shared" si="0"/>
        <v>0.2</v>
      </c>
      <c r="P7" s="74">
        <f t="shared" si="0"/>
        <v>0.2</v>
      </c>
      <c r="Q7" s="74">
        <f t="shared" si="0"/>
        <v>0.2</v>
      </c>
      <c r="R7" s="74">
        <f t="shared" si="0"/>
        <v>0.2</v>
      </c>
      <c r="S7" s="74">
        <f t="shared" si="0"/>
        <v>0.2</v>
      </c>
      <c r="T7" s="74">
        <f t="shared" si="0"/>
        <v>0.2</v>
      </c>
      <c r="U7" s="74">
        <f t="shared" si="0"/>
        <v>0.2</v>
      </c>
      <c r="V7" s="74">
        <f t="shared" si="0"/>
        <v>0.2</v>
      </c>
      <c r="W7" s="74">
        <f t="shared" si="0"/>
        <v>0.2</v>
      </c>
      <c r="X7" s="74">
        <f t="shared" si="0"/>
        <v>0.2</v>
      </c>
      <c r="Y7" s="74">
        <f t="shared" si="0"/>
        <v>0.2</v>
      </c>
      <c r="Z7" s="74">
        <f t="shared" si="0"/>
        <v>0.2</v>
      </c>
      <c r="AA7" s="74">
        <f t="shared" si="0"/>
        <v>0.2</v>
      </c>
      <c r="AB7" s="74">
        <f t="shared" si="0"/>
        <v>0.2</v>
      </c>
      <c r="AC7" s="74">
        <f t="shared" si="0"/>
        <v>0.2</v>
      </c>
      <c r="AD7" s="74">
        <f t="shared" si="0"/>
        <v>0.2</v>
      </c>
      <c r="AE7" s="74">
        <f t="shared" si="0"/>
        <v>0.2</v>
      </c>
      <c r="AF7" s="74">
        <f t="shared" si="0"/>
        <v>0.2</v>
      </c>
      <c r="AG7" s="74">
        <f t="shared" si="0"/>
        <v>0.2</v>
      </c>
      <c r="AH7" s="74">
        <f t="shared" si="0"/>
        <v>0.2</v>
      </c>
      <c r="AI7" s="74">
        <f t="shared" si="0"/>
        <v>0.2</v>
      </c>
      <c r="AJ7" s="74">
        <f t="shared" si="0"/>
        <v>0.2</v>
      </c>
      <c r="AK7" s="74">
        <f t="shared" si="0"/>
        <v>0.2</v>
      </c>
      <c r="AL7" s="74">
        <f t="shared" si="0"/>
        <v>0.2</v>
      </c>
      <c r="AM7" s="74">
        <f t="shared" si="0"/>
        <v>0.2</v>
      </c>
      <c r="AN7" s="74">
        <f t="shared" si="0"/>
        <v>0.2</v>
      </c>
      <c r="AO7" s="74">
        <f t="shared" si="0"/>
        <v>0.2</v>
      </c>
      <c r="AP7" s="74">
        <f t="shared" si="0"/>
        <v>0.2</v>
      </c>
      <c r="AQ7" s="74">
        <f t="shared" si="0"/>
        <v>0.2</v>
      </c>
      <c r="AR7" s="74">
        <f t="shared" si="0"/>
        <v>0.2</v>
      </c>
      <c r="AS7" s="74">
        <f t="shared" si="0"/>
        <v>0.2</v>
      </c>
      <c r="AT7" s="74">
        <f t="shared" si="0"/>
        <v>0.2</v>
      </c>
      <c r="AU7" s="74">
        <f t="shared" si="0"/>
        <v>0.2</v>
      </c>
      <c r="AV7" s="74">
        <f t="shared" si="0"/>
        <v>0.2</v>
      </c>
      <c r="AW7" s="74">
        <f t="shared" si="0"/>
        <v>0.2</v>
      </c>
      <c r="AX7" s="74">
        <f t="shared" si="0"/>
        <v>0.2</v>
      </c>
      <c r="AY7" s="74">
        <f t="shared" si="0"/>
        <v>0.2</v>
      </c>
      <c r="AZ7" s="74">
        <f t="shared" si="0"/>
        <v>0.2</v>
      </c>
      <c r="BA7" s="74">
        <f t="shared" si="0"/>
        <v>0.2</v>
      </c>
      <c r="BB7" s="74">
        <f t="shared" si="0"/>
        <v>0.2</v>
      </c>
      <c r="BC7" s="74">
        <f t="shared" si="0"/>
        <v>0.2</v>
      </c>
      <c r="BD7" s="74">
        <f t="shared" si="0"/>
        <v>0.2</v>
      </c>
      <c r="BE7" s="74">
        <f t="shared" si="0"/>
        <v>0.2</v>
      </c>
      <c r="BF7" s="74">
        <f t="shared" si="0"/>
        <v>0.2</v>
      </c>
      <c r="BG7" s="74">
        <f t="shared" si="0"/>
        <v>0.2</v>
      </c>
      <c r="BH7" s="74">
        <f t="shared" si="0"/>
        <v>0.2</v>
      </c>
      <c r="BI7" s="74">
        <f t="shared" si="0"/>
        <v>0.2</v>
      </c>
      <c r="BJ7" s="74">
        <f t="shared" si="0"/>
        <v>0.2</v>
      </c>
      <c r="BK7" s="74">
        <f t="shared" si="0"/>
        <v>0.2</v>
      </c>
      <c r="BL7" s="74">
        <f t="shared" si="0"/>
        <v>0.2</v>
      </c>
      <c r="BM7" s="74">
        <f t="shared" si="0"/>
        <v>0.2</v>
      </c>
      <c r="BN7" s="74">
        <f t="shared" si="0"/>
        <v>0.2</v>
      </c>
      <c r="BO7" s="74">
        <f t="shared" si="0"/>
        <v>0.2</v>
      </c>
      <c r="BP7" s="74">
        <f t="shared" si="0"/>
        <v>0.2</v>
      </c>
      <c r="BQ7" s="74">
        <f t="shared" si="0"/>
        <v>0.2</v>
      </c>
      <c r="BR7" s="74">
        <f t="shared" ref="BR7:EC7" si="1">BQ7</f>
        <v>0.2</v>
      </c>
      <c r="BS7" s="74">
        <f t="shared" si="1"/>
        <v>0.2</v>
      </c>
      <c r="BT7" s="74">
        <f t="shared" si="1"/>
        <v>0.2</v>
      </c>
      <c r="BU7" s="74">
        <f t="shared" si="1"/>
        <v>0.2</v>
      </c>
      <c r="BV7" s="74">
        <f t="shared" si="1"/>
        <v>0.2</v>
      </c>
      <c r="BW7" s="74">
        <f t="shared" si="1"/>
        <v>0.2</v>
      </c>
      <c r="BX7" s="74">
        <f t="shared" si="1"/>
        <v>0.2</v>
      </c>
      <c r="BY7" s="74">
        <f t="shared" si="1"/>
        <v>0.2</v>
      </c>
      <c r="BZ7" s="74">
        <f t="shared" si="1"/>
        <v>0.2</v>
      </c>
      <c r="CA7" s="74">
        <f t="shared" si="1"/>
        <v>0.2</v>
      </c>
      <c r="CB7" s="74">
        <f t="shared" si="1"/>
        <v>0.2</v>
      </c>
      <c r="CC7" s="74">
        <f t="shared" si="1"/>
        <v>0.2</v>
      </c>
      <c r="CD7" s="74">
        <f t="shared" si="1"/>
        <v>0.2</v>
      </c>
      <c r="CE7" s="74">
        <f t="shared" si="1"/>
        <v>0.2</v>
      </c>
      <c r="CF7" s="74">
        <f t="shared" si="1"/>
        <v>0.2</v>
      </c>
      <c r="CG7" s="74">
        <f t="shared" si="1"/>
        <v>0.2</v>
      </c>
      <c r="CH7" s="74">
        <f t="shared" si="1"/>
        <v>0.2</v>
      </c>
      <c r="CI7" s="74">
        <f t="shared" si="1"/>
        <v>0.2</v>
      </c>
      <c r="CJ7" s="74">
        <f t="shared" si="1"/>
        <v>0.2</v>
      </c>
      <c r="CK7" s="74">
        <f t="shared" si="1"/>
        <v>0.2</v>
      </c>
      <c r="CL7" s="74">
        <f t="shared" si="1"/>
        <v>0.2</v>
      </c>
      <c r="CM7" s="74">
        <f t="shared" si="1"/>
        <v>0.2</v>
      </c>
      <c r="CN7" s="74">
        <f t="shared" si="1"/>
        <v>0.2</v>
      </c>
      <c r="CO7" s="74">
        <f t="shared" si="1"/>
        <v>0.2</v>
      </c>
      <c r="CP7" s="74">
        <f t="shared" si="1"/>
        <v>0.2</v>
      </c>
      <c r="CQ7" s="74">
        <f t="shared" si="1"/>
        <v>0.2</v>
      </c>
      <c r="CR7" s="74">
        <f t="shared" si="1"/>
        <v>0.2</v>
      </c>
      <c r="CS7" s="74">
        <f t="shared" si="1"/>
        <v>0.2</v>
      </c>
      <c r="CT7" s="74">
        <f t="shared" si="1"/>
        <v>0.2</v>
      </c>
      <c r="CU7" s="74">
        <f t="shared" si="1"/>
        <v>0.2</v>
      </c>
      <c r="CV7" s="74">
        <f t="shared" si="1"/>
        <v>0.2</v>
      </c>
      <c r="CW7" s="74">
        <f t="shared" si="1"/>
        <v>0.2</v>
      </c>
      <c r="CX7" s="74">
        <f t="shared" si="1"/>
        <v>0.2</v>
      </c>
      <c r="CY7" s="74">
        <f t="shared" si="1"/>
        <v>0.2</v>
      </c>
      <c r="CZ7" s="74">
        <f t="shared" si="1"/>
        <v>0.2</v>
      </c>
      <c r="DA7" s="74">
        <f t="shared" si="1"/>
        <v>0.2</v>
      </c>
      <c r="DB7" s="74">
        <f t="shared" si="1"/>
        <v>0.2</v>
      </c>
      <c r="DC7" s="74">
        <f t="shared" si="1"/>
        <v>0.2</v>
      </c>
      <c r="DD7" s="74">
        <f t="shared" si="1"/>
        <v>0.2</v>
      </c>
      <c r="DE7" s="74">
        <f t="shared" si="1"/>
        <v>0.2</v>
      </c>
      <c r="DF7" s="74">
        <f t="shared" si="1"/>
        <v>0.2</v>
      </c>
      <c r="DG7" s="74">
        <f t="shared" si="1"/>
        <v>0.2</v>
      </c>
      <c r="DH7" s="74">
        <f t="shared" si="1"/>
        <v>0.2</v>
      </c>
      <c r="DI7" s="74">
        <f t="shared" si="1"/>
        <v>0.2</v>
      </c>
      <c r="DJ7" s="74">
        <f t="shared" si="1"/>
        <v>0.2</v>
      </c>
      <c r="DK7" s="74">
        <f t="shared" si="1"/>
        <v>0.2</v>
      </c>
      <c r="DL7" s="74">
        <f t="shared" si="1"/>
        <v>0.2</v>
      </c>
      <c r="DM7" s="74">
        <f t="shared" si="1"/>
        <v>0.2</v>
      </c>
      <c r="DN7" s="74">
        <f t="shared" si="1"/>
        <v>0.2</v>
      </c>
      <c r="DO7" s="74">
        <f t="shared" si="1"/>
        <v>0.2</v>
      </c>
      <c r="DP7" s="74">
        <f t="shared" si="1"/>
        <v>0.2</v>
      </c>
      <c r="DQ7" s="74">
        <f t="shared" si="1"/>
        <v>0.2</v>
      </c>
      <c r="DR7" s="74">
        <f t="shared" si="1"/>
        <v>0.2</v>
      </c>
      <c r="DS7" s="74">
        <f t="shared" si="1"/>
        <v>0.2</v>
      </c>
      <c r="DT7" s="74">
        <f t="shared" si="1"/>
        <v>0.2</v>
      </c>
      <c r="DU7" s="74">
        <f t="shared" si="1"/>
        <v>0.2</v>
      </c>
      <c r="DV7" s="74">
        <f t="shared" si="1"/>
        <v>0.2</v>
      </c>
      <c r="DW7" s="74">
        <f t="shared" si="1"/>
        <v>0.2</v>
      </c>
      <c r="DX7" s="74">
        <f t="shared" si="1"/>
        <v>0.2</v>
      </c>
      <c r="DY7" s="74">
        <f t="shared" si="1"/>
        <v>0.2</v>
      </c>
      <c r="DZ7" s="74">
        <f t="shared" si="1"/>
        <v>0.2</v>
      </c>
      <c r="EA7" s="74">
        <f t="shared" si="1"/>
        <v>0.2</v>
      </c>
      <c r="EB7" s="74">
        <f t="shared" si="1"/>
        <v>0.2</v>
      </c>
      <c r="EC7" s="74">
        <f t="shared" si="1"/>
        <v>0.2</v>
      </c>
      <c r="ED7" s="74">
        <f t="shared" ref="ED7:FZ7" si="2">EC7</f>
        <v>0.2</v>
      </c>
      <c r="EE7" s="74">
        <f t="shared" si="2"/>
        <v>0.2</v>
      </c>
      <c r="EF7" s="74">
        <f t="shared" si="2"/>
        <v>0.2</v>
      </c>
      <c r="EG7" s="74">
        <f t="shared" si="2"/>
        <v>0.2</v>
      </c>
      <c r="EH7" s="74">
        <f t="shared" si="2"/>
        <v>0.2</v>
      </c>
      <c r="EI7" s="74">
        <f t="shared" si="2"/>
        <v>0.2</v>
      </c>
      <c r="EJ7" s="74">
        <f t="shared" si="2"/>
        <v>0.2</v>
      </c>
      <c r="EK7" s="74">
        <f t="shared" si="2"/>
        <v>0.2</v>
      </c>
      <c r="EL7" s="74">
        <f t="shared" si="2"/>
        <v>0.2</v>
      </c>
      <c r="EM7" s="74">
        <f t="shared" si="2"/>
        <v>0.2</v>
      </c>
      <c r="EN7" s="74">
        <f t="shared" si="2"/>
        <v>0.2</v>
      </c>
      <c r="EO7" s="74">
        <f t="shared" si="2"/>
        <v>0.2</v>
      </c>
      <c r="EP7" s="74">
        <f t="shared" si="2"/>
        <v>0.2</v>
      </c>
      <c r="EQ7" s="74">
        <f t="shared" si="2"/>
        <v>0.2</v>
      </c>
      <c r="ER7" s="74">
        <f t="shared" si="2"/>
        <v>0.2</v>
      </c>
      <c r="ES7" s="74">
        <f t="shared" si="2"/>
        <v>0.2</v>
      </c>
      <c r="ET7" s="74">
        <f t="shared" si="2"/>
        <v>0.2</v>
      </c>
      <c r="EU7" s="74">
        <f t="shared" si="2"/>
        <v>0.2</v>
      </c>
      <c r="EV7" s="74">
        <f t="shared" si="2"/>
        <v>0.2</v>
      </c>
      <c r="EW7" s="74">
        <f t="shared" si="2"/>
        <v>0.2</v>
      </c>
      <c r="EX7" s="74">
        <f t="shared" si="2"/>
        <v>0.2</v>
      </c>
      <c r="EY7" s="74">
        <f t="shared" si="2"/>
        <v>0.2</v>
      </c>
      <c r="EZ7" s="74">
        <f t="shared" si="2"/>
        <v>0.2</v>
      </c>
      <c r="FA7" s="74">
        <f t="shared" si="2"/>
        <v>0.2</v>
      </c>
      <c r="FB7" s="74">
        <f t="shared" si="2"/>
        <v>0.2</v>
      </c>
      <c r="FC7" s="74">
        <f t="shared" si="2"/>
        <v>0.2</v>
      </c>
      <c r="FD7" s="74">
        <f t="shared" si="2"/>
        <v>0.2</v>
      </c>
      <c r="FE7" s="74">
        <f t="shared" si="2"/>
        <v>0.2</v>
      </c>
      <c r="FF7" s="74">
        <f t="shared" si="2"/>
        <v>0.2</v>
      </c>
      <c r="FG7" s="74">
        <f t="shared" si="2"/>
        <v>0.2</v>
      </c>
      <c r="FH7" s="74">
        <f t="shared" si="2"/>
        <v>0.2</v>
      </c>
      <c r="FI7" s="74">
        <f t="shared" si="2"/>
        <v>0.2</v>
      </c>
      <c r="FJ7" s="74">
        <f t="shared" si="2"/>
        <v>0.2</v>
      </c>
      <c r="FK7" s="74">
        <f t="shared" si="2"/>
        <v>0.2</v>
      </c>
      <c r="FL7" s="74">
        <f t="shared" si="2"/>
        <v>0.2</v>
      </c>
      <c r="FM7" s="74">
        <f t="shared" si="2"/>
        <v>0.2</v>
      </c>
      <c r="FN7" s="74">
        <f t="shared" si="2"/>
        <v>0.2</v>
      </c>
      <c r="FO7" s="74">
        <f t="shared" si="2"/>
        <v>0.2</v>
      </c>
      <c r="FP7" s="74">
        <f t="shared" si="2"/>
        <v>0.2</v>
      </c>
      <c r="FQ7" s="74">
        <f t="shared" si="2"/>
        <v>0.2</v>
      </c>
      <c r="FR7" s="74">
        <f t="shared" si="2"/>
        <v>0.2</v>
      </c>
      <c r="FS7" s="74">
        <f t="shared" si="2"/>
        <v>0.2</v>
      </c>
      <c r="FT7" s="74">
        <f t="shared" si="2"/>
        <v>0.2</v>
      </c>
      <c r="FU7" s="74">
        <f t="shared" si="2"/>
        <v>0.2</v>
      </c>
      <c r="FV7" s="74">
        <f t="shared" si="2"/>
        <v>0.2</v>
      </c>
      <c r="FW7" s="74">
        <f t="shared" si="2"/>
        <v>0.2</v>
      </c>
      <c r="FX7" s="74">
        <f t="shared" si="2"/>
        <v>0.2</v>
      </c>
      <c r="FY7" s="74">
        <f t="shared" si="2"/>
        <v>0.2</v>
      </c>
      <c r="FZ7" s="74">
        <f t="shared" si="2"/>
        <v>0.2</v>
      </c>
      <c r="GA7" s="74">
        <f t="shared" ref="GA7" si="3">FZ7</f>
        <v>0.2</v>
      </c>
      <c r="GB7" s="74">
        <f t="shared" ref="GB7" si="4">GA7</f>
        <v>0.2</v>
      </c>
      <c r="GC7" s="74">
        <f t="shared" ref="GC7" si="5">GB7</f>
        <v>0.2</v>
      </c>
      <c r="GD7" s="74">
        <f t="shared" ref="GD7" si="6">GC7</f>
        <v>0.2</v>
      </c>
      <c r="GE7" s="74">
        <f t="shared" ref="GE7" si="7">GD7</f>
        <v>0.2</v>
      </c>
      <c r="GF7" s="74">
        <f t="shared" ref="GF7" si="8">GE7</f>
        <v>0.2</v>
      </c>
      <c r="GG7" s="74">
        <f t="shared" ref="GG7" si="9">GF7</f>
        <v>0.2</v>
      </c>
      <c r="GH7" s="74">
        <f t="shared" ref="GH7" si="10">GG7</f>
        <v>0.2</v>
      </c>
      <c r="GI7" s="74">
        <f t="shared" ref="GI7" si="11">GH7</f>
        <v>0.2</v>
      </c>
      <c r="GJ7" s="74">
        <f t="shared" ref="GJ7" si="12">GI7</f>
        <v>0.2</v>
      </c>
      <c r="GK7" s="74">
        <f t="shared" ref="GK7" si="13">GJ7</f>
        <v>0.2</v>
      </c>
      <c r="GL7" s="74">
        <f t="shared" ref="GL7" si="14">GK7</f>
        <v>0.2</v>
      </c>
      <c r="GM7" s="74">
        <f t="shared" ref="GM7" si="15">GL7</f>
        <v>0.2</v>
      </c>
      <c r="GN7" s="74">
        <f t="shared" ref="GN7" si="16">GM7</f>
        <v>0.2</v>
      </c>
      <c r="GO7" s="74">
        <f t="shared" ref="GO7" si="17">GN7</f>
        <v>0.2</v>
      </c>
      <c r="GP7" s="74">
        <f t="shared" ref="GP7" si="18">GO7</f>
        <v>0.2</v>
      </c>
      <c r="GQ7" s="74">
        <f t="shared" ref="GQ7" si="19">GP7</f>
        <v>0.2</v>
      </c>
      <c r="GR7" s="74">
        <f t="shared" ref="GR7" si="20">GQ7</f>
        <v>0.2</v>
      </c>
      <c r="GS7" s="74">
        <f t="shared" ref="GS7" si="21">GR7</f>
        <v>0.2</v>
      </c>
      <c r="GT7" s="74">
        <f t="shared" ref="GT7" si="22">GS7</f>
        <v>0.2</v>
      </c>
      <c r="GU7" s="74">
        <f t="shared" ref="GU7" si="23">GT7</f>
        <v>0.2</v>
      </c>
      <c r="GV7" s="74">
        <f t="shared" ref="GV7" si="24">GU7</f>
        <v>0.2</v>
      </c>
      <c r="GW7" s="74">
        <f t="shared" ref="GW7" si="25">GV7</f>
        <v>0.2</v>
      </c>
      <c r="GX7" s="74">
        <f t="shared" ref="GX7" si="26">GW7</f>
        <v>0.2</v>
      </c>
      <c r="GY7" s="74">
        <f t="shared" ref="GY7" si="27">GX7</f>
        <v>0.2</v>
      </c>
      <c r="GZ7" s="74">
        <f t="shared" ref="GZ7" si="28">GY7</f>
        <v>0.2</v>
      </c>
      <c r="HA7" s="74">
        <f t="shared" ref="HA7" si="29">GZ7</f>
        <v>0.2</v>
      </c>
      <c r="HB7" s="74">
        <f t="shared" ref="HB7" si="30">HA7</f>
        <v>0.2</v>
      </c>
      <c r="HC7" s="74">
        <f t="shared" ref="HC7" si="31">HB7</f>
        <v>0.2</v>
      </c>
      <c r="HD7" s="74">
        <f t="shared" ref="HD7" si="32">HC7</f>
        <v>0.2</v>
      </c>
      <c r="HE7" s="74">
        <f t="shared" ref="HE7" si="33">HD7</f>
        <v>0.2</v>
      </c>
      <c r="HF7" s="74">
        <f t="shared" ref="HF7" si="34">HE7</f>
        <v>0.2</v>
      </c>
      <c r="HG7" s="74">
        <f t="shared" ref="HG7" si="35">HF7</f>
        <v>0.2</v>
      </c>
      <c r="HH7" s="74">
        <f t="shared" ref="HH7" si="36">HG7</f>
        <v>0.2</v>
      </c>
      <c r="HI7" s="74">
        <f t="shared" ref="HI7" si="37">HH7</f>
        <v>0.2</v>
      </c>
      <c r="HJ7" s="74">
        <f t="shared" ref="HJ7" si="38">HI7</f>
        <v>0.2</v>
      </c>
      <c r="HK7" s="74">
        <f t="shared" ref="HK7" si="39">HJ7</f>
        <v>0.2</v>
      </c>
      <c r="HL7" s="74">
        <f t="shared" ref="HL7" si="40">HK7</f>
        <v>0.2</v>
      </c>
      <c r="HM7" s="74">
        <f t="shared" ref="HM7" si="41">HL7</f>
        <v>0.2</v>
      </c>
      <c r="HN7" s="74">
        <f t="shared" ref="HN7" si="42">HM7</f>
        <v>0.2</v>
      </c>
      <c r="HO7" s="74">
        <f t="shared" ref="HO7" si="43">HN7</f>
        <v>0.2</v>
      </c>
      <c r="HP7" s="74">
        <f t="shared" ref="HP7" si="44">HO7</f>
        <v>0.2</v>
      </c>
      <c r="HQ7" s="74">
        <f t="shared" ref="HQ7" si="45">HP7</f>
        <v>0.2</v>
      </c>
      <c r="HR7" s="74">
        <f t="shared" ref="HR7" si="46">HQ7</f>
        <v>0.2</v>
      </c>
      <c r="HS7" s="74">
        <f t="shared" ref="HS7" si="47">HR7</f>
        <v>0.2</v>
      </c>
      <c r="HT7" s="74">
        <f t="shared" ref="HT7" si="48">HS7</f>
        <v>0.2</v>
      </c>
      <c r="HU7" s="74">
        <f t="shared" ref="HU7" si="49">HT7</f>
        <v>0.2</v>
      </c>
      <c r="HV7" s="74">
        <f t="shared" ref="HV7" si="50">HU7</f>
        <v>0.2</v>
      </c>
      <c r="HW7" s="74">
        <f t="shared" ref="HW7" si="51">HV7</f>
        <v>0.2</v>
      </c>
      <c r="HX7" s="74">
        <f t="shared" ref="HX7" si="52">HW7</f>
        <v>0.2</v>
      </c>
      <c r="HY7" s="74">
        <f t="shared" ref="HY7" si="53">HX7</f>
        <v>0.2</v>
      </c>
      <c r="HZ7" s="74">
        <f t="shared" ref="HZ7" si="54">HY7</f>
        <v>0.2</v>
      </c>
      <c r="IA7" s="74">
        <f t="shared" ref="IA7" si="55">HZ7</f>
        <v>0.2</v>
      </c>
      <c r="IB7" s="74">
        <f t="shared" ref="IB7" si="56">IA7</f>
        <v>0.2</v>
      </c>
      <c r="IC7" s="74">
        <f t="shared" ref="IC7" si="57">IB7</f>
        <v>0.2</v>
      </c>
      <c r="ID7" s="74">
        <f t="shared" ref="ID7" si="58">IC7</f>
        <v>0.2</v>
      </c>
      <c r="IE7" s="74">
        <f t="shared" ref="IE7" si="59">ID7</f>
        <v>0.2</v>
      </c>
      <c r="IF7" s="74">
        <f t="shared" ref="IF7" si="60">IE7</f>
        <v>0.2</v>
      </c>
      <c r="IG7" s="74">
        <f t="shared" ref="IG7" si="61">IF7</f>
        <v>0.2</v>
      </c>
      <c r="IH7" s="74">
        <f t="shared" ref="IH7" si="62">IG7</f>
        <v>0.2</v>
      </c>
    </row>
    <row r="8" spans="1:242" x14ac:dyDescent="0.45">
      <c r="A8" s="893" t="s">
        <v>257</v>
      </c>
      <c r="B8" s="894"/>
      <c r="C8" s="24">
        <f>C6*(1+C7)</f>
        <v>0</v>
      </c>
      <c r="D8" s="24">
        <f t="shared" ref="D8:BO8" si="63">D6*(1+D7)</f>
        <v>1319843214.4459713</v>
      </c>
      <c r="E8" s="24">
        <f t="shared" si="63"/>
        <v>1318743443.0066314</v>
      </c>
      <c r="F8" s="24">
        <f t="shared" si="63"/>
        <v>1318171521.5672913</v>
      </c>
      <c r="G8" s="24">
        <f t="shared" si="63"/>
        <v>1317599600.1279514</v>
      </c>
      <c r="H8" s="24">
        <f t="shared" si="63"/>
        <v>1317027678.6886113</v>
      </c>
      <c r="I8" s="24">
        <f t="shared" si="63"/>
        <v>1316455757.2492712</v>
      </c>
      <c r="J8" s="24">
        <f t="shared" si="63"/>
        <v>1424373072.7763014</v>
      </c>
      <c r="K8" s="24">
        <f t="shared" si="63"/>
        <v>1478045769.8201463</v>
      </c>
      <c r="L8" s="24">
        <f t="shared" si="63"/>
        <v>1477473848.3808062</v>
      </c>
      <c r="M8" s="24">
        <f t="shared" si="63"/>
        <v>1531146545.4246514</v>
      </c>
      <c r="N8" s="24">
        <f t="shared" si="63"/>
        <v>1530574623.9853113</v>
      </c>
      <c r="O8" s="24">
        <f t="shared" si="63"/>
        <v>1584247321.0291562</v>
      </c>
      <c r="P8" s="24">
        <f t="shared" si="63"/>
        <v>1854923692.0057414</v>
      </c>
      <c r="Q8" s="24">
        <f t="shared" si="63"/>
        <v>1854106832.9664016</v>
      </c>
      <c r="R8" s="24">
        <f t="shared" si="63"/>
        <v>1853483173.9270613</v>
      </c>
      <c r="S8" s="24">
        <f t="shared" si="63"/>
        <v>1852859514.8877215</v>
      </c>
      <c r="T8" s="24">
        <f t="shared" si="63"/>
        <v>1852235855.8483815</v>
      </c>
      <c r="U8" s="24">
        <f t="shared" si="63"/>
        <v>1851612196.8090417</v>
      </c>
      <c r="V8" s="24">
        <f t="shared" si="63"/>
        <v>1959477774.7360716</v>
      </c>
      <c r="W8" s="24">
        <f t="shared" si="63"/>
        <v>1958854115.6967316</v>
      </c>
      <c r="X8" s="24">
        <f t="shared" si="63"/>
        <v>2012475075.1405766</v>
      </c>
      <c r="Y8" s="24">
        <f t="shared" si="63"/>
        <v>2066096034.5844216</v>
      </c>
      <c r="Z8" s="24">
        <f t="shared" si="63"/>
        <v>2065472375.5450819</v>
      </c>
      <c r="AA8" s="24">
        <f t="shared" si="63"/>
        <v>2119093334.9889269</v>
      </c>
      <c r="AB8" s="24">
        <f t="shared" si="63"/>
        <v>2120647806.0494776</v>
      </c>
      <c r="AC8" s="24">
        <f t="shared" si="63"/>
        <v>2125780750.991611</v>
      </c>
      <c r="AD8" s="24">
        <f t="shared" si="63"/>
        <v>2130913695.9337442</v>
      </c>
      <c r="AE8" s="24">
        <f t="shared" si="63"/>
        <v>2136046640.8758776</v>
      </c>
      <c r="AF8" s="24">
        <f t="shared" si="63"/>
        <v>2141179585.8180108</v>
      </c>
      <c r="AG8" s="24">
        <f t="shared" si="63"/>
        <v>2146312530.7601442</v>
      </c>
      <c r="AH8" s="24">
        <f t="shared" si="63"/>
        <v>2151445475.7022777</v>
      </c>
      <c r="AI8" s="24">
        <f t="shared" si="63"/>
        <v>2156578420.6444111</v>
      </c>
      <c r="AJ8" s="24">
        <f t="shared" si="63"/>
        <v>2161711365.586544</v>
      </c>
      <c r="AK8" s="24">
        <f t="shared" si="63"/>
        <v>2166844310.5286775</v>
      </c>
      <c r="AL8" s="24">
        <f t="shared" si="63"/>
        <v>2171977255.4708109</v>
      </c>
      <c r="AM8" s="24">
        <f t="shared" si="63"/>
        <v>2177110200.4129443</v>
      </c>
      <c r="AN8" s="24">
        <f t="shared" si="63"/>
        <v>2183585623.8004699</v>
      </c>
      <c r="AO8" s="24">
        <f t="shared" si="63"/>
        <v>2193059249.0493722</v>
      </c>
      <c r="AP8" s="24">
        <f t="shared" si="63"/>
        <v>2202532874.2982745</v>
      </c>
      <c r="AQ8" s="24">
        <f t="shared" si="63"/>
        <v>2212006499.5471768</v>
      </c>
      <c r="AR8" s="24">
        <f t="shared" si="63"/>
        <v>2221480124.7960792</v>
      </c>
      <c r="AS8" s="24">
        <f t="shared" si="63"/>
        <v>2230953750.044981</v>
      </c>
      <c r="AT8" s="24">
        <f t="shared" si="63"/>
        <v>2240427375.2938833</v>
      </c>
      <c r="AU8" s="24">
        <f t="shared" si="63"/>
        <v>2249901000.5427856</v>
      </c>
      <c r="AV8" s="24">
        <f t="shared" si="63"/>
        <v>2259374625.7916875</v>
      </c>
      <c r="AW8" s="24">
        <f t="shared" si="63"/>
        <v>2268848251.0405898</v>
      </c>
      <c r="AX8" s="24">
        <f t="shared" si="63"/>
        <v>2278321876.2894921</v>
      </c>
      <c r="AY8" s="24">
        <f t="shared" si="63"/>
        <v>2287795501.5383945</v>
      </c>
      <c r="AZ8" s="24">
        <f t="shared" si="63"/>
        <v>2298242705.1294441</v>
      </c>
      <c r="BA8" s="24">
        <f t="shared" si="63"/>
        <v>2312210703.613658</v>
      </c>
      <c r="BB8" s="24">
        <f t="shared" si="63"/>
        <v>2326172451.6095099</v>
      </c>
      <c r="BC8" s="24">
        <f t="shared" si="63"/>
        <v>2340127915.2601876</v>
      </c>
      <c r="BD8" s="24">
        <f t="shared" si="63"/>
        <v>2354077060.5254889</v>
      </c>
      <c r="BE8" s="24">
        <f t="shared" si="63"/>
        <v>2368019853.1808252</v>
      </c>
      <c r="BF8" s="24">
        <f t="shared" si="63"/>
        <v>2381956258.816227</v>
      </c>
      <c r="BG8" s="24">
        <f t="shared" si="63"/>
        <v>2395886242.8353357</v>
      </c>
      <c r="BH8" s="24">
        <f t="shared" si="63"/>
        <v>2409809770.4543962</v>
      </c>
      <c r="BI8" s="24">
        <f t="shared" si="63"/>
        <v>2423726806.7012415</v>
      </c>
      <c r="BJ8" s="24">
        <f t="shared" si="63"/>
        <v>2437637316.4142728</v>
      </c>
      <c r="BK8" s="24">
        <f t="shared" si="63"/>
        <v>2451541264.2414312</v>
      </c>
      <c r="BL8" s="24">
        <f t="shared" si="63"/>
        <v>2477983073.5536785</v>
      </c>
      <c r="BM8" s="24">
        <f t="shared" si="63"/>
        <v>2494779333.6662621</v>
      </c>
      <c r="BN8" s="24">
        <f t="shared" si="63"/>
        <v>2511568924.6837029</v>
      </c>
      <c r="BO8" s="24">
        <f t="shared" si="63"/>
        <v>2535551810.4817343</v>
      </c>
      <c r="BP8" s="24">
        <f t="shared" ref="BP8:EA8" si="64">BP6*(1+BP7)</f>
        <v>2552327954.7404189</v>
      </c>
      <c r="BQ8" s="24">
        <f t="shared" si="64"/>
        <v>2569097320.9430842</v>
      </c>
      <c r="BR8" s="24">
        <f t="shared" si="64"/>
        <v>2590659872.3752608</v>
      </c>
      <c r="BS8" s="24">
        <f t="shared" si="64"/>
        <v>2607415572.1236081</v>
      </c>
      <c r="BT8" s="24">
        <f t="shared" si="64"/>
        <v>2624164383.0748391</v>
      </c>
      <c r="BU8" s="24">
        <f t="shared" si="64"/>
        <v>2640906267.9146357</v>
      </c>
      <c r="BV8" s="24">
        <f t="shared" si="64"/>
        <v>2657641189.1265616</v>
      </c>
      <c r="BW8" s="24">
        <f t="shared" si="64"/>
        <v>2674369108.9909654</v>
      </c>
      <c r="BX8" s="24">
        <f t="shared" si="64"/>
        <v>2691378834.602551</v>
      </c>
      <c r="BY8" s="24">
        <f t="shared" si="64"/>
        <v>2708482315.5735626</v>
      </c>
      <c r="BZ8" s="24">
        <f t="shared" si="64"/>
        <v>2725578680.8077779</v>
      </c>
      <c r="CA8" s="24">
        <f t="shared" si="64"/>
        <v>2742667891.7616229</v>
      </c>
      <c r="CB8" s="24">
        <f t="shared" si="64"/>
        <v>2759749909.6827445</v>
      </c>
      <c r="CC8" s="24">
        <f t="shared" si="64"/>
        <v>2776824695.6088834</v>
      </c>
      <c r="CD8" s="24">
        <f t="shared" si="64"/>
        <v>2793892210.3667321</v>
      </c>
      <c r="CE8" s="24">
        <f t="shared" si="64"/>
        <v>2810952414.570797</v>
      </c>
      <c r="CF8" s="24">
        <f t="shared" si="64"/>
        <v>2828005268.6222444</v>
      </c>
      <c r="CG8" s="24">
        <f t="shared" si="64"/>
        <v>2845050732.707747</v>
      </c>
      <c r="CH8" s="24">
        <f t="shared" si="64"/>
        <v>2862088766.7983241</v>
      </c>
      <c r="CI8" s="24">
        <f t="shared" si="64"/>
        <v>2879119330.648169</v>
      </c>
      <c r="CJ8" s="24">
        <f t="shared" si="64"/>
        <v>2896142383.7934775</v>
      </c>
      <c r="CK8" s="24">
        <f t="shared" si="64"/>
        <v>2913157885.5512671</v>
      </c>
      <c r="CL8" s="24">
        <f t="shared" si="64"/>
        <v>2930165795.018189</v>
      </c>
      <c r="CM8" s="24">
        <f t="shared" si="64"/>
        <v>2947166071.0693336</v>
      </c>
      <c r="CN8" s="24">
        <f t="shared" si="64"/>
        <v>2964158672.3570318</v>
      </c>
      <c r="CO8" s="24">
        <f t="shared" si="64"/>
        <v>2981160474.4814658</v>
      </c>
      <c r="CP8" s="24">
        <f t="shared" si="64"/>
        <v>2998089669.3153749</v>
      </c>
      <c r="CQ8" s="24">
        <f t="shared" si="64"/>
        <v>3015011063.9941735</v>
      </c>
      <c r="CR8" s="24">
        <f t="shared" si="64"/>
        <v>3031924616.2670217</v>
      </c>
      <c r="CS8" s="24">
        <f t="shared" si="64"/>
        <v>3048830283.6542201</v>
      </c>
      <c r="CT8" s="24">
        <f t="shared" si="64"/>
        <v>3065728023.4459715</v>
      </c>
      <c r="CU8" s="24">
        <f t="shared" si="64"/>
        <v>3082617792.7011337</v>
      </c>
      <c r="CV8" s="24">
        <f t="shared" si="64"/>
        <v>3099664334.0046511</v>
      </c>
      <c r="CW8" s="24">
        <f t="shared" si="64"/>
        <v>3117279211.4471564</v>
      </c>
      <c r="CX8" s="24">
        <f t="shared" si="64"/>
        <v>3134885988.1290126</v>
      </c>
      <c r="CY8" s="24">
        <f t="shared" si="64"/>
        <v>3152484620.1711001</v>
      </c>
      <c r="CZ8" s="24">
        <f t="shared" si="64"/>
        <v>3170075063.4566207</v>
      </c>
      <c r="DA8" s="24">
        <f t="shared" si="64"/>
        <v>3187657273.6298084</v>
      </c>
      <c r="DB8" s="24">
        <f t="shared" si="64"/>
        <v>3205231206.0946398</v>
      </c>
      <c r="DC8" s="24">
        <f t="shared" si="64"/>
        <v>3222796816.0135269</v>
      </c>
      <c r="DD8" s="24">
        <f t="shared" si="64"/>
        <v>3240354058.3060122</v>
      </c>
      <c r="DE8" s="24">
        <f t="shared" si="64"/>
        <v>3257902887.6474533</v>
      </c>
      <c r="DF8" s="24">
        <f t="shared" si="64"/>
        <v>3275443258.4676986</v>
      </c>
      <c r="DG8" s="24">
        <f t="shared" si="64"/>
        <v>3292975124.9497581</v>
      </c>
      <c r="DH8" s="24">
        <f t="shared" si="64"/>
        <v>3310515358.2002826</v>
      </c>
      <c r="DI8" s="24">
        <f t="shared" si="64"/>
        <v>3327982145.5741429</v>
      </c>
      <c r="DJ8" s="24">
        <f t="shared" si="64"/>
        <v>3345440289.6644111</v>
      </c>
      <c r="DK8" s="24">
        <f t="shared" si="64"/>
        <v>3362889743.6533017</v>
      </c>
      <c r="DL8" s="24">
        <f t="shared" si="64"/>
        <v>3380330460.4694319</v>
      </c>
      <c r="DM8" s="24">
        <f t="shared" si="64"/>
        <v>3397762392.7864494</v>
      </c>
      <c r="DN8" s="24">
        <f t="shared" si="64"/>
        <v>3415185493.0216513</v>
      </c>
      <c r="DO8" s="24">
        <f t="shared" si="64"/>
        <v>3432599713.3345933</v>
      </c>
      <c r="DP8" s="24">
        <f t="shared" si="64"/>
        <v>3450005005.6256971</v>
      </c>
      <c r="DQ8" s="24">
        <f t="shared" si="64"/>
        <v>3467401321.5348444</v>
      </c>
      <c r="DR8" s="24">
        <f t="shared" si="64"/>
        <v>3484788612.4399657</v>
      </c>
      <c r="DS8" s="24">
        <f t="shared" si="64"/>
        <v>3502166829.4556236</v>
      </c>
      <c r="DT8" s="24">
        <f t="shared" si="64"/>
        <v>3537700709.1902657</v>
      </c>
      <c r="DU8" s="24">
        <f t="shared" si="64"/>
        <v>3555810982.1818223</v>
      </c>
      <c r="DV8" s="24">
        <f t="shared" si="64"/>
        <v>3573921255.1733785</v>
      </c>
      <c r="DW8" s="24">
        <f t="shared" si="64"/>
        <v>3605231528.1649346</v>
      </c>
      <c r="DX8" s="24">
        <f t="shared" si="64"/>
        <v>3623341801.1564913</v>
      </c>
      <c r="DY8" s="24">
        <f t="shared" si="64"/>
        <v>3641452074.1480474</v>
      </c>
      <c r="DZ8" s="24">
        <f t="shared" si="64"/>
        <v>3670362347.1396041</v>
      </c>
      <c r="EA8" s="24">
        <f t="shared" si="64"/>
        <v>3688472620.1311603</v>
      </c>
      <c r="EB8" s="24">
        <f t="shared" ref="EB8:GI8" si="65">EB6*(1+EB7)</f>
        <v>3706582893.1227164</v>
      </c>
      <c r="EC8" s="24">
        <f t="shared" si="65"/>
        <v>3724693166.1142731</v>
      </c>
      <c r="ED8" s="24">
        <f t="shared" si="65"/>
        <v>3742803439.1058292</v>
      </c>
      <c r="EE8" s="24">
        <f t="shared" si="65"/>
        <v>3760913712.0973859</v>
      </c>
      <c r="EF8" s="24">
        <f t="shared" si="65"/>
        <v>3779040902.2607584</v>
      </c>
      <c r="EG8" s="24">
        <f t="shared" si="65"/>
        <v>3797103243.2655025</v>
      </c>
      <c r="EH8" s="24">
        <f t="shared" si="65"/>
        <v>3815165584.270246</v>
      </c>
      <c r="EI8" s="24">
        <f t="shared" si="65"/>
        <v>3833227925.2749896</v>
      </c>
      <c r="EJ8" s="24">
        <f t="shared" si="65"/>
        <v>3851290266.2797337</v>
      </c>
      <c r="EK8" s="24">
        <f t="shared" si="65"/>
        <v>3869352607.2844772</v>
      </c>
      <c r="EL8" s="24">
        <f t="shared" si="65"/>
        <v>3893414948.2892208</v>
      </c>
      <c r="EM8" s="24">
        <f t="shared" si="65"/>
        <v>3911477289.2939649</v>
      </c>
      <c r="EN8" s="24">
        <f t="shared" si="65"/>
        <v>3929539630.2987084</v>
      </c>
      <c r="EO8" s="24">
        <f t="shared" si="65"/>
        <v>3947601971.3034525</v>
      </c>
      <c r="EP8" s="24">
        <f t="shared" si="65"/>
        <v>3965664312.3081961</v>
      </c>
      <c r="EQ8" s="24">
        <f t="shared" si="65"/>
        <v>3995726653.3129396</v>
      </c>
      <c r="ER8" s="24">
        <f t="shared" si="65"/>
        <v>4013953780.0763669</v>
      </c>
      <c r="ES8" s="24">
        <f t="shared" si="65"/>
        <v>4032757300.0967078</v>
      </c>
      <c r="ET8" s="24">
        <f t="shared" si="65"/>
        <v>4051560820.1170483</v>
      </c>
      <c r="EU8" s="24">
        <f t="shared" si="65"/>
        <v>4070364340.1373892</v>
      </c>
      <c r="EV8" s="24">
        <f t="shared" si="65"/>
        <v>4089167860.1577301</v>
      </c>
      <c r="EW8" s="24">
        <f t="shared" si="65"/>
        <v>4107971380.1780705</v>
      </c>
      <c r="EX8" s="24">
        <f t="shared" si="65"/>
        <v>4126774900.1984115</v>
      </c>
      <c r="EY8" s="24">
        <f t="shared" si="65"/>
        <v>4145578420.2187519</v>
      </c>
      <c r="EZ8" s="24">
        <f t="shared" si="65"/>
        <v>4164381940.2390928</v>
      </c>
      <c r="FA8" s="24">
        <f t="shared" si="65"/>
        <v>4189185460.2594337</v>
      </c>
      <c r="FB8" s="24">
        <f t="shared" si="65"/>
        <v>4207988980.2797742</v>
      </c>
      <c r="FC8" s="24">
        <f t="shared" si="65"/>
        <v>4226792500.3001151</v>
      </c>
      <c r="FD8" s="24">
        <f t="shared" si="65"/>
        <v>4245612937.4922724</v>
      </c>
      <c r="FE8" s="24">
        <f t="shared" si="65"/>
        <v>4264368525.5258002</v>
      </c>
      <c r="FF8" s="24">
        <f t="shared" si="65"/>
        <v>4283124113.5593286</v>
      </c>
      <c r="FG8" s="24">
        <f t="shared" si="65"/>
        <v>4301879701.5928564</v>
      </c>
      <c r="FH8" s="24">
        <f t="shared" si="65"/>
        <v>4320635289.6263847</v>
      </c>
      <c r="FI8" s="24">
        <f t="shared" si="65"/>
        <v>4351390877.6599131</v>
      </c>
      <c r="FJ8" s="24">
        <f t="shared" si="65"/>
        <v>4370146465.6934414</v>
      </c>
      <c r="FK8" s="24">
        <f t="shared" si="65"/>
        <v>4388902053.7269688</v>
      </c>
      <c r="FL8" s="24">
        <f t="shared" si="65"/>
        <v>4407657641.7604971</v>
      </c>
      <c r="FM8" s="24">
        <f t="shared" si="65"/>
        <v>4426413229.7940254</v>
      </c>
      <c r="FN8" s="24">
        <f t="shared" si="65"/>
        <v>4445168817.8275537</v>
      </c>
      <c r="FO8" s="24">
        <f t="shared" si="65"/>
        <v>4463924405.8610821</v>
      </c>
      <c r="FP8" s="24">
        <f t="shared" si="65"/>
        <v>4482844779.6532936</v>
      </c>
      <c r="FQ8" s="24">
        <f t="shared" si="65"/>
        <v>4502341546.7024193</v>
      </c>
      <c r="FR8" s="24">
        <f t="shared" si="65"/>
        <v>4521838313.751545</v>
      </c>
      <c r="FS8" s="24">
        <f t="shared" si="65"/>
        <v>4541335080.8006706</v>
      </c>
      <c r="FT8" s="24">
        <f t="shared" si="65"/>
        <v>4560831847.8497963</v>
      </c>
      <c r="FU8" s="24">
        <f t="shared" si="65"/>
        <v>4580328614.898922</v>
      </c>
      <c r="FV8" s="24">
        <f t="shared" si="65"/>
        <v>4599825381.9480476</v>
      </c>
      <c r="FW8" s="24">
        <f t="shared" si="65"/>
        <v>4619322148.9971733</v>
      </c>
      <c r="FX8" s="24">
        <f t="shared" si="65"/>
        <v>4638818916.046299</v>
      </c>
      <c r="FY8" s="24">
        <f t="shared" si="65"/>
        <v>4658315683.0954247</v>
      </c>
      <c r="FZ8" s="24">
        <f t="shared" si="65"/>
        <v>4677812450.1445503</v>
      </c>
      <c r="GA8" s="24">
        <f t="shared" si="65"/>
        <v>0</v>
      </c>
      <c r="GB8" s="24">
        <f t="shared" si="65"/>
        <v>0</v>
      </c>
      <c r="GC8" s="24">
        <f t="shared" si="65"/>
        <v>0</v>
      </c>
      <c r="GD8" s="24">
        <f t="shared" si="65"/>
        <v>0</v>
      </c>
      <c r="GE8" s="24">
        <f t="shared" si="65"/>
        <v>0</v>
      </c>
      <c r="GF8" s="24">
        <f t="shared" si="65"/>
        <v>0</v>
      </c>
      <c r="GG8" s="24">
        <f t="shared" si="65"/>
        <v>0</v>
      </c>
      <c r="GH8" s="24">
        <f t="shared" si="65"/>
        <v>0</v>
      </c>
      <c r="GI8" s="24">
        <f t="shared" si="65"/>
        <v>0</v>
      </c>
      <c r="GJ8" s="24">
        <f t="shared" ref="GJ8:IH8" si="66">GJ6*(1+GJ7)</f>
        <v>0</v>
      </c>
      <c r="GK8" s="24">
        <f t="shared" si="66"/>
        <v>0</v>
      </c>
      <c r="GL8" s="24">
        <f t="shared" si="66"/>
        <v>0</v>
      </c>
      <c r="GM8" s="24">
        <f t="shared" si="66"/>
        <v>0</v>
      </c>
      <c r="GN8" s="24">
        <f t="shared" si="66"/>
        <v>0</v>
      </c>
      <c r="GO8" s="24">
        <f t="shared" si="66"/>
        <v>0</v>
      </c>
      <c r="GP8" s="24">
        <f t="shared" si="66"/>
        <v>0</v>
      </c>
      <c r="GQ8" s="24">
        <f t="shared" si="66"/>
        <v>0</v>
      </c>
      <c r="GR8" s="24">
        <f t="shared" si="66"/>
        <v>0</v>
      </c>
      <c r="GS8" s="24">
        <f t="shared" si="66"/>
        <v>0</v>
      </c>
      <c r="GT8" s="24">
        <f t="shared" si="66"/>
        <v>0</v>
      </c>
      <c r="GU8" s="24">
        <f t="shared" si="66"/>
        <v>0</v>
      </c>
      <c r="GV8" s="24">
        <f t="shared" si="66"/>
        <v>0</v>
      </c>
      <c r="GW8" s="24">
        <f t="shared" si="66"/>
        <v>0</v>
      </c>
      <c r="GX8" s="24">
        <f t="shared" si="66"/>
        <v>0</v>
      </c>
      <c r="GY8" s="24">
        <f t="shared" si="66"/>
        <v>0</v>
      </c>
      <c r="GZ8" s="24">
        <f t="shared" si="66"/>
        <v>0</v>
      </c>
      <c r="HA8" s="24">
        <f t="shared" si="66"/>
        <v>0</v>
      </c>
      <c r="HB8" s="24">
        <f t="shared" si="66"/>
        <v>0</v>
      </c>
      <c r="HC8" s="24">
        <f t="shared" si="66"/>
        <v>0</v>
      </c>
      <c r="HD8" s="24">
        <f t="shared" si="66"/>
        <v>0</v>
      </c>
      <c r="HE8" s="24">
        <f t="shared" si="66"/>
        <v>0</v>
      </c>
      <c r="HF8" s="24">
        <f t="shared" si="66"/>
        <v>0</v>
      </c>
      <c r="HG8" s="24">
        <f t="shared" si="66"/>
        <v>0</v>
      </c>
      <c r="HH8" s="24">
        <f t="shared" si="66"/>
        <v>0</v>
      </c>
      <c r="HI8" s="24">
        <f t="shared" si="66"/>
        <v>0</v>
      </c>
      <c r="HJ8" s="24">
        <f t="shared" si="66"/>
        <v>0</v>
      </c>
      <c r="HK8" s="24">
        <f t="shared" si="66"/>
        <v>0</v>
      </c>
      <c r="HL8" s="24">
        <f t="shared" si="66"/>
        <v>0</v>
      </c>
      <c r="HM8" s="24">
        <f t="shared" si="66"/>
        <v>0</v>
      </c>
      <c r="HN8" s="24">
        <f t="shared" si="66"/>
        <v>0</v>
      </c>
      <c r="HO8" s="24">
        <f t="shared" si="66"/>
        <v>0</v>
      </c>
      <c r="HP8" s="24">
        <f t="shared" si="66"/>
        <v>0</v>
      </c>
      <c r="HQ8" s="24">
        <f t="shared" si="66"/>
        <v>0</v>
      </c>
      <c r="HR8" s="24">
        <f t="shared" si="66"/>
        <v>0</v>
      </c>
      <c r="HS8" s="24">
        <f t="shared" si="66"/>
        <v>0</v>
      </c>
      <c r="HT8" s="24">
        <f t="shared" si="66"/>
        <v>0</v>
      </c>
      <c r="HU8" s="24">
        <f t="shared" si="66"/>
        <v>0</v>
      </c>
      <c r="HV8" s="24">
        <f t="shared" si="66"/>
        <v>0</v>
      </c>
      <c r="HW8" s="24">
        <f t="shared" si="66"/>
        <v>0</v>
      </c>
      <c r="HX8" s="24">
        <f t="shared" si="66"/>
        <v>0</v>
      </c>
      <c r="HY8" s="24">
        <f t="shared" si="66"/>
        <v>0</v>
      </c>
      <c r="HZ8" s="24">
        <f t="shared" si="66"/>
        <v>0</v>
      </c>
      <c r="IA8" s="24">
        <f t="shared" si="66"/>
        <v>0</v>
      </c>
      <c r="IB8" s="24">
        <f t="shared" si="66"/>
        <v>0</v>
      </c>
      <c r="IC8" s="24">
        <f t="shared" si="66"/>
        <v>0</v>
      </c>
      <c r="ID8" s="24">
        <f t="shared" si="66"/>
        <v>0</v>
      </c>
      <c r="IE8" s="24">
        <f t="shared" si="66"/>
        <v>0</v>
      </c>
      <c r="IF8" s="24">
        <f t="shared" si="66"/>
        <v>0</v>
      </c>
      <c r="IG8" s="24">
        <f t="shared" si="66"/>
        <v>0</v>
      </c>
      <c r="IH8" s="24">
        <f t="shared" si="66"/>
        <v>0</v>
      </c>
    </row>
    <row r="9" spans="1:242" x14ac:dyDescent="0.45">
      <c r="A9" s="893" t="s">
        <v>258</v>
      </c>
      <c r="B9" s="894"/>
      <c r="C9" s="24">
        <f t="shared" ref="C9:AH9" si="67">C6*(CST_INTEREST_STD/12)</f>
        <v>0</v>
      </c>
      <c r="D9" s="24">
        <f t="shared" si="67"/>
        <v>5957625.6207630653</v>
      </c>
      <c r="E9" s="24">
        <f t="shared" si="67"/>
        <v>5952661.3746827114</v>
      </c>
      <c r="F9" s="24">
        <f t="shared" si="67"/>
        <v>5950079.7848523566</v>
      </c>
      <c r="G9" s="24">
        <f t="shared" si="67"/>
        <v>5947498.1950220028</v>
      </c>
      <c r="H9" s="24">
        <f t="shared" si="67"/>
        <v>5944916.6051916489</v>
      </c>
      <c r="I9" s="24">
        <f t="shared" si="67"/>
        <v>5942335.0153612942</v>
      </c>
      <c r="J9" s="24">
        <f t="shared" si="67"/>
        <v>6429461.7868374716</v>
      </c>
      <c r="K9" s="24">
        <f t="shared" si="67"/>
        <v>6671734.3776603825</v>
      </c>
      <c r="L9" s="24">
        <f t="shared" si="67"/>
        <v>6669152.7878300287</v>
      </c>
      <c r="M9" s="24">
        <f t="shared" si="67"/>
        <v>6911425.3786529405</v>
      </c>
      <c r="N9" s="24">
        <f t="shared" si="67"/>
        <v>6908843.7888225866</v>
      </c>
      <c r="O9" s="24">
        <f t="shared" si="67"/>
        <v>7151116.3796454975</v>
      </c>
      <c r="P9" s="24">
        <f t="shared" si="67"/>
        <v>8372919.4430814721</v>
      </c>
      <c r="Q9" s="24">
        <f t="shared" si="67"/>
        <v>8369232.2321400074</v>
      </c>
      <c r="R9" s="24">
        <f t="shared" si="67"/>
        <v>8366417.1045318749</v>
      </c>
      <c r="S9" s="24">
        <f t="shared" si="67"/>
        <v>8363601.9769237442</v>
      </c>
      <c r="T9" s="24">
        <f t="shared" si="67"/>
        <v>8360786.8493156116</v>
      </c>
      <c r="U9" s="24">
        <f t="shared" si="67"/>
        <v>8357971.72170748</v>
      </c>
      <c r="V9" s="24">
        <f t="shared" si="67"/>
        <v>8844864.9554058798</v>
      </c>
      <c r="W9" s="24">
        <f t="shared" si="67"/>
        <v>8842049.8277977463</v>
      </c>
      <c r="X9" s="24">
        <f t="shared" si="67"/>
        <v>9084088.8808428813</v>
      </c>
      <c r="Y9" s="24">
        <f t="shared" si="67"/>
        <v>9326127.9338880144</v>
      </c>
      <c r="Z9" s="24">
        <f t="shared" si="67"/>
        <v>9323312.8062798847</v>
      </c>
      <c r="AA9" s="24">
        <f t="shared" si="67"/>
        <v>9565351.8593250178</v>
      </c>
      <c r="AB9" s="24">
        <f t="shared" si="67"/>
        <v>9572368.5689733364</v>
      </c>
      <c r="AC9" s="24">
        <f t="shared" si="67"/>
        <v>9595538.1121149119</v>
      </c>
      <c r="AD9" s="24">
        <f t="shared" si="67"/>
        <v>9618707.6552564856</v>
      </c>
      <c r="AE9" s="24">
        <f t="shared" si="67"/>
        <v>9641877.1983980592</v>
      </c>
      <c r="AF9" s="24">
        <f t="shared" si="67"/>
        <v>9665046.7415396329</v>
      </c>
      <c r="AG9" s="24">
        <f t="shared" si="67"/>
        <v>9688216.2846812066</v>
      </c>
      <c r="AH9" s="24">
        <f t="shared" si="67"/>
        <v>9711385.8278227821</v>
      </c>
      <c r="AI9" s="24">
        <f t="shared" ref="AI9:BN9" si="68">AI6*(CST_INTEREST_STD/12)</f>
        <v>9734555.3709643558</v>
      </c>
      <c r="AJ9" s="24">
        <f t="shared" si="68"/>
        <v>9757724.9141059294</v>
      </c>
      <c r="AK9" s="24">
        <f t="shared" si="68"/>
        <v>9780894.4572475031</v>
      </c>
      <c r="AL9" s="24">
        <f t="shared" si="68"/>
        <v>9804064.0003890768</v>
      </c>
      <c r="AM9" s="24">
        <f t="shared" si="68"/>
        <v>9827233.5435306523</v>
      </c>
      <c r="AN9" s="24">
        <f t="shared" si="68"/>
        <v>9856462.8852104563</v>
      </c>
      <c r="AO9" s="24">
        <f t="shared" si="68"/>
        <v>9899225.7769589722</v>
      </c>
      <c r="AP9" s="24">
        <f t="shared" si="68"/>
        <v>9941988.66870749</v>
      </c>
      <c r="AQ9" s="24">
        <f t="shared" si="68"/>
        <v>9984751.5604560059</v>
      </c>
      <c r="AR9" s="24">
        <f t="shared" si="68"/>
        <v>10027514.452204524</v>
      </c>
      <c r="AS9" s="24">
        <f t="shared" si="68"/>
        <v>10070277.343953041</v>
      </c>
      <c r="AT9" s="24">
        <f t="shared" si="68"/>
        <v>10113040.235701557</v>
      </c>
      <c r="AU9" s="24">
        <f t="shared" si="68"/>
        <v>10155803.127450073</v>
      </c>
      <c r="AV9" s="24">
        <f t="shared" si="68"/>
        <v>10198566.019198591</v>
      </c>
      <c r="AW9" s="24">
        <f t="shared" si="68"/>
        <v>10241328.910947107</v>
      </c>
      <c r="AX9" s="24">
        <f t="shared" si="68"/>
        <v>10284091.802695625</v>
      </c>
      <c r="AY9" s="24">
        <f t="shared" si="68"/>
        <v>10326854.694444142</v>
      </c>
      <c r="AZ9" s="24">
        <f t="shared" si="68"/>
        <v>10374012.210653741</v>
      </c>
      <c r="BA9" s="24">
        <f t="shared" si="68"/>
        <v>10437062.203811653</v>
      </c>
      <c r="BB9" s="24">
        <f t="shared" si="68"/>
        <v>10500083.982959595</v>
      </c>
      <c r="BC9" s="24">
        <f t="shared" si="68"/>
        <v>10563077.395271681</v>
      </c>
      <c r="BD9" s="24">
        <f t="shared" si="68"/>
        <v>10626042.287094221</v>
      </c>
      <c r="BE9" s="24">
        <f t="shared" si="68"/>
        <v>10688978.503941227</v>
      </c>
      <c r="BF9" s="24">
        <f t="shared" si="68"/>
        <v>10751885.890489915</v>
      </c>
      <c r="BG9" s="24">
        <f t="shared" si="68"/>
        <v>10814764.290576167</v>
      </c>
      <c r="BH9" s="24">
        <f t="shared" si="68"/>
        <v>10877613.547189983</v>
      </c>
      <c r="BI9" s="24">
        <f t="shared" si="68"/>
        <v>10940433.502470883</v>
      </c>
      <c r="BJ9" s="24">
        <f t="shared" si="68"/>
        <v>11003223.997703314</v>
      </c>
      <c r="BK9" s="24">
        <f t="shared" si="68"/>
        <v>11065984.873312017</v>
      </c>
      <c r="BL9" s="24">
        <f t="shared" si="68"/>
        <v>11185340.262568688</v>
      </c>
      <c r="BM9" s="24">
        <f t="shared" si="68"/>
        <v>11261156.714465769</v>
      </c>
      <c r="BN9" s="24">
        <f t="shared" si="68"/>
        <v>11336943.062808381</v>
      </c>
      <c r="BO9" s="24">
        <f t="shared" ref="BO9:CT9" si="69">BO6*(CST_INTEREST_STD/12)</f>
        <v>11445199.144535609</v>
      </c>
      <c r="BP9" s="24">
        <f t="shared" si="69"/>
        <v>11520924.795703279</v>
      </c>
      <c r="BQ9" s="24">
        <f t="shared" si="69"/>
        <v>11596619.851479201</v>
      </c>
      <c r="BR9" s="24">
        <f t="shared" si="69"/>
        <v>11693950.812804997</v>
      </c>
      <c r="BS9" s="24">
        <f t="shared" si="69"/>
        <v>11769584.179724621</v>
      </c>
      <c r="BT9" s="24">
        <f t="shared" si="69"/>
        <v>11845186.451379484</v>
      </c>
      <c r="BU9" s="24">
        <f t="shared" si="69"/>
        <v>11920757.459336899</v>
      </c>
      <c r="BV9" s="24">
        <f t="shared" si="69"/>
        <v>11996297.034251841</v>
      </c>
      <c r="BW9" s="24">
        <f t="shared" si="69"/>
        <v>12071805.005861996</v>
      </c>
      <c r="BX9" s="24">
        <f t="shared" si="69"/>
        <v>12148585.017303182</v>
      </c>
      <c r="BY9" s="24">
        <f t="shared" si="69"/>
        <v>12225788.230019554</v>
      </c>
      <c r="BZ9" s="24">
        <f t="shared" si="69"/>
        <v>12302959.323090665</v>
      </c>
      <c r="CA9" s="24">
        <f t="shared" si="69"/>
        <v>12380098.122535104</v>
      </c>
      <c r="CB9" s="24">
        <f t="shared" si="69"/>
        <v>12457204.453429054</v>
      </c>
      <c r="CC9" s="24">
        <f t="shared" si="69"/>
        <v>12534278.13990121</v>
      </c>
      <c r="CD9" s="24">
        <f t="shared" si="69"/>
        <v>12611319.005127613</v>
      </c>
      <c r="CE9" s="24">
        <f t="shared" si="69"/>
        <v>12688326.871326514</v>
      </c>
      <c r="CF9" s="24">
        <f t="shared" si="69"/>
        <v>12765301.559753187</v>
      </c>
      <c r="CG9" s="24">
        <f t="shared" si="69"/>
        <v>12842242.890694693</v>
      </c>
      <c r="CH9" s="24">
        <f t="shared" si="69"/>
        <v>12919150.683464658</v>
      </c>
      <c r="CI9" s="24">
        <f t="shared" si="69"/>
        <v>12996024.756397985</v>
      </c>
      <c r="CJ9" s="24">
        <f t="shared" si="69"/>
        <v>13072864.926845558</v>
      </c>
      <c r="CK9" s="24">
        <f t="shared" si="69"/>
        <v>13149671.011168916</v>
      </c>
      <c r="CL9" s="24">
        <f t="shared" si="69"/>
        <v>13226442.824734882</v>
      </c>
      <c r="CM9" s="24">
        <f t="shared" si="69"/>
        <v>13303180.181910187</v>
      </c>
      <c r="CN9" s="24">
        <f t="shared" si="69"/>
        <v>13379882.896056049</v>
      </c>
      <c r="CO9" s="24">
        <f t="shared" si="69"/>
        <v>13456627.141756618</v>
      </c>
      <c r="CP9" s="24">
        <f t="shared" si="69"/>
        <v>13533043.646215236</v>
      </c>
      <c r="CQ9" s="24">
        <f t="shared" si="69"/>
        <v>13609424.941640368</v>
      </c>
      <c r="CR9" s="24">
        <f t="shared" si="69"/>
        <v>13685770.837316418</v>
      </c>
      <c r="CS9" s="24">
        <f t="shared" si="69"/>
        <v>13762081.141494745</v>
      </c>
      <c r="CT9" s="24">
        <f t="shared" si="69"/>
        <v>13838355.661388068</v>
      </c>
      <c r="CU9" s="24">
        <f t="shared" ref="CU9:DZ9" si="70">CU6*(CST_INTEREST_STD/12)</f>
        <v>13914594.20316484</v>
      </c>
      <c r="CV9" s="24">
        <f t="shared" si="70"/>
        <v>13991540.396548774</v>
      </c>
      <c r="CW9" s="24">
        <f t="shared" si="70"/>
        <v>14071051.996115636</v>
      </c>
      <c r="CX9" s="24">
        <f t="shared" si="70"/>
        <v>14150527.029749015</v>
      </c>
      <c r="CY9" s="24">
        <f t="shared" si="70"/>
        <v>14229965.299383439</v>
      </c>
      <c r="CZ9" s="24">
        <f t="shared" si="70"/>
        <v>14309366.605880581</v>
      </c>
      <c r="DA9" s="24">
        <f t="shared" si="70"/>
        <v>14388730.749023443</v>
      </c>
      <c r="DB9" s="24">
        <f t="shared" si="70"/>
        <v>14468057.527510528</v>
      </c>
      <c r="DC9" s="24">
        <f t="shared" si="70"/>
        <v>14547346.738949949</v>
      </c>
      <c r="DD9" s="24">
        <f t="shared" si="70"/>
        <v>14626598.179853529</v>
      </c>
      <c r="DE9" s="24">
        <f t="shared" si="70"/>
        <v>14705811.645630866</v>
      </c>
      <c r="DF9" s="24">
        <f t="shared" si="70"/>
        <v>14784986.930583362</v>
      </c>
      <c r="DG9" s="24">
        <f t="shared" si="70"/>
        <v>14864123.827898214</v>
      </c>
      <c r="DH9" s="24">
        <f t="shared" si="70"/>
        <v>14943298.491876276</v>
      </c>
      <c r="DI9" s="24">
        <f t="shared" si="70"/>
        <v>15022141.629327729</v>
      </c>
      <c r="DJ9" s="24">
        <f t="shared" si="70"/>
        <v>15100945.751957413</v>
      </c>
      <c r="DK9" s="24">
        <f t="shared" si="70"/>
        <v>15179710.648435043</v>
      </c>
      <c r="DL9" s="24">
        <f t="shared" si="70"/>
        <v>15258436.106285632</v>
      </c>
      <c r="DM9" s="24">
        <f t="shared" si="70"/>
        <v>15337121.91188328</v>
      </c>
      <c r="DN9" s="24">
        <f t="shared" si="70"/>
        <v>15415767.850444954</v>
      </c>
      <c r="DO9" s="24">
        <f t="shared" si="70"/>
        <v>15494373.706024207</v>
      </c>
      <c r="DP9" s="24">
        <f t="shared" si="70"/>
        <v>15572939.261504885</v>
      </c>
      <c r="DQ9" s="24">
        <f t="shared" si="70"/>
        <v>15651464.298594784</v>
      </c>
      <c r="DR9" s="24">
        <f t="shared" si="70"/>
        <v>15729948.597819291</v>
      </c>
      <c r="DS9" s="24">
        <f t="shared" si="70"/>
        <v>15808391.938514968</v>
      </c>
      <c r="DT9" s="24">
        <f t="shared" si="70"/>
        <v>15968787.923428284</v>
      </c>
      <c r="DU9" s="24">
        <f t="shared" si="70"/>
        <v>16050535.683459615</v>
      </c>
      <c r="DV9" s="24">
        <f t="shared" si="70"/>
        <v>16132283.443490945</v>
      </c>
      <c r="DW9" s="24">
        <f t="shared" si="70"/>
        <v>16273614.53685561</v>
      </c>
      <c r="DX9" s="24">
        <f t="shared" si="70"/>
        <v>16355362.29688694</v>
      </c>
      <c r="DY9" s="24">
        <f t="shared" si="70"/>
        <v>16437110.056918271</v>
      </c>
      <c r="DZ9" s="24">
        <f t="shared" si="70"/>
        <v>16567607.816949602</v>
      </c>
      <c r="EA9" s="24">
        <f t="shared" ref="EA9:FF9" si="71">EA6*(CST_INTEREST_STD/12)</f>
        <v>16649355.576980934</v>
      </c>
      <c r="EB9" s="24">
        <f t="shared" si="71"/>
        <v>16731103.337012263</v>
      </c>
      <c r="EC9" s="24">
        <f t="shared" si="71"/>
        <v>16812851.097043592</v>
      </c>
      <c r="ED9" s="24">
        <f t="shared" si="71"/>
        <v>16894598.857074924</v>
      </c>
      <c r="EE9" s="24">
        <f t="shared" si="71"/>
        <v>16976346.617106255</v>
      </c>
      <c r="EF9" s="24">
        <f t="shared" si="71"/>
        <v>17058170.739371479</v>
      </c>
      <c r="EG9" s="24">
        <f t="shared" si="71"/>
        <v>17139702.139740117</v>
      </c>
      <c r="EH9" s="24">
        <f t="shared" si="71"/>
        <v>17221233.540108752</v>
      </c>
      <c r="EI9" s="24">
        <f t="shared" si="71"/>
        <v>17302764.940477386</v>
      </c>
      <c r="EJ9" s="24">
        <f t="shared" si="71"/>
        <v>17384296.340846021</v>
      </c>
      <c r="EK9" s="24">
        <f t="shared" si="71"/>
        <v>17465827.741214655</v>
      </c>
      <c r="EL9" s="24">
        <f t="shared" si="71"/>
        <v>17574442.474916626</v>
      </c>
      <c r="EM9" s="24">
        <f t="shared" si="71"/>
        <v>17655973.87528526</v>
      </c>
      <c r="EN9" s="24">
        <f t="shared" si="71"/>
        <v>17737505.275653895</v>
      </c>
      <c r="EO9" s="24">
        <f t="shared" si="71"/>
        <v>17819036.67602253</v>
      </c>
      <c r="EP9" s="24">
        <f t="shared" si="71"/>
        <v>17900568.076391164</v>
      </c>
      <c r="EQ9" s="24">
        <f t="shared" si="71"/>
        <v>18036266.143426467</v>
      </c>
      <c r="ER9" s="24">
        <f t="shared" si="71"/>
        <v>18118541.368400268</v>
      </c>
      <c r="ES9" s="24">
        <f t="shared" si="71"/>
        <v>18203418.368492085</v>
      </c>
      <c r="ET9" s="24">
        <f t="shared" si="71"/>
        <v>18288295.368583899</v>
      </c>
      <c r="EU9" s="24">
        <f t="shared" si="71"/>
        <v>18373172.368675716</v>
      </c>
      <c r="EV9" s="24">
        <f t="shared" si="71"/>
        <v>18458049.368767533</v>
      </c>
      <c r="EW9" s="24">
        <f t="shared" si="71"/>
        <v>18542926.368859347</v>
      </c>
      <c r="EX9" s="24">
        <f t="shared" si="71"/>
        <v>18627803.368951164</v>
      </c>
      <c r="EY9" s="24">
        <f t="shared" si="71"/>
        <v>18712680.369042981</v>
      </c>
      <c r="EZ9" s="24">
        <f t="shared" si="71"/>
        <v>18797557.369134795</v>
      </c>
      <c r="FA9" s="24">
        <f t="shared" si="71"/>
        <v>18909517.702559944</v>
      </c>
      <c r="FB9" s="24">
        <f t="shared" si="71"/>
        <v>18994394.702651761</v>
      </c>
      <c r="FC9" s="24">
        <f t="shared" si="71"/>
        <v>19079271.702743575</v>
      </c>
      <c r="FD9" s="24">
        <f t="shared" si="71"/>
        <v>19164225.065069284</v>
      </c>
      <c r="FE9" s="24">
        <f t="shared" si="71"/>
        <v>19248885.705498405</v>
      </c>
      <c r="FF9" s="24">
        <f t="shared" si="71"/>
        <v>19333546.345927525</v>
      </c>
      <c r="FG9" s="24">
        <f t="shared" ref="FG9:HN9" si="72">FG6*(CST_INTEREST_STD/12)</f>
        <v>19418206.986356646</v>
      </c>
      <c r="FH9" s="24">
        <f t="shared" si="72"/>
        <v>19502867.626785766</v>
      </c>
      <c r="FI9" s="24">
        <f t="shared" si="72"/>
        <v>19641694.933881551</v>
      </c>
      <c r="FJ9" s="24">
        <f t="shared" si="72"/>
        <v>19726355.574310672</v>
      </c>
      <c r="FK9" s="24">
        <f t="shared" si="72"/>
        <v>19811016.214739792</v>
      </c>
      <c r="FL9" s="24">
        <f t="shared" si="72"/>
        <v>19895676.855168913</v>
      </c>
      <c r="FM9" s="24">
        <f t="shared" si="72"/>
        <v>19980337.495598033</v>
      </c>
      <c r="FN9" s="24">
        <f t="shared" si="72"/>
        <v>20064998.136027154</v>
      </c>
      <c r="FO9" s="24">
        <f t="shared" si="72"/>
        <v>20149658.776456274</v>
      </c>
      <c r="FP9" s="24">
        <f t="shared" si="72"/>
        <v>20235063.241490565</v>
      </c>
      <c r="FQ9" s="24">
        <f t="shared" si="72"/>
        <v>20323069.481642868</v>
      </c>
      <c r="FR9" s="24">
        <f t="shared" si="72"/>
        <v>20411075.721795171</v>
      </c>
      <c r="FS9" s="24">
        <f t="shared" si="72"/>
        <v>20499081.961947475</v>
      </c>
      <c r="FT9" s="24">
        <f t="shared" si="72"/>
        <v>20587088.202099778</v>
      </c>
      <c r="FU9" s="24">
        <f t="shared" si="72"/>
        <v>20675094.442252081</v>
      </c>
      <c r="FV9" s="24">
        <f t="shared" si="72"/>
        <v>20763100.682404384</v>
      </c>
      <c r="FW9" s="24">
        <f t="shared" si="72"/>
        <v>20851106.922556687</v>
      </c>
      <c r="FX9" s="24">
        <f t="shared" si="72"/>
        <v>20939113.16270899</v>
      </c>
      <c r="FY9" s="24">
        <f t="shared" si="72"/>
        <v>21027119.402861293</v>
      </c>
      <c r="FZ9" s="24">
        <f t="shared" si="72"/>
        <v>21115125.643013597</v>
      </c>
      <c r="GA9" s="24">
        <f t="shared" si="72"/>
        <v>0</v>
      </c>
      <c r="GB9" s="24">
        <f t="shared" si="72"/>
        <v>0</v>
      </c>
      <c r="GC9" s="24">
        <f t="shared" si="72"/>
        <v>0</v>
      </c>
      <c r="GD9" s="24">
        <f t="shared" si="72"/>
        <v>0</v>
      </c>
      <c r="GE9" s="24">
        <f t="shared" si="72"/>
        <v>0</v>
      </c>
      <c r="GF9" s="24">
        <f t="shared" si="72"/>
        <v>0</v>
      </c>
      <c r="GG9" s="24">
        <f t="shared" si="72"/>
        <v>0</v>
      </c>
      <c r="GH9" s="24">
        <f t="shared" si="72"/>
        <v>0</v>
      </c>
      <c r="GI9" s="24">
        <f t="shared" si="72"/>
        <v>0</v>
      </c>
      <c r="GJ9" s="24">
        <f t="shared" si="72"/>
        <v>0</v>
      </c>
      <c r="GK9" s="24">
        <f t="shared" si="72"/>
        <v>0</v>
      </c>
      <c r="GL9" s="24">
        <f t="shared" si="72"/>
        <v>0</v>
      </c>
      <c r="GM9" s="24">
        <f t="shared" si="72"/>
        <v>0</v>
      </c>
      <c r="GN9" s="24">
        <f t="shared" si="72"/>
        <v>0</v>
      </c>
      <c r="GO9" s="24">
        <f t="shared" si="72"/>
        <v>0</v>
      </c>
      <c r="GP9" s="24">
        <f t="shared" si="72"/>
        <v>0</v>
      </c>
      <c r="GQ9" s="24">
        <f t="shared" si="72"/>
        <v>0</v>
      </c>
      <c r="GR9" s="24">
        <f t="shared" si="72"/>
        <v>0</v>
      </c>
      <c r="GS9" s="24">
        <f t="shared" si="72"/>
        <v>0</v>
      </c>
      <c r="GT9" s="24">
        <f t="shared" si="72"/>
        <v>0</v>
      </c>
      <c r="GU9" s="24">
        <f t="shared" si="72"/>
        <v>0</v>
      </c>
      <c r="GV9" s="24">
        <f t="shared" si="72"/>
        <v>0</v>
      </c>
      <c r="GW9" s="24">
        <f t="shared" si="72"/>
        <v>0</v>
      </c>
      <c r="GX9" s="24">
        <f t="shared" si="72"/>
        <v>0</v>
      </c>
      <c r="GY9" s="24">
        <f t="shared" si="72"/>
        <v>0</v>
      </c>
      <c r="GZ9" s="24">
        <f t="shared" si="72"/>
        <v>0</v>
      </c>
      <c r="HA9" s="24">
        <f t="shared" si="72"/>
        <v>0</v>
      </c>
      <c r="HB9" s="24">
        <f t="shared" si="72"/>
        <v>0</v>
      </c>
      <c r="HC9" s="24">
        <f t="shared" si="72"/>
        <v>0</v>
      </c>
      <c r="HD9" s="24">
        <f t="shared" si="72"/>
        <v>0</v>
      </c>
      <c r="HE9" s="24">
        <f t="shared" si="72"/>
        <v>0</v>
      </c>
      <c r="HF9" s="24">
        <f t="shared" si="72"/>
        <v>0</v>
      </c>
      <c r="HG9" s="24">
        <f t="shared" si="72"/>
        <v>0</v>
      </c>
      <c r="HH9" s="24">
        <f t="shared" si="72"/>
        <v>0</v>
      </c>
      <c r="HI9" s="24">
        <f t="shared" si="72"/>
        <v>0</v>
      </c>
      <c r="HJ9" s="24">
        <f t="shared" si="72"/>
        <v>0</v>
      </c>
      <c r="HK9" s="24">
        <f t="shared" si="72"/>
        <v>0</v>
      </c>
      <c r="HL9" s="24">
        <f t="shared" si="72"/>
        <v>0</v>
      </c>
      <c r="HM9" s="24">
        <f t="shared" si="72"/>
        <v>0</v>
      </c>
      <c r="HN9" s="24">
        <f t="shared" si="72"/>
        <v>0</v>
      </c>
      <c r="HO9" s="24">
        <f t="shared" ref="HO9:IH9" si="73">HO6*(CST_INTEREST_STD/12)</f>
        <v>0</v>
      </c>
      <c r="HP9" s="24">
        <f t="shared" si="73"/>
        <v>0</v>
      </c>
      <c r="HQ9" s="24">
        <f t="shared" si="73"/>
        <v>0</v>
      </c>
      <c r="HR9" s="24">
        <f t="shared" si="73"/>
        <v>0</v>
      </c>
      <c r="HS9" s="24">
        <f t="shared" si="73"/>
        <v>0</v>
      </c>
      <c r="HT9" s="24">
        <f t="shared" si="73"/>
        <v>0</v>
      </c>
      <c r="HU9" s="24">
        <f t="shared" si="73"/>
        <v>0</v>
      </c>
      <c r="HV9" s="24">
        <f t="shared" si="73"/>
        <v>0</v>
      </c>
      <c r="HW9" s="24">
        <f t="shared" si="73"/>
        <v>0</v>
      </c>
      <c r="HX9" s="24">
        <f t="shared" si="73"/>
        <v>0</v>
      </c>
      <c r="HY9" s="24">
        <f t="shared" si="73"/>
        <v>0</v>
      </c>
      <c r="HZ9" s="24">
        <f t="shared" si="73"/>
        <v>0</v>
      </c>
      <c r="IA9" s="24">
        <f t="shared" si="73"/>
        <v>0</v>
      </c>
      <c r="IB9" s="24">
        <f t="shared" si="73"/>
        <v>0</v>
      </c>
      <c r="IC9" s="24">
        <f t="shared" si="73"/>
        <v>0</v>
      </c>
      <c r="ID9" s="24">
        <f t="shared" si="73"/>
        <v>0</v>
      </c>
      <c r="IE9" s="24">
        <f t="shared" si="73"/>
        <v>0</v>
      </c>
      <c r="IF9" s="24">
        <f t="shared" si="73"/>
        <v>0</v>
      </c>
      <c r="IG9" s="24">
        <f t="shared" si="73"/>
        <v>0</v>
      </c>
      <c r="IH9" s="24">
        <f t="shared" si="73"/>
        <v>0</v>
      </c>
    </row>
  </sheetData>
  <mergeCells count="27">
    <mergeCell ref="GA3:GL3"/>
    <mergeCell ref="GM3:GX3"/>
    <mergeCell ref="GY3:HJ3"/>
    <mergeCell ref="HK3:HV3"/>
    <mergeCell ref="HW3:IH3"/>
    <mergeCell ref="A6:B6"/>
    <mergeCell ref="A7:B7"/>
    <mergeCell ref="A8:B8"/>
    <mergeCell ref="A9:B9"/>
    <mergeCell ref="EE3:EP3"/>
    <mergeCell ref="AY3:BJ3"/>
    <mergeCell ref="EQ3:FB3"/>
    <mergeCell ref="FC3:FN3"/>
    <mergeCell ref="FO3:FZ3"/>
    <mergeCell ref="A4:B4"/>
    <mergeCell ref="A5:B5"/>
    <mergeCell ref="BK3:BV3"/>
    <mergeCell ref="BW3:CH3"/>
    <mergeCell ref="CI3:CT3"/>
    <mergeCell ref="CU3:DF3"/>
    <mergeCell ref="DG3:DR3"/>
    <mergeCell ref="DS3:ED3"/>
    <mergeCell ref="A3:B3"/>
    <mergeCell ref="C3:N3"/>
    <mergeCell ref="O3:Z3"/>
    <mergeCell ref="AA3:AL3"/>
    <mergeCell ref="AM3:AX3"/>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theme="6" tint="0.39997558519241921"/>
  </sheetPr>
  <dimension ref="A1:IH10"/>
  <sheetViews>
    <sheetView workbookViewId="0">
      <pane xSplit="2" ySplit="5" topLeftCell="C6" activePane="bottomRight" state="frozen"/>
      <selection pane="topRight" activeCell="C1" sqref="C1"/>
      <selection pane="bottomLeft" activeCell="A6" sqref="A6"/>
      <selection pane="bottomRight" activeCell="C6" sqref="C6"/>
    </sheetView>
  </sheetViews>
  <sheetFormatPr defaultRowHeight="14.25" x14ac:dyDescent="0.45"/>
  <cols>
    <col min="1" max="1" width="36.265625" customWidth="1"/>
    <col min="2" max="2" width="12.59765625" customWidth="1"/>
    <col min="3" max="242" width="12.86328125" customWidth="1"/>
  </cols>
  <sheetData>
    <row r="1" spans="1:242" ht="23.25" x14ac:dyDescent="0.7">
      <c r="A1" s="9" t="s">
        <v>247</v>
      </c>
      <c r="B1" s="9"/>
    </row>
    <row r="3" spans="1:242" x14ac:dyDescent="0.45">
      <c r="A3" s="888" t="s">
        <v>166</v>
      </c>
      <c r="B3" s="889"/>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row>
    <row r="4" spans="1:242" x14ac:dyDescent="0.45">
      <c r="A4" s="888" t="s">
        <v>167</v>
      </c>
      <c r="B4" s="889"/>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2" x14ac:dyDescent="0.45">
      <c r="A5" s="888" t="s">
        <v>253</v>
      </c>
      <c r="B5" s="889"/>
      <c r="C5" s="70">
        <v>1</v>
      </c>
      <c r="D5" s="71">
        <v>2</v>
      </c>
      <c r="E5" s="71">
        <v>3</v>
      </c>
      <c r="F5" s="70">
        <v>4</v>
      </c>
      <c r="G5" s="71">
        <v>5</v>
      </c>
      <c r="H5" s="71">
        <v>6</v>
      </c>
      <c r="I5" s="70">
        <v>7</v>
      </c>
      <c r="J5" s="71">
        <v>8</v>
      </c>
      <c r="K5" s="71">
        <v>9</v>
      </c>
      <c r="L5" s="70">
        <v>10</v>
      </c>
      <c r="M5" s="71">
        <v>11</v>
      </c>
      <c r="N5" s="71">
        <v>12</v>
      </c>
      <c r="O5" s="70">
        <v>13</v>
      </c>
      <c r="P5" s="71">
        <v>14</v>
      </c>
      <c r="Q5" s="71">
        <v>15</v>
      </c>
      <c r="R5" s="70">
        <v>16</v>
      </c>
      <c r="S5" s="71">
        <v>17</v>
      </c>
      <c r="T5" s="71">
        <v>18</v>
      </c>
      <c r="U5" s="70">
        <v>19</v>
      </c>
      <c r="V5" s="71">
        <v>20</v>
      </c>
      <c r="W5" s="71">
        <v>21</v>
      </c>
      <c r="X5" s="70">
        <v>22</v>
      </c>
      <c r="Y5" s="71">
        <v>23</v>
      </c>
      <c r="Z5" s="71">
        <v>24</v>
      </c>
      <c r="AA5" s="70">
        <v>25</v>
      </c>
      <c r="AB5" s="71">
        <v>26</v>
      </c>
      <c r="AC5" s="71">
        <v>27</v>
      </c>
      <c r="AD5" s="70">
        <v>28</v>
      </c>
      <c r="AE5" s="71">
        <v>29</v>
      </c>
      <c r="AF5" s="71">
        <v>30</v>
      </c>
      <c r="AG5" s="70">
        <v>31</v>
      </c>
      <c r="AH5" s="71">
        <v>32</v>
      </c>
      <c r="AI5" s="71">
        <v>33</v>
      </c>
      <c r="AJ5" s="70">
        <v>34</v>
      </c>
      <c r="AK5" s="71">
        <v>35</v>
      </c>
      <c r="AL5" s="71">
        <v>36</v>
      </c>
      <c r="AM5" s="70">
        <v>37</v>
      </c>
      <c r="AN5" s="71">
        <v>38</v>
      </c>
      <c r="AO5" s="71">
        <v>39</v>
      </c>
      <c r="AP5" s="70">
        <v>40</v>
      </c>
      <c r="AQ5" s="71">
        <v>41</v>
      </c>
      <c r="AR5" s="71">
        <v>42</v>
      </c>
      <c r="AS5" s="70">
        <v>43</v>
      </c>
      <c r="AT5" s="71">
        <v>44</v>
      </c>
      <c r="AU5" s="71">
        <v>45</v>
      </c>
      <c r="AV5" s="70">
        <v>46</v>
      </c>
      <c r="AW5" s="71">
        <v>47</v>
      </c>
      <c r="AX5" s="71">
        <v>48</v>
      </c>
      <c r="AY5" s="70">
        <v>49</v>
      </c>
      <c r="AZ5" s="71">
        <v>50</v>
      </c>
      <c r="BA5" s="71">
        <v>51</v>
      </c>
      <c r="BB5" s="70">
        <v>52</v>
      </c>
      <c r="BC5" s="71">
        <v>53</v>
      </c>
      <c r="BD5" s="71">
        <v>54</v>
      </c>
      <c r="BE5" s="70">
        <v>55</v>
      </c>
      <c r="BF5" s="71">
        <v>56</v>
      </c>
      <c r="BG5" s="71">
        <v>57</v>
      </c>
      <c r="BH5" s="70">
        <v>58</v>
      </c>
      <c r="BI5" s="71">
        <v>59</v>
      </c>
      <c r="BJ5" s="71">
        <v>60</v>
      </c>
      <c r="BK5" s="70">
        <v>61</v>
      </c>
      <c r="BL5" s="71">
        <v>62</v>
      </c>
      <c r="BM5" s="71">
        <v>63</v>
      </c>
      <c r="BN5" s="70">
        <v>64</v>
      </c>
      <c r="BO5" s="71">
        <v>65</v>
      </c>
      <c r="BP5" s="71">
        <v>66</v>
      </c>
      <c r="BQ5" s="70">
        <v>67</v>
      </c>
      <c r="BR5" s="71">
        <v>68</v>
      </c>
      <c r="BS5" s="71">
        <v>69</v>
      </c>
      <c r="BT5" s="70">
        <v>70</v>
      </c>
      <c r="BU5" s="71">
        <v>71</v>
      </c>
      <c r="BV5" s="71">
        <v>72</v>
      </c>
      <c r="BW5" s="70">
        <v>73</v>
      </c>
      <c r="BX5" s="71">
        <v>74</v>
      </c>
      <c r="BY5" s="71">
        <v>75</v>
      </c>
      <c r="BZ5" s="70">
        <v>76</v>
      </c>
      <c r="CA5" s="71">
        <v>77</v>
      </c>
      <c r="CB5" s="71">
        <v>78</v>
      </c>
      <c r="CC5" s="70">
        <v>79</v>
      </c>
      <c r="CD5" s="71">
        <v>80</v>
      </c>
      <c r="CE5" s="71">
        <v>81</v>
      </c>
      <c r="CF5" s="70">
        <v>82</v>
      </c>
      <c r="CG5" s="71">
        <v>83</v>
      </c>
      <c r="CH5" s="71">
        <v>84</v>
      </c>
      <c r="CI5" s="70">
        <v>85</v>
      </c>
      <c r="CJ5" s="71">
        <v>86</v>
      </c>
      <c r="CK5" s="71">
        <v>87</v>
      </c>
      <c r="CL5" s="70">
        <v>88</v>
      </c>
      <c r="CM5" s="71">
        <v>89</v>
      </c>
      <c r="CN5" s="71">
        <v>90</v>
      </c>
      <c r="CO5" s="70">
        <v>91</v>
      </c>
      <c r="CP5" s="71">
        <v>92</v>
      </c>
      <c r="CQ5" s="71">
        <v>93</v>
      </c>
      <c r="CR5" s="70">
        <v>94</v>
      </c>
      <c r="CS5" s="71">
        <v>95</v>
      </c>
      <c r="CT5" s="71">
        <v>96</v>
      </c>
      <c r="CU5" s="70">
        <v>97</v>
      </c>
      <c r="CV5" s="71">
        <v>98</v>
      </c>
      <c r="CW5" s="71">
        <v>99</v>
      </c>
      <c r="CX5" s="70">
        <v>100</v>
      </c>
      <c r="CY5" s="71">
        <v>101</v>
      </c>
      <c r="CZ5" s="71">
        <v>102</v>
      </c>
      <c r="DA5" s="70">
        <v>103</v>
      </c>
      <c r="DB5" s="71">
        <v>104</v>
      </c>
      <c r="DC5" s="71">
        <v>105</v>
      </c>
      <c r="DD5" s="70">
        <v>106</v>
      </c>
      <c r="DE5" s="71">
        <v>107</v>
      </c>
      <c r="DF5" s="71">
        <v>108</v>
      </c>
      <c r="DG5" s="70">
        <v>109</v>
      </c>
      <c r="DH5" s="71">
        <v>110</v>
      </c>
      <c r="DI5" s="71">
        <v>111</v>
      </c>
      <c r="DJ5" s="70">
        <v>112</v>
      </c>
      <c r="DK5" s="71">
        <v>113</v>
      </c>
      <c r="DL5" s="71">
        <v>114</v>
      </c>
      <c r="DM5" s="70">
        <v>115</v>
      </c>
      <c r="DN5" s="71">
        <v>116</v>
      </c>
      <c r="DO5" s="71">
        <v>117</v>
      </c>
      <c r="DP5" s="70">
        <v>118</v>
      </c>
      <c r="DQ5" s="71">
        <v>119</v>
      </c>
      <c r="DR5" s="71">
        <v>120</v>
      </c>
      <c r="DS5" s="70">
        <v>121</v>
      </c>
      <c r="DT5" s="71">
        <v>122</v>
      </c>
      <c r="DU5" s="71">
        <v>123</v>
      </c>
      <c r="DV5" s="70">
        <v>124</v>
      </c>
      <c r="DW5" s="71">
        <v>125</v>
      </c>
      <c r="DX5" s="71">
        <v>126</v>
      </c>
      <c r="DY5" s="70">
        <v>127</v>
      </c>
      <c r="DZ5" s="71">
        <v>128</v>
      </c>
      <c r="EA5" s="71">
        <v>129</v>
      </c>
      <c r="EB5" s="70">
        <v>130</v>
      </c>
      <c r="EC5" s="71">
        <v>131</v>
      </c>
      <c r="ED5" s="71">
        <v>132</v>
      </c>
      <c r="EE5" s="70">
        <v>133</v>
      </c>
      <c r="EF5" s="71">
        <v>134</v>
      </c>
      <c r="EG5" s="71">
        <v>135</v>
      </c>
      <c r="EH5" s="70">
        <v>136</v>
      </c>
      <c r="EI5" s="71">
        <v>137</v>
      </c>
      <c r="EJ5" s="71">
        <v>138</v>
      </c>
      <c r="EK5" s="70">
        <v>139</v>
      </c>
      <c r="EL5" s="71">
        <v>140</v>
      </c>
      <c r="EM5" s="71">
        <v>141</v>
      </c>
      <c r="EN5" s="70">
        <v>142</v>
      </c>
      <c r="EO5" s="71">
        <v>143</v>
      </c>
      <c r="EP5" s="71">
        <v>144</v>
      </c>
      <c r="EQ5" s="70">
        <v>145</v>
      </c>
      <c r="ER5" s="71">
        <v>146</v>
      </c>
      <c r="ES5" s="71">
        <v>147</v>
      </c>
      <c r="ET5" s="70">
        <v>148</v>
      </c>
      <c r="EU5" s="71">
        <v>149</v>
      </c>
      <c r="EV5" s="71">
        <v>150</v>
      </c>
      <c r="EW5" s="70">
        <v>151</v>
      </c>
      <c r="EX5" s="71">
        <v>152</v>
      </c>
      <c r="EY5" s="71">
        <v>153</v>
      </c>
      <c r="EZ5" s="70">
        <v>154</v>
      </c>
      <c r="FA5" s="71">
        <v>155</v>
      </c>
      <c r="FB5" s="71">
        <v>156</v>
      </c>
      <c r="FC5" s="70">
        <v>157</v>
      </c>
      <c r="FD5" s="71">
        <v>158</v>
      </c>
      <c r="FE5" s="71">
        <v>159</v>
      </c>
      <c r="FF5" s="70">
        <v>160</v>
      </c>
      <c r="FG5" s="71">
        <v>161</v>
      </c>
      <c r="FH5" s="71">
        <v>162</v>
      </c>
      <c r="FI5" s="70">
        <v>163</v>
      </c>
      <c r="FJ5" s="71">
        <v>164</v>
      </c>
      <c r="FK5" s="71">
        <v>165</v>
      </c>
      <c r="FL5" s="70">
        <v>166</v>
      </c>
      <c r="FM5" s="71">
        <v>167</v>
      </c>
      <c r="FN5" s="71">
        <v>168</v>
      </c>
      <c r="FO5" s="70">
        <v>169</v>
      </c>
      <c r="FP5" s="71">
        <v>170</v>
      </c>
      <c r="FQ5" s="71">
        <v>171</v>
      </c>
      <c r="FR5" s="70">
        <v>172</v>
      </c>
      <c r="FS5" s="71">
        <v>173</v>
      </c>
      <c r="FT5" s="71">
        <v>174</v>
      </c>
      <c r="FU5" s="70">
        <v>175</v>
      </c>
      <c r="FV5" s="71">
        <v>176</v>
      </c>
      <c r="FW5" s="71">
        <v>177</v>
      </c>
      <c r="FX5" s="70">
        <v>178</v>
      </c>
      <c r="FY5" s="71">
        <v>179</v>
      </c>
      <c r="FZ5" s="70">
        <v>180</v>
      </c>
      <c r="GA5" s="71">
        <v>181</v>
      </c>
      <c r="GB5" s="70">
        <v>182</v>
      </c>
      <c r="GC5" s="71">
        <v>183</v>
      </c>
      <c r="GD5" s="70">
        <v>184</v>
      </c>
      <c r="GE5" s="71">
        <v>185</v>
      </c>
      <c r="GF5" s="70">
        <v>186</v>
      </c>
      <c r="GG5" s="71">
        <v>187</v>
      </c>
      <c r="GH5" s="70">
        <v>188</v>
      </c>
      <c r="GI5" s="71">
        <v>189</v>
      </c>
      <c r="GJ5" s="70">
        <v>190</v>
      </c>
      <c r="GK5" s="71">
        <v>191</v>
      </c>
      <c r="GL5" s="70">
        <v>192</v>
      </c>
      <c r="GM5" s="71">
        <v>193</v>
      </c>
      <c r="GN5" s="70">
        <v>194</v>
      </c>
      <c r="GO5" s="71">
        <v>195</v>
      </c>
      <c r="GP5" s="70">
        <v>196</v>
      </c>
      <c r="GQ5" s="71">
        <v>197</v>
      </c>
      <c r="GR5" s="70">
        <v>198</v>
      </c>
      <c r="GS5" s="71">
        <v>199</v>
      </c>
      <c r="GT5" s="70">
        <v>200</v>
      </c>
      <c r="GU5" s="71">
        <v>201</v>
      </c>
      <c r="GV5" s="70">
        <v>202</v>
      </c>
      <c r="GW5" s="71">
        <v>203</v>
      </c>
      <c r="GX5" s="70">
        <v>204</v>
      </c>
      <c r="GY5" s="71">
        <v>205</v>
      </c>
      <c r="GZ5" s="70">
        <v>206</v>
      </c>
      <c r="HA5" s="71">
        <v>207</v>
      </c>
      <c r="HB5" s="70">
        <v>208</v>
      </c>
      <c r="HC5" s="71">
        <v>209</v>
      </c>
      <c r="HD5" s="70">
        <v>210</v>
      </c>
      <c r="HE5" s="71">
        <v>211</v>
      </c>
      <c r="HF5" s="70">
        <v>212</v>
      </c>
      <c r="HG5" s="71">
        <v>213</v>
      </c>
      <c r="HH5" s="70">
        <v>214</v>
      </c>
      <c r="HI5" s="71">
        <v>215</v>
      </c>
      <c r="HJ5" s="70">
        <v>216</v>
      </c>
      <c r="HK5" s="71">
        <v>217</v>
      </c>
      <c r="HL5" s="70">
        <v>218</v>
      </c>
      <c r="HM5" s="71">
        <v>219</v>
      </c>
      <c r="HN5" s="70">
        <v>220</v>
      </c>
      <c r="HO5" s="71">
        <v>221</v>
      </c>
      <c r="HP5" s="70">
        <v>222</v>
      </c>
      <c r="HQ5" s="71">
        <v>223</v>
      </c>
      <c r="HR5" s="70">
        <v>224</v>
      </c>
      <c r="HS5" s="71">
        <v>225</v>
      </c>
      <c r="HT5" s="70">
        <v>226</v>
      </c>
      <c r="HU5" s="71">
        <v>227</v>
      </c>
      <c r="HV5" s="70">
        <v>228</v>
      </c>
      <c r="HW5" s="71">
        <v>229</v>
      </c>
      <c r="HX5" s="70">
        <v>230</v>
      </c>
      <c r="HY5" s="71">
        <v>231</v>
      </c>
      <c r="HZ5" s="70">
        <v>232</v>
      </c>
      <c r="IA5" s="71">
        <v>233</v>
      </c>
      <c r="IB5" s="70">
        <v>234</v>
      </c>
      <c r="IC5" s="71">
        <v>235</v>
      </c>
      <c r="ID5" s="70">
        <v>236</v>
      </c>
      <c r="IE5" s="71">
        <v>237</v>
      </c>
      <c r="IF5" s="70">
        <v>238</v>
      </c>
      <c r="IG5" s="71">
        <v>239</v>
      </c>
      <c r="IH5" s="70">
        <v>240</v>
      </c>
    </row>
    <row r="6" spans="1:242" x14ac:dyDescent="0.45">
      <c r="A6" s="893" t="s">
        <v>250</v>
      </c>
      <c r="B6" s="894"/>
      <c r="C6" s="60">
        <f>IF(C5&gt;CST_LTD_PERIODS,0,-(PPMT(CST_LTD_INTEREST/12,C5,CST_LTD_PERIODS, 'CAPEX Schedule'!$IH$17)))</f>
        <v>4919844.8302372834</v>
      </c>
      <c r="D6" s="60">
        <f>IF(D5&gt;CST_LTD_PERIODS,0,-(PPMT(CST_LTD_INTEREST/12,D5,CST_LTD_PERIODS, 'CAPEX Schedule'!$IH$17)))</f>
        <v>4946493.989734401</v>
      </c>
      <c r="E6" s="60">
        <f>IF(E5&gt;CST_LTD_PERIODS,0,-(PPMT(CST_LTD_INTEREST/12,E5,CST_LTD_PERIODS, 'CAPEX Schedule'!$IH$17)))</f>
        <v>4973287.4988454627</v>
      </c>
      <c r="F6" s="60">
        <f>IF(F5&gt;CST_LTD_PERIODS,0,-(PPMT(CST_LTD_INTEREST/12,F5,CST_LTD_PERIODS, 'CAPEX Schedule'!$IH$17)))</f>
        <v>5000226.1394642098</v>
      </c>
      <c r="G6" s="60">
        <f>IF(G5&gt;CST_LTD_PERIODS,0,-(PPMT(CST_LTD_INTEREST/12,G5,CST_LTD_PERIODS, 'CAPEX Schedule'!$IH$17)))</f>
        <v>5027310.697719641</v>
      </c>
      <c r="H6" s="60">
        <f>IF(H5&gt;CST_LTD_PERIODS,0,-(PPMT(CST_LTD_INTEREST/12,H5,CST_LTD_PERIODS, 'CAPEX Schedule'!$IH$17)))</f>
        <v>5054541.9639989547</v>
      </c>
      <c r="I6" s="60">
        <f>IF(I5&gt;CST_LTD_PERIODS,0,-(PPMT(CST_LTD_INTEREST/12,I5,CST_LTD_PERIODS, 'CAPEX Schedule'!$IH$17)))</f>
        <v>5081920.7329706158</v>
      </c>
      <c r="J6" s="60">
        <f>IF(J5&gt;CST_LTD_PERIODS,0,-(PPMT(CST_LTD_INTEREST/12,J5,CST_LTD_PERIODS, 'CAPEX Schedule'!$IH$17)))</f>
        <v>5109447.8036075402</v>
      </c>
      <c r="K6" s="60">
        <f>IF(K5&gt;CST_LTD_PERIODS,0,-(PPMT(CST_LTD_INTEREST/12,K5,CST_LTD_PERIODS, 'CAPEX Schedule'!$IH$17)))</f>
        <v>5137123.979210414</v>
      </c>
      <c r="L6" s="60">
        <f>IF(L5&gt;CST_LTD_PERIODS,0,-(PPMT(CST_LTD_INTEREST/12,L5,CST_LTD_PERIODS, 'CAPEX Schedule'!$IH$17)))</f>
        <v>5164950.0674311379</v>
      </c>
      <c r="M6" s="60">
        <f>IF(M5&gt;CST_LTD_PERIODS,0,-(PPMT(CST_LTD_INTEREST/12,M5,CST_LTD_PERIODS, 'CAPEX Schedule'!$IH$17)))</f>
        <v>5192926.8802963905</v>
      </c>
      <c r="N6" s="60">
        <f>IF(N5&gt;CST_LTD_PERIODS,0,-(PPMT(CST_LTD_INTEREST/12,N5,CST_LTD_PERIODS, 'CAPEX Schedule'!$IH$17)))</f>
        <v>5221055.2342313286</v>
      </c>
      <c r="O6" s="60">
        <f>IF(O5&gt;CST_LTD_PERIODS,0,-(PPMT(CST_LTD_INTEREST/12,O5,CST_LTD_PERIODS, 'CAPEX Schedule'!$IH$17)))</f>
        <v>5249335.950083415</v>
      </c>
      <c r="P6" s="60">
        <f>IF(P5&gt;CST_LTD_PERIODS,0,-(PPMT(CST_LTD_INTEREST/12,P5,CST_LTD_PERIODS, 'CAPEX Schedule'!$IH$17)))</f>
        <v>5277769.8531463668</v>
      </c>
      <c r="Q6" s="60">
        <f>IF(Q5&gt;CST_LTD_PERIODS,0,-(PPMT(CST_LTD_INTEREST/12,Q5,CST_LTD_PERIODS, 'CAPEX Schedule'!$IH$17)))</f>
        <v>5306357.7731842427</v>
      </c>
      <c r="R6" s="60">
        <f>IF(R5&gt;CST_LTD_PERIODS,0,-(PPMT(CST_LTD_INTEREST/12,R5,CST_LTD_PERIODS, 'CAPEX Schedule'!$IH$17)))</f>
        <v>5335100.5444556568</v>
      </c>
      <c r="S6" s="60">
        <f>IF(S5&gt;CST_LTD_PERIODS,0,-(PPMT(CST_LTD_INTEREST/12,S5,CST_LTD_PERIODS, 'CAPEX Schedule'!$IH$17)))</f>
        <v>5363999.0057381261</v>
      </c>
      <c r="T6" s="60">
        <f>IF(T5&gt;CST_LTD_PERIODS,0,-(PPMT(CST_LTD_INTEREST/12,T5,CST_LTD_PERIODS, 'CAPEX Schedule'!$IH$17)))</f>
        <v>5393054.000352541</v>
      </c>
      <c r="U6" s="60">
        <f>IF(U5&gt;CST_LTD_PERIODS,0,-(PPMT(CST_LTD_INTEREST/12,U5,CST_LTD_PERIODS, 'CAPEX Schedule'!$IH$17)))</f>
        <v>5422266.3761877837</v>
      </c>
      <c r="V6" s="60">
        <f>IF(V5&gt;CST_LTD_PERIODS,0,-(PPMT(CST_LTD_INTEREST/12,V5,CST_LTD_PERIODS, 'CAPEX Schedule'!$IH$17)))</f>
        <v>5451636.9857254671</v>
      </c>
      <c r="W6" s="60">
        <f>IF(W5&gt;CST_LTD_PERIODS,0,-(PPMT(CST_LTD_INTEREST/12,W5,CST_LTD_PERIODS, 'CAPEX Schedule'!$IH$17)))</f>
        <v>5481166.6860648133</v>
      </c>
      <c r="X6" s="60">
        <f>IF(X5&gt;CST_LTD_PERIODS,0,-(PPMT(CST_LTD_INTEREST/12,X5,CST_LTD_PERIODS, 'CAPEX Schedule'!$IH$17)))</f>
        <v>5510856.3389476649</v>
      </c>
      <c r="Y6" s="60">
        <f>IF(Y5&gt;CST_LTD_PERIODS,0,-(PPMT(CST_LTD_INTEREST/12,Y5,CST_LTD_PERIODS, 'CAPEX Schedule'!$IH$17)))</f>
        <v>5540706.8107836321</v>
      </c>
      <c r="Z6" s="60">
        <f>IF(Z5&gt;CST_LTD_PERIODS,0,-(PPMT(CST_LTD_INTEREST/12,Z5,CST_LTD_PERIODS, 'CAPEX Schedule'!$IH$17)))</f>
        <v>5570718.9726753747</v>
      </c>
      <c r="AA6" s="60">
        <f>IF(AA5&gt;CST_LTD_PERIODS,0,-(PPMT(CST_LTD_INTEREST/12,AA5,CST_LTD_PERIODS, 'CAPEX Schedule'!$IH$17)))</f>
        <v>5600893.7004440343</v>
      </c>
      <c r="AB6" s="60">
        <f>IF(AB5&gt;CST_LTD_PERIODS,0,-(PPMT(CST_LTD_INTEREST/12,AB5,CST_LTD_PERIODS, 'CAPEX Schedule'!$IH$17)))</f>
        <v>5631231.8746547727</v>
      </c>
      <c r="AC6" s="60">
        <f>IF(AC5&gt;CST_LTD_PERIODS,0,-(PPMT(CST_LTD_INTEREST/12,AC5,CST_LTD_PERIODS, 'CAPEX Schedule'!$IH$17)))</f>
        <v>5661734.3806424858</v>
      </c>
      <c r="AD6" s="60">
        <f>IF(AD5&gt;CST_LTD_PERIODS,0,-(PPMT(CST_LTD_INTEREST/12,AD5,CST_LTD_PERIODS, 'CAPEX Schedule'!$IH$17)))</f>
        <v>5692402.108537633</v>
      </c>
      <c r="AE6" s="60">
        <f>IF(AE5&gt;CST_LTD_PERIODS,0,-(PPMT(CST_LTD_INTEREST/12,AE5,CST_LTD_PERIODS, 'CAPEX Schedule'!$IH$17)))</f>
        <v>5723235.9532922115</v>
      </c>
      <c r="AF6" s="60">
        <f>IF(AF5&gt;CST_LTD_PERIODS,0,-(PPMT(CST_LTD_INTEREST/12,AF5,CST_LTD_PERIODS, 'CAPEX Schedule'!$IH$17)))</f>
        <v>5754236.8147058776</v>
      </c>
      <c r="AG6" s="60">
        <f>IF(AG5&gt;CST_LTD_PERIODS,0,-(PPMT(CST_LTD_INTEREST/12,AG5,CST_LTD_PERIODS, 'CAPEX Schedule'!$IH$17)))</f>
        <v>5785405.5974522019</v>
      </c>
      <c r="AH6" s="60">
        <f>IF(AH5&gt;CST_LTD_PERIODS,0,-(PPMT(CST_LTD_INTEREST/12,AH5,CST_LTD_PERIODS, 'CAPEX Schedule'!$IH$17)))</f>
        <v>5816743.2111050673</v>
      </c>
      <c r="AI6" s="60">
        <f>IF(AI5&gt;CST_LTD_PERIODS,0,-(PPMT(CST_LTD_INTEREST/12,AI5,CST_LTD_PERIODS, 'CAPEX Schedule'!$IH$17)))</f>
        <v>5848250.5701652197</v>
      </c>
      <c r="AJ6" s="60">
        <f>IF(AJ5&gt;CST_LTD_PERIODS,0,-(PPMT(CST_LTD_INTEREST/12,AJ5,CST_LTD_PERIODS, 'CAPEX Schedule'!$IH$17)))</f>
        <v>5879928.5940869488</v>
      </c>
      <c r="AK6" s="60">
        <f>IF(AK5&gt;CST_LTD_PERIODS,0,-(PPMT(CST_LTD_INTEREST/12,AK5,CST_LTD_PERIODS, 'CAPEX Schedule'!$IH$17)))</f>
        <v>5911778.2073049191</v>
      </c>
      <c r="AL6" s="60">
        <f>IF(AL5&gt;CST_LTD_PERIODS,0,-(PPMT(CST_LTD_INTEREST/12,AL5,CST_LTD_PERIODS, 'CAPEX Schedule'!$IH$17)))</f>
        <v>5943800.3392611537</v>
      </c>
      <c r="AM6" s="60">
        <f>IF(AM5&gt;CST_LTD_PERIODS,0,-(PPMT(CST_LTD_INTEREST/12,AM5,CST_LTD_PERIODS, 'CAPEX Schedule'!$IH$17)))</f>
        <v>5975995.924432152</v>
      </c>
      <c r="AN6" s="60">
        <f>IF(AN5&gt;CST_LTD_PERIODS,0,-(PPMT(CST_LTD_INTEREST/12,AN5,CST_LTD_PERIODS, 'CAPEX Schedule'!$IH$17)))</f>
        <v>6008365.9023561599</v>
      </c>
      <c r="AO6" s="60">
        <f>IF(AO5&gt;CST_LTD_PERIODS,0,-(PPMT(CST_LTD_INTEREST/12,AO5,CST_LTD_PERIODS, 'CAPEX Schedule'!$IH$17)))</f>
        <v>6040911.2176605882</v>
      </c>
      <c r="AP6" s="60">
        <f>IF(AP5&gt;CST_LTD_PERIODS,0,-(PPMT(CST_LTD_INTEREST/12,AP5,CST_LTD_PERIODS, 'CAPEX Schedule'!$IH$17)))</f>
        <v>6073632.8200895833</v>
      </c>
      <c r="AQ6" s="60">
        <f>IF(AQ5&gt;CST_LTD_PERIODS,0,-(PPMT(CST_LTD_INTEREST/12,AQ5,CST_LTD_PERIODS, 'CAPEX Schedule'!$IH$17)))</f>
        <v>6106531.6645317357</v>
      </c>
      <c r="AR6" s="60">
        <f>IF(AR5&gt;CST_LTD_PERIODS,0,-(PPMT(CST_LTD_INTEREST/12,AR5,CST_LTD_PERIODS, 'CAPEX Schedule'!$IH$17)))</f>
        <v>6139608.7110479483</v>
      </c>
      <c r="AS6" s="60">
        <f>IF(AS5&gt;CST_LTD_PERIODS,0,-(PPMT(CST_LTD_INTEREST/12,AS5,CST_LTD_PERIODS, 'CAPEX Schedule'!$IH$17)))</f>
        <v>6172864.924899458</v>
      </c>
      <c r="AT6" s="60">
        <f>IF(AT5&gt;CST_LTD_PERIODS,0,-(PPMT(CST_LTD_INTEREST/12,AT5,CST_LTD_PERIODS, 'CAPEX Schedule'!$IH$17)))</f>
        <v>6206301.2765759975</v>
      </c>
      <c r="AU6" s="60">
        <f>IF(AU5&gt;CST_LTD_PERIODS,0,-(PPMT(CST_LTD_INTEREST/12,AU5,CST_LTD_PERIODS, 'CAPEX Schedule'!$IH$17)))</f>
        <v>6239918.7418241175</v>
      </c>
      <c r="AV6" s="60">
        <f>IF(AV5&gt;CST_LTD_PERIODS,0,-(PPMT(CST_LTD_INTEREST/12,AV5,CST_LTD_PERIODS, 'CAPEX Schedule'!$IH$17)))</f>
        <v>6273718.3016756643</v>
      </c>
      <c r="AW6" s="60">
        <f>IF(AW5&gt;CST_LTD_PERIODS,0,-(PPMT(CST_LTD_INTEREST/12,AW5,CST_LTD_PERIODS, 'CAPEX Schedule'!$IH$17)))</f>
        <v>6307700.9424764076</v>
      </c>
      <c r="AX6" s="60">
        <f>IF(AX5&gt;CST_LTD_PERIODS,0,-(PPMT(CST_LTD_INTEREST/12,AX5,CST_LTD_PERIODS, 'CAPEX Schedule'!$IH$17)))</f>
        <v>6341867.6559148207</v>
      </c>
      <c r="AY6" s="60">
        <f>IF(AY5&gt;CST_LTD_PERIODS,0,-(PPMT(CST_LTD_INTEREST/12,AY5,CST_LTD_PERIODS, 'CAPEX Schedule'!$IH$17)))</f>
        <v>6376219.4390510274</v>
      </c>
      <c r="AZ6" s="60">
        <f>IF(AZ5&gt;CST_LTD_PERIODS,0,-(PPMT(CST_LTD_INTEREST/12,AZ5,CST_LTD_PERIODS, 'CAPEX Schedule'!$IH$17)))</f>
        <v>6410757.2943458864</v>
      </c>
      <c r="BA6" s="60">
        <f>IF(BA5&gt;CST_LTD_PERIODS,0,-(PPMT(CST_LTD_INTEREST/12,BA5,CST_LTD_PERIODS, 'CAPEX Schedule'!$IH$17)))</f>
        <v>6445482.2296902612</v>
      </c>
      <c r="BB6" s="60">
        <f>IF(BB5&gt;CST_LTD_PERIODS,0,-(PPMT(CST_LTD_INTEREST/12,BB5,CST_LTD_PERIODS, 'CAPEX Schedule'!$IH$17)))</f>
        <v>6480395.2584344158</v>
      </c>
      <c r="BC6" s="60">
        <f>IF(BC5&gt;CST_LTD_PERIODS,0,-(PPMT(CST_LTD_INTEREST/12,BC5,CST_LTD_PERIODS, 'CAPEX Schedule'!$IH$17)))</f>
        <v>6515497.3994176025</v>
      </c>
      <c r="BD6" s="60">
        <f>IF(BD5&gt;CST_LTD_PERIODS,0,-(PPMT(CST_LTD_INTEREST/12,BD5,CST_LTD_PERIODS, 'CAPEX Schedule'!$IH$17)))</f>
        <v>6550789.6769977817</v>
      </c>
      <c r="BE6" s="60">
        <f>IF(BE5&gt;CST_LTD_PERIODS,0,-(PPMT(CST_LTD_INTEREST/12,BE5,CST_LTD_PERIODS, 'CAPEX Schedule'!$IH$17)))</f>
        <v>6586273.1210815189</v>
      </c>
      <c r="BF6" s="60">
        <f>IF(BF5&gt;CST_LTD_PERIODS,0,-(PPMT(CST_LTD_INTEREST/12,BF5,CST_LTD_PERIODS, 'CAPEX Schedule'!$IH$17)))</f>
        <v>6621948.7671540445</v>
      </c>
      <c r="BG6" s="60">
        <f>IF(BG5&gt;CST_LTD_PERIODS,0,-(PPMT(CST_LTD_INTEREST/12,BG5,CST_LTD_PERIODS, 'CAPEX Schedule'!$IH$17)))</f>
        <v>6657817.6563094612</v>
      </c>
      <c r="BH6" s="60">
        <f>IF(BH5&gt;CST_LTD_PERIODS,0,-(PPMT(CST_LTD_INTEREST/12,BH5,CST_LTD_PERIODS, 'CAPEX Schedule'!$IH$17)))</f>
        <v>6693880.8352811374</v>
      </c>
      <c r="BI6" s="60">
        <f>IF(BI5&gt;CST_LTD_PERIODS,0,-(PPMT(CST_LTD_INTEREST/12,BI5,CST_LTD_PERIODS, 'CAPEX Schedule'!$IH$17)))</f>
        <v>6730139.3564722445</v>
      </c>
      <c r="BJ6" s="60">
        <f>IF(BJ5&gt;CST_LTD_PERIODS,0,-(PPMT(CST_LTD_INTEREST/12,BJ5,CST_LTD_PERIODS, 'CAPEX Schedule'!$IH$17)))</f>
        <v>6766594.2779864697</v>
      </c>
      <c r="BK6" s="60">
        <f>IF(BK5&gt;CST_LTD_PERIODS,0,-(PPMT(CST_LTD_INTEREST/12,BK5,CST_LTD_PERIODS, 'CAPEX Schedule'!$IH$17)))</f>
        <v>6803246.6636588955</v>
      </c>
      <c r="BL6" s="60">
        <f>IF(BL5&gt;CST_LTD_PERIODS,0,-(PPMT(CST_LTD_INTEREST/12,BL5,CST_LTD_PERIODS, 'CAPEX Schedule'!$IH$17)))</f>
        <v>6840097.5830870485</v>
      </c>
      <c r="BM6" s="60">
        <f>IF(BM5&gt;CST_LTD_PERIODS,0,-(PPMT(CST_LTD_INTEREST/12,BM5,CST_LTD_PERIODS, 'CAPEX Schedule'!$IH$17)))</f>
        <v>6877148.1116621029</v>
      </c>
      <c r="BN6" s="60">
        <f>IF(BN5&gt;CST_LTD_PERIODS,0,-(PPMT(CST_LTD_INTEREST/12,BN5,CST_LTD_PERIODS, 'CAPEX Schedule'!$IH$17)))</f>
        <v>6914399.3306002729</v>
      </c>
      <c r="BO6" s="60">
        <f>IF(BO5&gt;CST_LTD_PERIODS,0,-(PPMT(CST_LTD_INTEREST/12,BO5,CST_LTD_PERIODS, 'CAPEX Schedule'!$IH$17)))</f>
        <v>6951852.3269743565</v>
      </c>
      <c r="BP6" s="60">
        <f>IF(BP5&gt;CST_LTD_PERIODS,0,-(PPMT(CST_LTD_INTEREST/12,BP5,CST_LTD_PERIODS, 'CAPEX Schedule'!$IH$17)))</f>
        <v>6989508.1937454678</v>
      </c>
      <c r="BQ6" s="60">
        <f>IF(BQ5&gt;CST_LTD_PERIODS,0,-(PPMT(CST_LTD_INTEREST/12,BQ5,CST_LTD_PERIODS, 'CAPEX Schedule'!$IH$17)))</f>
        <v>7027368.029794923</v>
      </c>
      <c r="BR6" s="60">
        <f>IF(BR5&gt;CST_LTD_PERIODS,0,-(PPMT(CST_LTD_INTEREST/12,BR5,CST_LTD_PERIODS, 'CAPEX Schedule'!$IH$17)))</f>
        <v>7065432.9399563121</v>
      </c>
      <c r="BS6" s="60">
        <f>IF(BS5&gt;CST_LTD_PERIODS,0,-(PPMT(CST_LTD_INTEREST/12,BS5,CST_LTD_PERIODS, 'CAPEX Schedule'!$IH$17)))</f>
        <v>7103704.0350477416</v>
      </c>
      <c r="BT6" s="60">
        <f>IF(BT5&gt;CST_LTD_PERIODS,0,-(PPMT(CST_LTD_INTEREST/12,BT5,CST_LTD_PERIODS, 'CAPEX Schedule'!$IH$17)))</f>
        <v>7142182.4319042508</v>
      </c>
      <c r="BU6" s="60">
        <f>IF(BU5&gt;CST_LTD_PERIODS,0,-(PPMT(CST_LTD_INTEREST/12,BU5,CST_LTD_PERIODS, 'CAPEX Schedule'!$IH$17)))</f>
        <v>7180869.253410399</v>
      </c>
      <c r="BV6" s="60">
        <f>IF(BV5&gt;CST_LTD_PERIODS,0,-(PPMT(CST_LTD_INTEREST/12,BV5,CST_LTD_PERIODS, 'CAPEX Schedule'!$IH$17)))</f>
        <v>7219765.6285330383</v>
      </c>
      <c r="BW6" s="60">
        <f>IF(BW5&gt;CST_LTD_PERIODS,0,-(PPMT(CST_LTD_INTEREST/12,BW5,CST_LTD_PERIODS, 'CAPEX Schedule'!$IH$17)))</f>
        <v>7258872.6923542591</v>
      </c>
      <c r="BX6" s="60">
        <f>IF(BX5&gt;CST_LTD_PERIODS,0,-(PPMT(CST_LTD_INTEREST/12,BX5,CST_LTD_PERIODS, 'CAPEX Schedule'!$IH$17)))</f>
        <v>7298191.5861045113</v>
      </c>
      <c r="BY6" s="60">
        <f>IF(BY5&gt;CST_LTD_PERIODS,0,-(PPMT(CST_LTD_INTEREST/12,BY5,CST_LTD_PERIODS, 'CAPEX Schedule'!$IH$17)))</f>
        <v>7337723.4571959097</v>
      </c>
      <c r="BZ6" s="60">
        <f>IF(BZ5&gt;CST_LTD_PERIODS,0,-(PPMT(CST_LTD_INTEREST/12,BZ5,CST_LTD_PERIODS, 'CAPEX Schedule'!$IH$17)))</f>
        <v>7377469.4592557233</v>
      </c>
      <c r="CA6" s="60">
        <f>IF(CA5&gt;CST_LTD_PERIODS,0,-(PPMT(CST_LTD_INTEREST/12,CA5,CST_LTD_PERIODS, 'CAPEX Schedule'!$IH$17)))</f>
        <v>7417430.752160023</v>
      </c>
      <c r="CB6" s="60">
        <f>IF(CB5&gt;CST_LTD_PERIODS,0,-(PPMT(CST_LTD_INTEREST/12,CB5,CST_LTD_PERIODS, 'CAPEX Schedule'!$IH$17)))</f>
        <v>7457608.5020675575</v>
      </c>
      <c r="CC6" s="60">
        <f>IF(CC5&gt;CST_LTD_PERIODS,0,-(PPMT(CST_LTD_INTEREST/12,CC5,CST_LTD_PERIODS, 'CAPEX Schedule'!$IH$17)))</f>
        <v>7498003.8814537562</v>
      </c>
      <c r="CD6" s="60">
        <f>IF(CD5&gt;CST_LTD_PERIODS,0,-(PPMT(CST_LTD_INTEREST/12,CD5,CST_LTD_PERIODS, 'CAPEX Schedule'!$IH$17)))</f>
        <v>7538618.0691449642</v>
      </c>
      <c r="CE6" s="60">
        <f>IF(CE5&gt;CST_LTD_PERIODS,0,-(PPMT(CST_LTD_INTEREST/12,CE5,CST_LTD_PERIODS, 'CAPEX Schedule'!$IH$17)))</f>
        <v>7579452.2503528325</v>
      </c>
      <c r="CF6" s="60">
        <f>IF(CF5&gt;CST_LTD_PERIODS,0,-(PPMT(CST_LTD_INTEREST/12,CF5,CST_LTD_PERIODS, 'CAPEX Schedule'!$IH$17)))</f>
        <v>7620507.616708911</v>
      </c>
      <c r="CG6" s="60">
        <f>IF(CG5&gt;CST_LTD_PERIODS,0,-(PPMT(CST_LTD_INTEREST/12,CG5,CST_LTD_PERIODS, 'CAPEX Schedule'!$IH$17)))</f>
        <v>7661785.3662994169</v>
      </c>
      <c r="CH6" s="60">
        <f>IF(CH5&gt;CST_LTD_PERIODS,0,-(PPMT(CST_LTD_INTEREST/12,CH5,CST_LTD_PERIODS, 'CAPEX Schedule'!$IH$17)))</f>
        <v>7703286.7037002062</v>
      </c>
      <c r="CI6" s="60">
        <f>IF(CI5&gt;CST_LTD_PERIODS,0,-(PPMT(CST_LTD_INTEREST/12,CI5,CST_LTD_PERIODS, 'CAPEX Schedule'!$IH$17)))</f>
        <v>7745012.8400119161</v>
      </c>
      <c r="CJ6" s="60">
        <f>IF(CJ5&gt;CST_LTD_PERIODS,0,-(PPMT(CST_LTD_INTEREST/12,CJ5,CST_LTD_PERIODS, 'CAPEX Schedule'!$IH$17)))</f>
        <v>7786964.9928953135</v>
      </c>
      <c r="CK6" s="60">
        <f>IF(CK5&gt;CST_LTD_PERIODS,0,-(PPMT(CST_LTD_INTEREST/12,CK5,CST_LTD_PERIODS, 'CAPEX Schedule'!$IH$17)))</f>
        <v>7829144.3866068292</v>
      </c>
      <c r="CL6" s="60">
        <f>IF(CL5&gt;CST_LTD_PERIODS,0,-(PPMT(CST_LTD_INTEREST/12,CL5,CST_LTD_PERIODS, 'CAPEX Schedule'!$IH$17)))</f>
        <v>7871552.2520342832</v>
      </c>
      <c r="CM6" s="60">
        <f>IF(CM5&gt;CST_LTD_PERIODS,0,-(PPMT(CST_LTD_INTEREST/12,CM5,CST_LTD_PERIODS, 'CAPEX Schedule'!$IH$17)))</f>
        <v>7914189.8267328031</v>
      </c>
      <c r="CN6" s="60">
        <f>IF(CN5&gt;CST_LTD_PERIODS,0,-(PPMT(CST_LTD_INTEREST/12,CN5,CST_LTD_PERIODS, 'CAPEX Schedule'!$IH$17)))</f>
        <v>7957058.354960938</v>
      </c>
      <c r="CO6" s="60">
        <f>IF(CO5&gt;CST_LTD_PERIODS,0,-(PPMT(CST_LTD_INTEREST/12,CO5,CST_LTD_PERIODS, 'CAPEX Schedule'!$IH$17)))</f>
        <v>8000159.0877169762</v>
      </c>
      <c r="CP6" s="60">
        <f>IF(CP5&gt;CST_LTD_PERIODS,0,-(PPMT(CST_LTD_INTEREST/12,CP5,CST_LTD_PERIODS, 'CAPEX Schedule'!$IH$17)))</f>
        <v>8043493.282775444</v>
      </c>
      <c r="CQ6" s="60">
        <f>IF(CQ5&gt;CST_LTD_PERIODS,0,-(PPMT(CST_LTD_INTEREST/12,CQ5,CST_LTD_PERIODS, 'CAPEX Schedule'!$IH$17)))</f>
        <v>8087062.2047238108</v>
      </c>
      <c r="CR6" s="60">
        <f>IF(CR5&gt;CST_LTD_PERIODS,0,-(PPMT(CST_LTD_INTEREST/12,CR5,CST_LTD_PERIODS, 'CAPEX Schedule'!$IH$17)))</f>
        <v>8130867.1249993984</v>
      </c>
      <c r="CS6" s="60">
        <f>IF(CS5&gt;CST_LTD_PERIODS,0,-(PPMT(CST_LTD_INTEREST/12,CS5,CST_LTD_PERIODS, 'CAPEX Schedule'!$IH$17)))</f>
        <v>8174909.3219264783</v>
      </c>
      <c r="CT6" s="60">
        <f>IF(CT5&gt;CST_LTD_PERIODS,0,-(PPMT(CST_LTD_INTEREST/12,CT5,CST_LTD_PERIODS, 'CAPEX Schedule'!$IH$17)))</f>
        <v>8219190.0807535797</v>
      </c>
      <c r="CU6" s="60">
        <f>IF(CU5&gt;CST_LTD_PERIODS,0,-(PPMT(CST_LTD_INTEREST/12,CU5,CST_LTD_PERIODS, 'CAPEX Schedule'!$IH$17)))</f>
        <v>8263710.6936909948</v>
      </c>
      <c r="CV6" s="60">
        <f>IF(CV5&gt;CST_LTD_PERIODS,0,-(PPMT(CST_LTD_INTEREST/12,CV5,CST_LTD_PERIODS, 'CAPEX Schedule'!$IH$17)))</f>
        <v>8308472.4599484876</v>
      </c>
      <c r="CW6" s="60">
        <f>IF(CW5&gt;CST_LTD_PERIODS,0,-(PPMT(CST_LTD_INTEREST/12,CW5,CST_LTD_PERIODS, 'CAPEX Schedule'!$IH$17)))</f>
        <v>8353476.6857732097</v>
      </c>
      <c r="CX6" s="60">
        <f>IF(CX5&gt;CST_LTD_PERIODS,0,-(PPMT(CST_LTD_INTEREST/12,CX5,CST_LTD_PERIODS, 'CAPEX Schedule'!$IH$17)))</f>
        <v>8398724.6844878141</v>
      </c>
      <c r="CY6" s="60">
        <f>IF(CY5&gt;CST_LTD_PERIODS,0,-(PPMT(CST_LTD_INTEREST/12,CY5,CST_LTD_PERIODS, 'CAPEX Schedule'!$IH$17)))</f>
        <v>8444217.7765287887</v>
      </c>
      <c r="CZ6" s="60">
        <f>IF(CZ5&gt;CST_LTD_PERIODS,0,-(PPMT(CST_LTD_INTEREST/12,CZ5,CST_LTD_PERIODS, 'CAPEX Schedule'!$IH$17)))</f>
        <v>8489957.289484987</v>
      </c>
      <c r="DA6" s="60">
        <f>IF(DA5&gt;CST_LTD_PERIODS,0,-(PPMT(CST_LTD_INTEREST/12,DA5,CST_LTD_PERIODS, 'CAPEX Schedule'!$IH$17)))</f>
        <v>8535944.5581363644</v>
      </c>
      <c r="DB6" s="60">
        <f>IF(DB5&gt;CST_LTD_PERIODS,0,-(PPMT(CST_LTD_INTEREST/12,DB5,CST_LTD_PERIODS, 'CAPEX Schedule'!$IH$17)))</f>
        <v>8582180.9244929366</v>
      </c>
      <c r="DC6" s="60">
        <f>IF(DC5&gt;CST_LTD_PERIODS,0,-(PPMT(CST_LTD_INTEREST/12,DC5,CST_LTD_PERIODS, 'CAPEX Schedule'!$IH$17)))</f>
        <v>8628667.7378339395</v>
      </c>
      <c r="DD6" s="60">
        <f>IF(DD5&gt;CST_LTD_PERIODS,0,-(PPMT(CST_LTD_INTEREST/12,DD5,CST_LTD_PERIODS, 'CAPEX Schedule'!$IH$17)))</f>
        <v>8675406.3547472078</v>
      </c>
      <c r="DE6" s="60">
        <f>IF(DE5&gt;CST_LTD_PERIODS,0,-(PPMT(CST_LTD_INTEREST/12,DE5,CST_LTD_PERIODS, 'CAPEX Schedule'!$IH$17)))</f>
        <v>8722398.1391687542</v>
      </c>
      <c r="DF6" s="60">
        <f>IF(DF5&gt;CST_LTD_PERIODS,0,-(PPMT(CST_LTD_INTEREST/12,DF5,CST_LTD_PERIODS, 'CAPEX Schedule'!$IH$17)))</f>
        <v>8769644.4624225851</v>
      </c>
      <c r="DG6" s="60">
        <f>IF(DG5&gt;CST_LTD_PERIODS,0,-(PPMT(CST_LTD_INTEREST/12,DG5,CST_LTD_PERIODS, 'CAPEX Schedule'!$IH$17)))</f>
        <v>8817146.7032607067</v>
      </c>
      <c r="DH6" s="60">
        <f>IF(DH5&gt;CST_LTD_PERIODS,0,-(PPMT(CST_LTD_INTEREST/12,DH5,CST_LTD_PERIODS, 'CAPEX Schedule'!$IH$17)))</f>
        <v>8864906.2479033694</v>
      </c>
      <c r="DI6" s="60">
        <f>IF(DI5&gt;CST_LTD_PERIODS,0,-(PPMT(CST_LTD_INTEREST/12,DI5,CST_LTD_PERIODS, 'CAPEX Schedule'!$IH$17)))</f>
        <v>8912924.4900795128</v>
      </c>
      <c r="DJ6" s="60">
        <f>IF(DJ5&gt;CST_LTD_PERIODS,0,-(PPMT(CST_LTD_INTEREST/12,DJ5,CST_LTD_PERIODS, 'CAPEX Schedule'!$IH$17)))</f>
        <v>8961202.8310674429</v>
      </c>
      <c r="DK6" s="60">
        <f>IF(DK5&gt;CST_LTD_PERIODS,0,-(PPMT(CST_LTD_INTEREST/12,DK5,CST_LTD_PERIODS, 'CAPEX Schedule'!$IH$17)))</f>
        <v>9009742.6797357257</v>
      </c>
      <c r="DL6" s="60">
        <f>IF(DL5&gt;CST_LTD_PERIODS,0,-(PPMT(CST_LTD_INTEREST/12,DL5,CST_LTD_PERIODS, 'CAPEX Schedule'!$IH$17)))</f>
        <v>9058545.4525842946</v>
      </c>
      <c r="DM6" s="60">
        <f>IF(DM5&gt;CST_LTD_PERIODS,0,-(PPMT(CST_LTD_INTEREST/12,DM5,CST_LTD_PERIODS, 'CAPEX Schedule'!$IH$17)))</f>
        <v>9107612.573785793</v>
      </c>
      <c r="DN6" s="60">
        <f>IF(DN5&gt;CST_LTD_PERIODS,0,-(PPMT(CST_LTD_INTEREST/12,DN5,CST_LTD_PERIODS, 'CAPEX Schedule'!$IH$17)))</f>
        <v>9156945.4752271324</v>
      </c>
      <c r="DO6" s="60">
        <f>IF(DO5&gt;CST_LTD_PERIODS,0,-(PPMT(CST_LTD_INTEREST/12,DO5,CST_LTD_PERIODS, 'CAPEX Schedule'!$IH$17)))</f>
        <v>9206545.5965512805</v>
      </c>
      <c r="DP6" s="60">
        <f>IF(DP5&gt;CST_LTD_PERIODS,0,-(PPMT(CST_LTD_INTEREST/12,DP5,CST_LTD_PERIODS, 'CAPEX Schedule'!$IH$17)))</f>
        <v>9256414.3851992637</v>
      </c>
      <c r="DQ6" s="60">
        <f>IF(DQ5&gt;CST_LTD_PERIODS,0,-(PPMT(CST_LTD_INTEREST/12,DQ5,CST_LTD_PERIODS, 'CAPEX Schedule'!$IH$17)))</f>
        <v>9306553.2964524291</v>
      </c>
      <c r="DR6" s="60">
        <f>IF(DR5&gt;CST_LTD_PERIODS,0,-(PPMT(CST_LTD_INTEREST/12,DR5,CST_LTD_PERIODS, 'CAPEX Schedule'!$IH$17)))</f>
        <v>9356963.7934748791</v>
      </c>
      <c r="DS6" s="60">
        <f>IF(DS5&gt;CST_LTD_PERIODS,0,-(PPMT(CST_LTD_INTEREST/12,DS5,CST_LTD_PERIODS, 'CAPEX Schedule'!$IH$17)))</f>
        <v>0</v>
      </c>
      <c r="DT6" s="60">
        <f>IF(DT5&gt;CST_LTD_PERIODS,0,-(PPMT(CST_LTD_INTEREST/12,DT5,CST_LTD_PERIODS, 'CAPEX Schedule'!$IH$17)))</f>
        <v>0</v>
      </c>
      <c r="DU6" s="60">
        <f>IF(DU5&gt;CST_LTD_PERIODS,0,-(PPMT(CST_LTD_INTEREST/12,DU5,CST_LTD_PERIODS, 'CAPEX Schedule'!$IH$17)))</f>
        <v>0</v>
      </c>
      <c r="DV6" s="60">
        <f>IF(DV5&gt;CST_LTD_PERIODS,0,-(PPMT(CST_LTD_INTEREST/12,DV5,CST_LTD_PERIODS, 'CAPEX Schedule'!$IH$17)))</f>
        <v>0</v>
      </c>
      <c r="DW6" s="60">
        <f>IF(DW5&gt;CST_LTD_PERIODS,0,-(PPMT(CST_LTD_INTEREST/12,DW5,CST_LTD_PERIODS, 'CAPEX Schedule'!$IH$17)))</f>
        <v>0</v>
      </c>
      <c r="DX6" s="60">
        <f>IF(DX5&gt;CST_LTD_PERIODS,0,-(PPMT(CST_LTD_INTEREST/12,DX5,CST_LTD_PERIODS, 'CAPEX Schedule'!$IH$17)))</f>
        <v>0</v>
      </c>
      <c r="DY6" s="60">
        <f>IF(DY5&gt;CST_LTD_PERIODS,0,-(PPMT(CST_LTD_INTEREST/12,DY5,CST_LTD_PERIODS, 'CAPEX Schedule'!$IH$17)))</f>
        <v>0</v>
      </c>
      <c r="DZ6" s="60">
        <f>IF(DZ5&gt;CST_LTD_PERIODS,0,-(PPMT(CST_LTD_INTEREST/12,DZ5,CST_LTD_PERIODS, 'CAPEX Schedule'!$IH$17)))</f>
        <v>0</v>
      </c>
      <c r="EA6" s="60">
        <f>IF(EA5&gt;CST_LTD_PERIODS,0,-(PPMT(CST_LTD_INTEREST/12,EA5,CST_LTD_PERIODS, 'CAPEX Schedule'!$IH$17)))</f>
        <v>0</v>
      </c>
      <c r="EB6" s="60">
        <f>IF(EB5&gt;CST_LTD_PERIODS,0,-(PPMT(CST_LTD_INTEREST/12,EB5,CST_LTD_PERIODS, 'CAPEX Schedule'!$IH$17)))</f>
        <v>0</v>
      </c>
      <c r="EC6" s="60">
        <f>IF(EC5&gt;CST_LTD_PERIODS,0,-(PPMT(CST_LTD_INTEREST/12,EC5,CST_LTD_PERIODS, 'CAPEX Schedule'!$IH$17)))</f>
        <v>0</v>
      </c>
      <c r="ED6" s="60">
        <f>IF(ED5&gt;CST_LTD_PERIODS,0,-(PPMT(CST_LTD_INTEREST/12,ED5,CST_LTD_PERIODS, 'CAPEX Schedule'!$IH$17)))</f>
        <v>0</v>
      </c>
      <c r="EE6" s="60">
        <f>IF(EE5&gt;CST_LTD_PERIODS,0,-(PPMT(CST_LTD_INTEREST/12,EE5,CST_LTD_PERIODS, 'CAPEX Schedule'!$IH$17)))</f>
        <v>0</v>
      </c>
      <c r="EF6" s="60">
        <f>IF(EF5&gt;CST_LTD_PERIODS,0,-(PPMT(CST_LTD_INTEREST/12,EF5,CST_LTD_PERIODS, 'CAPEX Schedule'!$IH$17)))</f>
        <v>0</v>
      </c>
      <c r="EG6" s="60">
        <f>IF(EG5&gt;CST_LTD_PERIODS,0,-(PPMT(CST_LTD_INTEREST/12,EG5,CST_LTD_PERIODS, 'CAPEX Schedule'!$IH$17)))</f>
        <v>0</v>
      </c>
      <c r="EH6" s="60">
        <f>IF(EH5&gt;CST_LTD_PERIODS,0,-(PPMT(CST_LTD_INTEREST/12,EH5,CST_LTD_PERIODS, 'CAPEX Schedule'!$IH$17)))</f>
        <v>0</v>
      </c>
      <c r="EI6" s="60">
        <f>IF(EI5&gt;CST_LTD_PERIODS,0,-(PPMT(CST_LTD_INTEREST/12,EI5,CST_LTD_PERIODS, 'CAPEX Schedule'!$IH$17)))</f>
        <v>0</v>
      </c>
      <c r="EJ6" s="60">
        <f>IF(EJ5&gt;CST_LTD_PERIODS,0,-(PPMT(CST_LTD_INTEREST/12,EJ5,CST_LTD_PERIODS, 'CAPEX Schedule'!$IH$17)))</f>
        <v>0</v>
      </c>
      <c r="EK6" s="60">
        <f>IF(EK5&gt;CST_LTD_PERIODS,0,-(PPMT(CST_LTD_INTEREST/12,EK5,CST_LTD_PERIODS, 'CAPEX Schedule'!$IH$17)))</f>
        <v>0</v>
      </c>
      <c r="EL6" s="60">
        <f>IF(EL5&gt;CST_LTD_PERIODS,0,-(PPMT(CST_LTD_INTEREST/12,EL5,CST_LTD_PERIODS, 'CAPEX Schedule'!$IH$17)))</f>
        <v>0</v>
      </c>
      <c r="EM6" s="60">
        <f>IF(EM5&gt;CST_LTD_PERIODS,0,-(PPMT(CST_LTD_INTEREST/12,EM5,CST_LTD_PERIODS, 'CAPEX Schedule'!$IH$17)))</f>
        <v>0</v>
      </c>
      <c r="EN6" s="60">
        <f>IF(EN5&gt;CST_LTD_PERIODS,0,-(PPMT(CST_LTD_INTEREST/12,EN5,CST_LTD_PERIODS, 'CAPEX Schedule'!$IH$17)))</f>
        <v>0</v>
      </c>
      <c r="EO6" s="60">
        <f>IF(EO5&gt;CST_LTD_PERIODS,0,-(PPMT(CST_LTD_INTEREST/12,EO5,CST_LTD_PERIODS, 'CAPEX Schedule'!$IH$17)))</f>
        <v>0</v>
      </c>
      <c r="EP6" s="60">
        <f>IF(EP5&gt;CST_LTD_PERIODS,0,-(PPMT(CST_LTD_INTEREST/12,EP5,CST_LTD_PERIODS, 'CAPEX Schedule'!$IH$17)))</f>
        <v>0</v>
      </c>
      <c r="EQ6" s="60">
        <f>IF(EQ5&gt;CST_LTD_PERIODS,0,-(PPMT(CST_LTD_INTEREST/12,EQ5,CST_LTD_PERIODS, 'CAPEX Schedule'!$IH$17)))</f>
        <v>0</v>
      </c>
      <c r="ER6" s="60">
        <f>IF(ER5&gt;CST_LTD_PERIODS,0,-(PPMT(CST_LTD_INTEREST/12,ER5,CST_LTD_PERIODS, 'CAPEX Schedule'!$IH$17)))</f>
        <v>0</v>
      </c>
      <c r="ES6" s="60">
        <f>IF(ES5&gt;CST_LTD_PERIODS,0,-(PPMT(CST_LTD_INTEREST/12,ES5,CST_LTD_PERIODS, 'CAPEX Schedule'!$IH$17)))</f>
        <v>0</v>
      </c>
      <c r="ET6" s="60">
        <f>IF(ET5&gt;CST_LTD_PERIODS,0,-(PPMT(CST_LTD_INTEREST/12,ET5,CST_LTD_PERIODS, 'CAPEX Schedule'!$IH$17)))</f>
        <v>0</v>
      </c>
      <c r="EU6" s="60">
        <f>IF(EU5&gt;CST_LTD_PERIODS,0,-(PPMT(CST_LTD_INTEREST/12,EU5,CST_LTD_PERIODS, 'CAPEX Schedule'!$IH$17)))</f>
        <v>0</v>
      </c>
      <c r="EV6" s="60">
        <f>IF(EV5&gt;CST_LTD_PERIODS,0,-(PPMT(CST_LTD_INTEREST/12,EV5,CST_LTD_PERIODS, 'CAPEX Schedule'!$IH$17)))</f>
        <v>0</v>
      </c>
      <c r="EW6" s="60">
        <f>IF(EW5&gt;CST_LTD_PERIODS,0,-(PPMT(CST_LTD_INTEREST/12,EW5,CST_LTD_PERIODS, 'CAPEX Schedule'!$IH$17)))</f>
        <v>0</v>
      </c>
      <c r="EX6" s="60">
        <f>IF(EX5&gt;CST_LTD_PERIODS,0,-(PPMT(CST_LTD_INTEREST/12,EX5,CST_LTD_PERIODS, 'CAPEX Schedule'!$IH$17)))</f>
        <v>0</v>
      </c>
      <c r="EY6" s="60">
        <f>IF(EY5&gt;CST_LTD_PERIODS,0,-(PPMT(CST_LTD_INTEREST/12,EY5,CST_LTD_PERIODS, 'CAPEX Schedule'!$IH$17)))</f>
        <v>0</v>
      </c>
      <c r="EZ6" s="60">
        <f>IF(EZ5&gt;CST_LTD_PERIODS,0,-(PPMT(CST_LTD_INTEREST/12,EZ5,CST_LTD_PERIODS, 'CAPEX Schedule'!$IH$17)))</f>
        <v>0</v>
      </c>
      <c r="FA6" s="60">
        <f>IF(FA5&gt;CST_LTD_PERIODS,0,-(PPMT(CST_LTD_INTEREST/12,FA5,CST_LTD_PERIODS, 'CAPEX Schedule'!$IH$17)))</f>
        <v>0</v>
      </c>
      <c r="FB6" s="60">
        <f>IF(FB5&gt;CST_LTD_PERIODS,0,-(PPMT(CST_LTD_INTEREST/12,FB5,CST_LTD_PERIODS, 'CAPEX Schedule'!$IH$17)))</f>
        <v>0</v>
      </c>
      <c r="FC6" s="60">
        <f>IF(FC5&gt;CST_LTD_PERIODS,0,-(PPMT(CST_LTD_INTEREST/12,FC5,CST_LTD_PERIODS, 'CAPEX Schedule'!$IH$17)))</f>
        <v>0</v>
      </c>
      <c r="FD6" s="60">
        <f>IF(FD5&gt;CST_LTD_PERIODS,0,-(PPMT(CST_LTD_INTEREST/12,FD5,CST_LTD_PERIODS, 'CAPEX Schedule'!$IH$17)))</f>
        <v>0</v>
      </c>
      <c r="FE6" s="60">
        <f>IF(FE5&gt;CST_LTD_PERIODS,0,-(PPMT(CST_LTD_INTEREST/12,FE5,CST_LTD_PERIODS, 'CAPEX Schedule'!$IH$17)))</f>
        <v>0</v>
      </c>
      <c r="FF6" s="60">
        <f>IF(FF5&gt;CST_LTD_PERIODS,0,-(PPMT(CST_LTD_INTEREST/12,FF5,CST_LTD_PERIODS, 'CAPEX Schedule'!$IH$17)))</f>
        <v>0</v>
      </c>
      <c r="FG6" s="60">
        <f>IF(FG5&gt;CST_LTD_PERIODS,0,-(PPMT(CST_LTD_INTEREST/12,FG5,CST_LTD_PERIODS, 'CAPEX Schedule'!$IH$17)))</f>
        <v>0</v>
      </c>
      <c r="FH6" s="60">
        <f>IF(FH5&gt;CST_LTD_PERIODS,0,-(PPMT(CST_LTD_INTEREST/12,FH5,CST_LTD_PERIODS, 'CAPEX Schedule'!$IH$17)))</f>
        <v>0</v>
      </c>
      <c r="FI6" s="60">
        <f>IF(FI5&gt;CST_LTD_PERIODS,0,-(PPMT(CST_LTD_INTEREST/12,FI5,CST_LTD_PERIODS, 'CAPEX Schedule'!$IH$17)))</f>
        <v>0</v>
      </c>
      <c r="FJ6" s="60">
        <f>IF(FJ5&gt;CST_LTD_PERIODS,0,-(PPMT(CST_LTD_INTEREST/12,FJ5,CST_LTD_PERIODS, 'CAPEX Schedule'!$IH$17)))</f>
        <v>0</v>
      </c>
      <c r="FK6" s="60">
        <f>IF(FK5&gt;CST_LTD_PERIODS,0,-(PPMT(CST_LTD_INTEREST/12,FK5,CST_LTD_PERIODS, 'CAPEX Schedule'!$IH$17)))</f>
        <v>0</v>
      </c>
      <c r="FL6" s="60">
        <f>IF(FL5&gt;CST_LTD_PERIODS,0,-(PPMT(CST_LTD_INTEREST/12,FL5,CST_LTD_PERIODS, 'CAPEX Schedule'!$IH$17)))</f>
        <v>0</v>
      </c>
      <c r="FM6" s="60">
        <f>IF(FM5&gt;CST_LTD_PERIODS,0,-(PPMT(CST_LTD_INTEREST/12,FM5,CST_LTD_PERIODS, 'CAPEX Schedule'!$IH$17)))</f>
        <v>0</v>
      </c>
      <c r="FN6" s="60">
        <f>IF(FN5&gt;CST_LTD_PERIODS,0,-(PPMT(CST_LTD_INTEREST/12,FN5,CST_LTD_PERIODS, 'CAPEX Schedule'!$IH$17)))</f>
        <v>0</v>
      </c>
      <c r="FO6" s="60">
        <f>IF(FO5&gt;CST_LTD_PERIODS,0,-(PPMT(CST_LTD_INTEREST/12,FO5,CST_LTD_PERIODS, 'CAPEX Schedule'!$IH$17)))</f>
        <v>0</v>
      </c>
      <c r="FP6" s="60">
        <f>IF(FP5&gt;CST_LTD_PERIODS,0,-(PPMT(CST_LTD_INTEREST/12,FP5,CST_LTD_PERIODS, 'CAPEX Schedule'!$IH$17)))</f>
        <v>0</v>
      </c>
      <c r="FQ6" s="60">
        <f>IF(FQ5&gt;CST_LTD_PERIODS,0,-(PPMT(CST_LTD_INTEREST/12,FQ5,CST_LTD_PERIODS, 'CAPEX Schedule'!$IH$17)))</f>
        <v>0</v>
      </c>
      <c r="FR6" s="60">
        <f>IF(FR5&gt;CST_LTD_PERIODS,0,-(PPMT(CST_LTD_INTEREST/12,FR5,CST_LTD_PERIODS, 'CAPEX Schedule'!$IH$17)))</f>
        <v>0</v>
      </c>
      <c r="FS6" s="60">
        <f>IF(FS5&gt;CST_LTD_PERIODS,0,-(PPMT(CST_LTD_INTEREST/12,FS5,CST_LTD_PERIODS, 'CAPEX Schedule'!$IH$17)))</f>
        <v>0</v>
      </c>
      <c r="FT6" s="60">
        <f>IF(FT5&gt;CST_LTD_PERIODS,0,-(PPMT(CST_LTD_INTEREST/12,FT5,CST_LTD_PERIODS, 'CAPEX Schedule'!$IH$17)))</f>
        <v>0</v>
      </c>
      <c r="FU6" s="60">
        <f>IF(FU5&gt;CST_LTD_PERIODS,0,-(PPMT(CST_LTD_INTEREST/12,FU5,CST_LTD_PERIODS, 'CAPEX Schedule'!$IH$17)))</f>
        <v>0</v>
      </c>
      <c r="FV6" s="60">
        <f>IF(FV5&gt;CST_LTD_PERIODS,0,-(PPMT(CST_LTD_INTEREST/12,FV5,CST_LTD_PERIODS, 'CAPEX Schedule'!$IH$17)))</f>
        <v>0</v>
      </c>
      <c r="FW6" s="60">
        <f>IF(FW5&gt;CST_LTD_PERIODS,0,-(PPMT(CST_LTD_INTEREST/12,FW5,CST_LTD_PERIODS, 'CAPEX Schedule'!$IH$17)))</f>
        <v>0</v>
      </c>
      <c r="FX6" s="60">
        <f>IF(FX5&gt;CST_LTD_PERIODS,0,-(PPMT(CST_LTD_INTEREST/12,FX5,CST_LTD_PERIODS, 'CAPEX Schedule'!$IH$17)))</f>
        <v>0</v>
      </c>
      <c r="FY6" s="60">
        <f>IF(FY5&gt;CST_LTD_PERIODS,0,-(PPMT(CST_LTD_INTEREST/12,FY5,CST_LTD_PERIODS, 'CAPEX Schedule'!$IH$17)))</f>
        <v>0</v>
      </c>
      <c r="FZ6" s="60">
        <f>IF(FZ5&gt;CST_LTD_PERIODS,0,-(PPMT(CST_LTD_INTEREST/12,FZ5,CST_LTD_PERIODS, 'CAPEX Schedule'!$IH$17)))</f>
        <v>0</v>
      </c>
      <c r="GA6" s="60">
        <f>IF(GA5&gt;CST_LTD_PERIODS,0,-(PPMT(CST_LTD_INTEREST/12,GA5,CST_LTD_PERIODS, 'CAPEX Schedule'!$IH$17)))</f>
        <v>0</v>
      </c>
      <c r="GB6" s="60">
        <f>IF(GB5&gt;CST_LTD_PERIODS,0,-(PPMT(CST_LTD_INTEREST/12,GB5,CST_LTD_PERIODS, 'CAPEX Schedule'!$IH$17)))</f>
        <v>0</v>
      </c>
      <c r="GC6" s="60">
        <f>IF(GC5&gt;CST_LTD_PERIODS,0,-(PPMT(CST_LTD_INTEREST/12,GC5,CST_LTD_PERIODS, 'CAPEX Schedule'!$IH$17)))</f>
        <v>0</v>
      </c>
      <c r="GD6" s="60">
        <f>IF(GD5&gt;CST_LTD_PERIODS,0,-(PPMT(CST_LTD_INTEREST/12,GD5,CST_LTD_PERIODS, 'CAPEX Schedule'!$IH$17)))</f>
        <v>0</v>
      </c>
      <c r="GE6" s="60">
        <f>IF(GE5&gt;CST_LTD_PERIODS,0,-(PPMT(CST_LTD_INTEREST/12,GE5,CST_LTD_PERIODS, 'CAPEX Schedule'!$IH$17)))</f>
        <v>0</v>
      </c>
      <c r="GF6" s="60">
        <f>IF(GF5&gt;CST_LTD_PERIODS,0,-(PPMT(CST_LTD_INTEREST/12,GF5,CST_LTD_PERIODS, 'CAPEX Schedule'!$IH$17)))</f>
        <v>0</v>
      </c>
      <c r="GG6" s="60">
        <f>IF(GG5&gt;CST_LTD_PERIODS,0,-(PPMT(CST_LTD_INTEREST/12,GG5,CST_LTD_PERIODS, 'CAPEX Schedule'!$IH$17)))</f>
        <v>0</v>
      </c>
      <c r="GH6" s="60">
        <f>IF(GH5&gt;CST_LTD_PERIODS,0,-(PPMT(CST_LTD_INTEREST/12,GH5,CST_LTD_PERIODS, 'CAPEX Schedule'!$IH$17)))</f>
        <v>0</v>
      </c>
      <c r="GI6" s="60">
        <f>IF(GI5&gt;CST_LTD_PERIODS,0,-(PPMT(CST_LTD_INTEREST/12,GI5,CST_LTD_PERIODS, 'CAPEX Schedule'!$IH$17)))</f>
        <v>0</v>
      </c>
      <c r="GJ6" s="60">
        <f>IF(GJ5&gt;CST_LTD_PERIODS,0,-(PPMT(CST_LTD_INTEREST/12,GJ5,CST_LTD_PERIODS, 'CAPEX Schedule'!$IH$17)))</f>
        <v>0</v>
      </c>
      <c r="GK6" s="60">
        <f>IF(GK5&gt;CST_LTD_PERIODS,0,-(PPMT(CST_LTD_INTEREST/12,GK5,CST_LTD_PERIODS, 'CAPEX Schedule'!$IH$17)))</f>
        <v>0</v>
      </c>
      <c r="GL6" s="60">
        <f>IF(GL5&gt;CST_LTD_PERIODS,0,-(PPMT(CST_LTD_INTEREST/12,GL5,CST_LTD_PERIODS, 'CAPEX Schedule'!$IH$17)))</f>
        <v>0</v>
      </c>
      <c r="GM6" s="60">
        <f>IF(GM5&gt;CST_LTD_PERIODS,0,-(PPMT(CST_LTD_INTEREST/12,GM5,CST_LTD_PERIODS, 'CAPEX Schedule'!$IH$17)))</f>
        <v>0</v>
      </c>
      <c r="GN6" s="60">
        <f>IF(GN5&gt;CST_LTD_PERIODS,0,-(PPMT(CST_LTD_INTEREST/12,GN5,CST_LTD_PERIODS, 'CAPEX Schedule'!$IH$17)))</f>
        <v>0</v>
      </c>
      <c r="GO6" s="60">
        <f>IF(GO5&gt;CST_LTD_PERIODS,0,-(PPMT(CST_LTD_INTEREST/12,GO5,CST_LTD_PERIODS, 'CAPEX Schedule'!$IH$17)))</f>
        <v>0</v>
      </c>
      <c r="GP6" s="60">
        <f>IF(GP5&gt;CST_LTD_PERIODS,0,-(PPMT(CST_LTD_INTEREST/12,GP5,CST_LTD_PERIODS, 'CAPEX Schedule'!$IH$17)))</f>
        <v>0</v>
      </c>
      <c r="GQ6" s="60">
        <f>IF(GQ5&gt;CST_LTD_PERIODS,0,-(PPMT(CST_LTD_INTEREST/12,GQ5,CST_LTD_PERIODS, 'CAPEX Schedule'!$IH$17)))</f>
        <v>0</v>
      </c>
      <c r="GR6" s="60">
        <f>IF(GR5&gt;CST_LTD_PERIODS,0,-(PPMT(CST_LTD_INTEREST/12,GR5,CST_LTD_PERIODS, 'CAPEX Schedule'!$IH$17)))</f>
        <v>0</v>
      </c>
      <c r="GS6" s="60">
        <f>IF(GS5&gt;CST_LTD_PERIODS,0,-(PPMT(CST_LTD_INTEREST/12,GS5,CST_LTD_PERIODS, 'CAPEX Schedule'!$IH$17)))</f>
        <v>0</v>
      </c>
      <c r="GT6" s="60">
        <f>IF(GT5&gt;CST_LTD_PERIODS,0,-(PPMT(CST_LTD_INTEREST/12,GT5,CST_LTD_PERIODS, 'CAPEX Schedule'!$IH$17)))</f>
        <v>0</v>
      </c>
      <c r="GU6" s="60">
        <f>IF(GU5&gt;CST_LTD_PERIODS,0,-(PPMT(CST_LTD_INTEREST/12,GU5,CST_LTD_PERIODS, 'CAPEX Schedule'!$IH$17)))</f>
        <v>0</v>
      </c>
      <c r="GV6" s="60">
        <f>IF(GV5&gt;CST_LTD_PERIODS,0,-(PPMT(CST_LTD_INTEREST/12,GV5,CST_LTD_PERIODS, 'CAPEX Schedule'!$IH$17)))</f>
        <v>0</v>
      </c>
      <c r="GW6" s="60">
        <f>IF(GW5&gt;CST_LTD_PERIODS,0,-(PPMT(CST_LTD_INTEREST/12,GW5,CST_LTD_PERIODS, 'CAPEX Schedule'!$IH$17)))</f>
        <v>0</v>
      </c>
      <c r="GX6" s="60">
        <f>IF(GX5&gt;CST_LTD_PERIODS,0,-(PPMT(CST_LTD_INTEREST/12,GX5,CST_LTD_PERIODS, 'CAPEX Schedule'!$IH$17)))</f>
        <v>0</v>
      </c>
      <c r="GY6" s="60">
        <f>IF(GY5&gt;CST_LTD_PERIODS,0,-(PPMT(CST_LTD_INTEREST/12,GY5,CST_LTD_PERIODS, 'CAPEX Schedule'!$IH$17)))</f>
        <v>0</v>
      </c>
      <c r="GZ6" s="60">
        <f>IF(GZ5&gt;CST_LTD_PERIODS,0,-(PPMT(CST_LTD_INTEREST/12,GZ5,CST_LTD_PERIODS, 'CAPEX Schedule'!$IH$17)))</f>
        <v>0</v>
      </c>
      <c r="HA6" s="60">
        <f>IF(HA5&gt;CST_LTD_PERIODS,0,-(PPMT(CST_LTD_INTEREST/12,HA5,CST_LTD_PERIODS, 'CAPEX Schedule'!$IH$17)))</f>
        <v>0</v>
      </c>
      <c r="HB6" s="60">
        <f>IF(HB5&gt;CST_LTD_PERIODS,0,-(PPMT(CST_LTD_INTEREST/12,HB5,CST_LTD_PERIODS, 'CAPEX Schedule'!$IH$17)))</f>
        <v>0</v>
      </c>
      <c r="HC6" s="60">
        <f>IF(HC5&gt;CST_LTD_PERIODS,0,-(PPMT(CST_LTD_INTEREST/12,HC5,CST_LTD_PERIODS, 'CAPEX Schedule'!$IH$17)))</f>
        <v>0</v>
      </c>
      <c r="HD6" s="60">
        <f>IF(HD5&gt;CST_LTD_PERIODS,0,-(PPMT(CST_LTD_INTEREST/12,HD5,CST_LTD_PERIODS, 'CAPEX Schedule'!$IH$17)))</f>
        <v>0</v>
      </c>
      <c r="HE6" s="60">
        <f>IF(HE5&gt;CST_LTD_PERIODS,0,-(PPMT(CST_LTD_INTEREST/12,HE5,CST_LTD_PERIODS, 'CAPEX Schedule'!$IH$17)))</f>
        <v>0</v>
      </c>
      <c r="HF6" s="60">
        <f>IF(HF5&gt;CST_LTD_PERIODS,0,-(PPMT(CST_LTD_INTEREST/12,HF5,CST_LTD_PERIODS, 'CAPEX Schedule'!$IH$17)))</f>
        <v>0</v>
      </c>
      <c r="HG6" s="60">
        <f>IF(HG5&gt;CST_LTD_PERIODS,0,-(PPMT(CST_LTD_INTEREST/12,HG5,CST_LTD_PERIODS, 'CAPEX Schedule'!$IH$17)))</f>
        <v>0</v>
      </c>
      <c r="HH6" s="60">
        <f>IF(HH5&gt;CST_LTD_PERIODS,0,-(PPMT(CST_LTD_INTEREST/12,HH5,CST_LTD_PERIODS, 'CAPEX Schedule'!$IH$17)))</f>
        <v>0</v>
      </c>
      <c r="HI6" s="60">
        <f>IF(HI5&gt;CST_LTD_PERIODS,0,-(PPMT(CST_LTD_INTEREST/12,HI5,CST_LTD_PERIODS, 'CAPEX Schedule'!$IH$17)))</f>
        <v>0</v>
      </c>
      <c r="HJ6" s="60">
        <f>IF(HJ5&gt;CST_LTD_PERIODS,0,-(PPMT(CST_LTD_INTEREST/12,HJ5,CST_LTD_PERIODS, 'CAPEX Schedule'!$IH$17)))</f>
        <v>0</v>
      </c>
      <c r="HK6" s="60">
        <f>IF(HK5&gt;CST_LTD_PERIODS,0,-(PPMT(CST_LTD_INTEREST/12,HK5,CST_LTD_PERIODS, 'CAPEX Schedule'!$IH$17)))</f>
        <v>0</v>
      </c>
      <c r="HL6" s="60">
        <f>IF(HL5&gt;CST_LTD_PERIODS,0,-(PPMT(CST_LTD_INTEREST/12,HL5,CST_LTD_PERIODS, 'CAPEX Schedule'!$IH$17)))</f>
        <v>0</v>
      </c>
      <c r="HM6" s="60">
        <f>IF(HM5&gt;CST_LTD_PERIODS,0,-(PPMT(CST_LTD_INTEREST/12,HM5,CST_LTD_PERIODS, 'CAPEX Schedule'!$IH$17)))</f>
        <v>0</v>
      </c>
      <c r="HN6" s="60">
        <f>IF(HN5&gt;CST_LTD_PERIODS,0,-(PPMT(CST_LTD_INTEREST/12,HN5,CST_LTD_PERIODS, 'CAPEX Schedule'!$IH$17)))</f>
        <v>0</v>
      </c>
      <c r="HO6" s="60">
        <f>IF(HO5&gt;CST_LTD_PERIODS,0,-(PPMT(CST_LTD_INTEREST/12,HO5,CST_LTD_PERIODS, 'CAPEX Schedule'!$IH$17)))</f>
        <v>0</v>
      </c>
      <c r="HP6" s="60">
        <f>IF(HP5&gt;CST_LTD_PERIODS,0,-(PPMT(CST_LTD_INTEREST/12,HP5,CST_LTD_PERIODS, 'CAPEX Schedule'!$IH$17)))</f>
        <v>0</v>
      </c>
      <c r="HQ6" s="60">
        <f>IF(HQ5&gt;CST_LTD_PERIODS,0,-(PPMT(CST_LTD_INTEREST/12,HQ5,CST_LTD_PERIODS, 'CAPEX Schedule'!$IH$17)))</f>
        <v>0</v>
      </c>
      <c r="HR6" s="60">
        <f>IF(HR5&gt;CST_LTD_PERIODS,0,-(PPMT(CST_LTD_INTEREST/12,HR5,CST_LTD_PERIODS, 'CAPEX Schedule'!$IH$17)))</f>
        <v>0</v>
      </c>
      <c r="HS6" s="60">
        <f>IF(HS5&gt;CST_LTD_PERIODS,0,-(PPMT(CST_LTD_INTEREST/12,HS5,CST_LTD_PERIODS, 'CAPEX Schedule'!$IH$17)))</f>
        <v>0</v>
      </c>
      <c r="HT6" s="60">
        <f>IF(HT5&gt;CST_LTD_PERIODS,0,-(PPMT(CST_LTD_INTEREST/12,HT5,CST_LTD_PERIODS, 'CAPEX Schedule'!$IH$17)))</f>
        <v>0</v>
      </c>
      <c r="HU6" s="60">
        <f>IF(HU5&gt;CST_LTD_PERIODS,0,-(PPMT(CST_LTD_INTEREST/12,HU5,CST_LTD_PERIODS, 'CAPEX Schedule'!$IH$17)))</f>
        <v>0</v>
      </c>
      <c r="HV6" s="60">
        <f>IF(HV5&gt;CST_LTD_PERIODS,0,-(PPMT(CST_LTD_INTEREST/12,HV5,CST_LTD_PERIODS, 'CAPEX Schedule'!$IH$17)))</f>
        <v>0</v>
      </c>
      <c r="HW6" s="60">
        <f>IF(HW5&gt;CST_LTD_PERIODS,0,-(PPMT(CST_LTD_INTEREST/12,HW5,CST_LTD_PERIODS, 'CAPEX Schedule'!$IH$17)))</f>
        <v>0</v>
      </c>
      <c r="HX6" s="60">
        <f>IF(HX5&gt;CST_LTD_PERIODS,0,-(PPMT(CST_LTD_INTEREST/12,HX5,CST_LTD_PERIODS, 'CAPEX Schedule'!$IH$17)))</f>
        <v>0</v>
      </c>
      <c r="HY6" s="60">
        <f>IF(HY5&gt;CST_LTD_PERIODS,0,-(PPMT(CST_LTD_INTEREST/12,HY5,CST_LTD_PERIODS, 'CAPEX Schedule'!$IH$17)))</f>
        <v>0</v>
      </c>
      <c r="HZ6" s="60">
        <f>IF(HZ5&gt;CST_LTD_PERIODS,0,-(PPMT(CST_LTD_INTEREST/12,HZ5,CST_LTD_PERIODS, 'CAPEX Schedule'!$IH$17)))</f>
        <v>0</v>
      </c>
      <c r="IA6" s="60">
        <f>IF(IA5&gt;CST_LTD_PERIODS,0,-(PPMT(CST_LTD_INTEREST/12,IA5,CST_LTD_PERIODS, 'CAPEX Schedule'!$IH$17)))</f>
        <v>0</v>
      </c>
      <c r="IB6" s="60">
        <f>IF(IB5&gt;CST_LTD_PERIODS,0,-(PPMT(CST_LTD_INTEREST/12,IB5,CST_LTD_PERIODS, 'CAPEX Schedule'!$IH$17)))</f>
        <v>0</v>
      </c>
      <c r="IC6" s="60">
        <f>IF(IC5&gt;CST_LTD_PERIODS,0,-(PPMT(CST_LTD_INTEREST/12,IC5,CST_LTD_PERIODS, 'CAPEX Schedule'!$IH$17)))</f>
        <v>0</v>
      </c>
      <c r="ID6" s="60">
        <f>IF(ID5&gt;CST_LTD_PERIODS,0,-(PPMT(CST_LTD_INTEREST/12,ID5,CST_LTD_PERIODS, 'CAPEX Schedule'!$IH$17)))</f>
        <v>0</v>
      </c>
      <c r="IE6" s="60">
        <f>IF(IE5&gt;CST_LTD_PERIODS,0,-(PPMT(CST_LTD_INTEREST/12,IE5,CST_LTD_PERIODS, 'CAPEX Schedule'!$IH$17)))</f>
        <v>0</v>
      </c>
      <c r="IF6" s="60">
        <f>IF(IF5&gt;CST_LTD_PERIODS,0,-(PPMT(CST_LTD_INTEREST/12,IF5,CST_LTD_PERIODS, 'CAPEX Schedule'!$IH$17)))</f>
        <v>0</v>
      </c>
      <c r="IG6" s="60">
        <f>IF(IG5&gt;CST_LTD_PERIODS,0,-(PPMT(CST_LTD_INTEREST/12,IG5,CST_LTD_PERIODS, 'CAPEX Schedule'!$IH$17)))</f>
        <v>0</v>
      </c>
      <c r="IH6" s="60">
        <f>IF(IH5&gt;CST_LTD_PERIODS,0,-(PPMT(CST_LTD_INTEREST/12,IH5,CST_LTD_PERIODS, 'CAPEX Schedule'!$IH$17)))</f>
        <v>0</v>
      </c>
    </row>
    <row r="7" spans="1:242" x14ac:dyDescent="0.45">
      <c r="A7" s="893" t="s">
        <v>251</v>
      </c>
      <c r="B7" s="894"/>
      <c r="C7" s="24">
        <f>IF(C5&gt;CST_LTD_PERIODS,0,-(IPMT(CST_LTD_INTEREST/12,C5,CST_LTD_PERIODS,  'CAPEX Schedule'!$IH$17)))</f>
        <v>4487802.5171189178</v>
      </c>
      <c r="D7" s="24">
        <f>IF(D5&gt;CST_LTD_PERIODS,0,-(IPMT(CST_LTD_INTEREST/12,D5,CST_LTD_PERIODS,  'CAPEX Schedule'!$IH$17)))</f>
        <v>4461153.3576217992</v>
      </c>
      <c r="E7" s="24">
        <f>IF(E5&gt;CST_LTD_PERIODS,0,-(IPMT(CST_LTD_INTEREST/12,E5,CST_LTD_PERIODS,  'CAPEX Schedule'!$IH$17)))</f>
        <v>4434359.8485107366</v>
      </c>
      <c r="F7" s="24">
        <f>IF(F5&gt;CST_LTD_PERIODS,0,-(IPMT(CST_LTD_INTEREST/12,F5,CST_LTD_PERIODS,  'CAPEX Schedule'!$IH$17)))</f>
        <v>4407421.2078919923</v>
      </c>
      <c r="G7" s="24">
        <f>IF(G5&gt;CST_LTD_PERIODS,0,-(IPMT(CST_LTD_INTEREST/12,G5,CST_LTD_PERIODS,  'CAPEX Schedule'!$IH$17)))</f>
        <v>4380336.6496365601</v>
      </c>
      <c r="H7" s="24">
        <f>IF(H5&gt;CST_LTD_PERIODS,0,-(IPMT(CST_LTD_INTEREST/12,H5,CST_LTD_PERIODS,  'CAPEX Schedule'!$IH$17)))</f>
        <v>4353105.3833572464</v>
      </c>
      <c r="I7" s="24">
        <f>IF(I5&gt;CST_LTD_PERIODS,0,-(IPMT(CST_LTD_INTEREST/12,I5,CST_LTD_PERIODS,  'CAPEX Schedule'!$IH$17)))</f>
        <v>4325726.6143855853</v>
      </c>
      <c r="J7" s="24">
        <f>IF(J5&gt;CST_LTD_PERIODS,0,-(IPMT(CST_LTD_INTEREST/12,J5,CST_LTD_PERIODS,  'CAPEX Schedule'!$IH$17)))</f>
        <v>4298199.5437486591</v>
      </c>
      <c r="K7" s="24">
        <f>IF(K5&gt;CST_LTD_PERIODS,0,-(IPMT(CST_LTD_INTEREST/12,K5,CST_LTD_PERIODS,  'CAPEX Schedule'!$IH$17)))</f>
        <v>4270523.3681457853</v>
      </c>
      <c r="L7" s="24">
        <f>IF(L5&gt;CST_LTD_PERIODS,0,-(IPMT(CST_LTD_INTEREST/12,L5,CST_LTD_PERIODS,  'CAPEX Schedule'!$IH$17)))</f>
        <v>4242697.2799250633</v>
      </c>
      <c r="M7" s="24">
        <f>IF(M5&gt;CST_LTD_PERIODS,0,-(IPMT(CST_LTD_INTEREST/12,M5,CST_LTD_PERIODS,  'CAPEX Schedule'!$IH$17)))</f>
        <v>4214720.4670598106</v>
      </c>
      <c r="N7" s="24">
        <f>IF(N5&gt;CST_LTD_PERIODS,0,-(IPMT(CST_LTD_INTEREST/12,N5,CST_LTD_PERIODS,  'CAPEX Schedule'!$IH$17)))</f>
        <v>4186592.1131248726</v>
      </c>
      <c r="O7" s="24">
        <f>IF(O5&gt;CST_LTD_PERIODS,0,-(IPMT(CST_LTD_INTEREST/12,O5,CST_LTD_PERIODS,  'CAPEX Schedule'!$IH$17)))</f>
        <v>4158311.3972727866</v>
      </c>
      <c r="P7" s="24">
        <f>IF(P5&gt;CST_LTD_PERIODS,0,-(IPMT(CST_LTD_INTEREST/12,P5,CST_LTD_PERIODS,  'CAPEX Schedule'!$IH$17)))</f>
        <v>4129877.4942098344</v>
      </c>
      <c r="Q7" s="24">
        <f>IF(Q5&gt;CST_LTD_PERIODS,0,-(IPMT(CST_LTD_INTEREST/12,Q5,CST_LTD_PERIODS,  'CAPEX Schedule'!$IH$17)))</f>
        <v>4101289.5741719576</v>
      </c>
      <c r="R7" s="24">
        <f>IF(R5&gt;CST_LTD_PERIODS,0,-(IPMT(CST_LTD_INTEREST/12,R5,CST_LTD_PERIODS,  'CAPEX Schedule'!$IH$17)))</f>
        <v>4072546.8029005434</v>
      </c>
      <c r="S7" s="24">
        <f>IF(S5&gt;CST_LTD_PERIODS,0,-(IPMT(CST_LTD_INTEREST/12,S5,CST_LTD_PERIODS,  'CAPEX Schedule'!$IH$17)))</f>
        <v>4043648.3416180746</v>
      </c>
      <c r="T7" s="24">
        <f>IF(T5&gt;CST_LTD_PERIODS,0,-(IPMT(CST_LTD_INTEREST/12,T5,CST_LTD_PERIODS,  'CAPEX Schedule'!$IH$17)))</f>
        <v>4014593.3470036597</v>
      </c>
      <c r="U7" s="24">
        <f>IF(U5&gt;CST_LTD_PERIODS,0,-(IPMT(CST_LTD_INTEREST/12,U5,CST_LTD_PERIODS,  'CAPEX Schedule'!$IH$17)))</f>
        <v>3985380.9711684179</v>
      </c>
      <c r="V7" s="24">
        <f>IF(V5&gt;CST_LTD_PERIODS,0,-(IPMT(CST_LTD_INTEREST/12,V5,CST_LTD_PERIODS,  'CAPEX Schedule'!$IH$17)))</f>
        <v>3956010.3616307327</v>
      </c>
      <c r="W7" s="24">
        <f>IF(W5&gt;CST_LTD_PERIODS,0,-(IPMT(CST_LTD_INTEREST/12,W5,CST_LTD_PERIODS,  'CAPEX Schedule'!$IH$17)))</f>
        <v>3926480.6612913879</v>
      </c>
      <c r="X7" s="24">
        <f>IF(X5&gt;CST_LTD_PERIODS,0,-(IPMT(CST_LTD_INTEREST/12,X5,CST_LTD_PERIODS,  'CAPEX Schedule'!$IH$17)))</f>
        <v>3896791.0084085362</v>
      </c>
      <c r="Y7" s="24">
        <f>IF(Y5&gt;CST_LTD_PERIODS,0,-(IPMT(CST_LTD_INTEREST/12,Y5,CST_LTD_PERIODS,  'CAPEX Schedule'!$IH$17)))</f>
        <v>3866940.5365725695</v>
      </c>
      <c r="Z7" s="24">
        <f>IF(Z5&gt;CST_LTD_PERIODS,0,-(IPMT(CST_LTD_INTEREST/12,Z5,CST_LTD_PERIODS,  'CAPEX Schedule'!$IH$17)))</f>
        <v>3836928.3746808255</v>
      </c>
      <c r="AA7" s="24">
        <f>IF(AA5&gt;CST_LTD_PERIODS,0,-(IPMT(CST_LTD_INTEREST/12,AA5,CST_LTD_PERIODS,  'CAPEX Schedule'!$IH$17)))</f>
        <v>3806753.6469121664</v>
      </c>
      <c r="AB7" s="24">
        <f>IF(AB5&gt;CST_LTD_PERIODS,0,-(IPMT(CST_LTD_INTEREST/12,AB5,CST_LTD_PERIODS,  'CAPEX Schedule'!$IH$17)))</f>
        <v>3776415.472701428</v>
      </c>
      <c r="AC7" s="24">
        <f>IF(AC5&gt;CST_LTD_PERIODS,0,-(IPMT(CST_LTD_INTEREST/12,AC5,CST_LTD_PERIODS,  'CAPEX Schedule'!$IH$17)))</f>
        <v>3745912.9667137149</v>
      </c>
      <c r="AD7" s="24">
        <f>IF(AD5&gt;CST_LTD_PERIODS,0,-(IPMT(CST_LTD_INTEREST/12,AD5,CST_LTD_PERIODS,  'CAPEX Schedule'!$IH$17)))</f>
        <v>3715245.2388185677</v>
      </c>
      <c r="AE7" s="24">
        <f>IF(AE5&gt;CST_LTD_PERIODS,0,-(IPMT(CST_LTD_INTEREST/12,AE5,CST_LTD_PERIODS,  'CAPEX Schedule'!$IH$17)))</f>
        <v>3684411.3940639892</v>
      </c>
      <c r="AF7" s="24">
        <f>IF(AF5&gt;CST_LTD_PERIODS,0,-(IPMT(CST_LTD_INTEREST/12,AF5,CST_LTD_PERIODS,  'CAPEX Schedule'!$IH$17)))</f>
        <v>3653410.5326503236</v>
      </c>
      <c r="AG7" s="24">
        <f>IF(AG5&gt;CST_LTD_PERIODS,0,-(IPMT(CST_LTD_INTEREST/12,AG5,CST_LTD_PERIODS,  'CAPEX Schedule'!$IH$17)))</f>
        <v>3622241.7499039993</v>
      </c>
      <c r="AH7" s="24">
        <f>IF(AH5&gt;CST_LTD_PERIODS,0,-(IPMT(CST_LTD_INTEREST/12,AH5,CST_LTD_PERIODS,  'CAPEX Schedule'!$IH$17)))</f>
        <v>3590904.1362511329</v>
      </c>
      <c r="AI7" s="24">
        <f>IF(AI5&gt;CST_LTD_PERIODS,0,-(IPMT(CST_LTD_INTEREST/12,AI5,CST_LTD_PERIODS,  'CAPEX Schedule'!$IH$17)))</f>
        <v>3559396.7771909814</v>
      </c>
      <c r="AJ7" s="24">
        <f>IF(AJ5&gt;CST_LTD_PERIODS,0,-(IPMT(CST_LTD_INTEREST/12,AJ5,CST_LTD_PERIODS,  'CAPEX Schedule'!$IH$17)))</f>
        <v>3527718.7532692524</v>
      </c>
      <c r="AK7" s="24">
        <f>IF(AK5&gt;CST_LTD_PERIODS,0,-(IPMT(CST_LTD_INTEREST/12,AK5,CST_LTD_PERIODS,  'CAPEX Schedule'!$IH$17)))</f>
        <v>3495869.1400512815</v>
      </c>
      <c r="AL7" s="24">
        <f>IF(AL5&gt;CST_LTD_PERIODS,0,-(IPMT(CST_LTD_INTEREST/12,AL5,CST_LTD_PERIODS,  'CAPEX Schedule'!$IH$17)))</f>
        <v>3463847.008095047</v>
      </c>
      <c r="AM7" s="24">
        <f>IF(AM5&gt;CST_LTD_PERIODS,0,-(IPMT(CST_LTD_INTEREST/12,AM5,CST_LTD_PERIODS,  'CAPEX Schedule'!$IH$17)))</f>
        <v>3431651.4229240492</v>
      </c>
      <c r="AN7" s="24">
        <f>IF(AN5&gt;CST_LTD_PERIODS,0,-(IPMT(CST_LTD_INTEREST/12,AN5,CST_LTD_PERIODS,  'CAPEX Schedule'!$IH$17)))</f>
        <v>3399281.4450000408</v>
      </c>
      <c r="AO7" s="24">
        <f>IF(AO5&gt;CST_LTD_PERIODS,0,-(IPMT(CST_LTD_INTEREST/12,AO5,CST_LTD_PERIODS,  'CAPEX Schedule'!$IH$17)))</f>
        <v>3366736.129695612</v>
      </c>
      <c r="AP7" s="24">
        <f>IF(AP5&gt;CST_LTD_PERIODS,0,-(IPMT(CST_LTD_INTEREST/12,AP5,CST_LTD_PERIODS,  'CAPEX Schedule'!$IH$17)))</f>
        <v>3334014.5272666174</v>
      </c>
      <c r="AQ7" s="24">
        <f>IF(AQ5&gt;CST_LTD_PERIODS,0,-(IPMT(CST_LTD_INTEREST/12,AQ5,CST_LTD_PERIODS,  'CAPEX Schedule'!$IH$17)))</f>
        <v>3301115.6828244654</v>
      </c>
      <c r="AR7" s="24">
        <f>IF(AR5&gt;CST_LTD_PERIODS,0,-(IPMT(CST_LTD_INTEREST/12,AR5,CST_LTD_PERIODS,  'CAPEX Schedule'!$IH$17)))</f>
        <v>3268038.6363082519</v>
      </c>
      <c r="AS7" s="24">
        <f>IF(AS5&gt;CST_LTD_PERIODS,0,-(IPMT(CST_LTD_INTEREST/12,AS5,CST_LTD_PERIODS,  'CAPEX Schedule'!$IH$17)))</f>
        <v>3234782.4224567418</v>
      </c>
      <c r="AT7" s="24">
        <f>IF(AT5&gt;CST_LTD_PERIODS,0,-(IPMT(CST_LTD_INTEREST/12,AT5,CST_LTD_PERIODS,  'CAPEX Schedule'!$IH$17)))</f>
        <v>3201346.0707802032</v>
      </c>
      <c r="AU7" s="24">
        <f>IF(AU5&gt;CST_LTD_PERIODS,0,-(IPMT(CST_LTD_INTEREST/12,AU5,CST_LTD_PERIODS,  'CAPEX Schedule'!$IH$17)))</f>
        <v>3167728.6055320837</v>
      </c>
      <c r="AV7" s="24">
        <f>IF(AV5&gt;CST_LTD_PERIODS,0,-(IPMT(CST_LTD_INTEREST/12,AV5,CST_LTD_PERIODS,  'CAPEX Schedule'!$IH$17)))</f>
        <v>3133929.045680536</v>
      </c>
      <c r="AW7" s="24">
        <f>IF(AW5&gt;CST_LTD_PERIODS,0,-(IPMT(CST_LTD_INTEREST/12,AW5,CST_LTD_PERIODS,  'CAPEX Schedule'!$IH$17)))</f>
        <v>3099946.4048797931</v>
      </c>
      <c r="AX7" s="24">
        <f>IF(AX5&gt;CST_LTD_PERIODS,0,-(IPMT(CST_LTD_INTEREST/12,AX5,CST_LTD_PERIODS,  'CAPEX Schedule'!$IH$17)))</f>
        <v>3065779.6914413786</v>
      </c>
      <c r="AY7" s="24">
        <f>IF(AY5&gt;CST_LTD_PERIODS,0,-(IPMT(CST_LTD_INTEREST/12,AY5,CST_LTD_PERIODS,  'CAPEX Schedule'!$IH$17)))</f>
        <v>3031427.9083051733</v>
      </c>
      <c r="AZ7" s="24">
        <f>IF(AZ5&gt;CST_LTD_PERIODS,0,-(IPMT(CST_LTD_INTEREST/12,AZ5,CST_LTD_PERIODS,  'CAPEX Schedule'!$IH$17)))</f>
        <v>2996890.0530103138</v>
      </c>
      <c r="BA7" s="24">
        <f>IF(BA5&gt;CST_LTD_PERIODS,0,-(IPMT(CST_LTD_INTEREST/12,BA5,CST_LTD_PERIODS,  'CAPEX Schedule'!$IH$17)))</f>
        <v>2962165.1176659409</v>
      </c>
      <c r="BB7" s="24">
        <f>IF(BB5&gt;CST_LTD_PERIODS,0,-(IPMT(CST_LTD_INTEREST/12,BB5,CST_LTD_PERIODS,  'CAPEX Schedule'!$IH$17)))</f>
        <v>2927252.0889217849</v>
      </c>
      <c r="BC7" s="24">
        <f>IF(BC5&gt;CST_LTD_PERIODS,0,-(IPMT(CST_LTD_INTEREST/12,BC5,CST_LTD_PERIODS,  'CAPEX Schedule'!$IH$17)))</f>
        <v>2892149.9479385982</v>
      </c>
      <c r="BD7" s="24">
        <f>IF(BD5&gt;CST_LTD_PERIODS,0,-(IPMT(CST_LTD_INTEREST/12,BD5,CST_LTD_PERIODS,  'CAPEX Schedule'!$IH$17)))</f>
        <v>2856857.6703584199</v>
      </c>
      <c r="BE7" s="24">
        <f>IF(BE5&gt;CST_LTD_PERIODS,0,-(IPMT(CST_LTD_INTEREST/12,BE5,CST_LTD_PERIODS,  'CAPEX Schedule'!$IH$17)))</f>
        <v>2821374.2262746813</v>
      </c>
      <c r="BF7" s="24">
        <f>IF(BF5&gt;CST_LTD_PERIODS,0,-(IPMT(CST_LTD_INTEREST/12,BF5,CST_LTD_PERIODS,  'CAPEX Schedule'!$IH$17)))</f>
        <v>2785698.5802021562</v>
      </c>
      <c r="BG7" s="24">
        <f>IF(BG5&gt;CST_LTD_PERIODS,0,-(IPMT(CST_LTD_INTEREST/12,BG5,CST_LTD_PERIODS,  'CAPEX Schedule'!$IH$17)))</f>
        <v>2749829.691046739</v>
      </c>
      <c r="BH7" s="24">
        <f>IF(BH5&gt;CST_LTD_PERIODS,0,-(IPMT(CST_LTD_INTEREST/12,BH5,CST_LTD_PERIODS,  'CAPEX Schedule'!$IH$17)))</f>
        <v>2713766.5120750628</v>
      </c>
      <c r="BI7" s="24">
        <f>IF(BI5&gt;CST_LTD_PERIODS,0,-(IPMT(CST_LTD_INTEREST/12,BI5,CST_LTD_PERIODS,  'CAPEX Schedule'!$IH$17)))</f>
        <v>2677507.9908839567</v>
      </c>
      <c r="BJ7" s="24">
        <f>IF(BJ5&gt;CST_LTD_PERIODS,0,-(IPMT(CST_LTD_INTEREST/12,BJ5,CST_LTD_PERIODS,  'CAPEX Schedule'!$IH$17)))</f>
        <v>2641053.0693697319</v>
      </c>
      <c r="BK7" s="24">
        <f>IF(BK5&gt;CST_LTD_PERIODS,0,-(IPMT(CST_LTD_INTEREST/12,BK5,CST_LTD_PERIODS,  'CAPEX Schedule'!$IH$17)))</f>
        <v>2604400.6836973052</v>
      </c>
      <c r="BL7" s="24">
        <f>IF(BL5&gt;CST_LTD_PERIODS,0,-(IPMT(CST_LTD_INTEREST/12,BL5,CST_LTD_PERIODS,  'CAPEX Schedule'!$IH$17)))</f>
        <v>2567549.7642691531</v>
      </c>
      <c r="BM7" s="24">
        <f>IF(BM5&gt;CST_LTD_PERIODS,0,-(IPMT(CST_LTD_INTEREST/12,BM5,CST_LTD_PERIODS,  'CAPEX Schedule'!$IH$17)))</f>
        <v>2530499.2356940978</v>
      </c>
      <c r="BN7" s="24">
        <f>IF(BN5&gt;CST_LTD_PERIODS,0,-(IPMT(CST_LTD_INTEREST/12,BN5,CST_LTD_PERIODS,  'CAPEX Schedule'!$IH$17)))</f>
        <v>2493248.0167559288</v>
      </c>
      <c r="BO7" s="24">
        <f>IF(BO5&gt;CST_LTD_PERIODS,0,-(IPMT(CST_LTD_INTEREST/12,BO5,CST_LTD_PERIODS,  'CAPEX Schedule'!$IH$17)))</f>
        <v>2455795.0203818437</v>
      </c>
      <c r="BP7" s="24">
        <f>IF(BP5&gt;CST_LTD_PERIODS,0,-(IPMT(CST_LTD_INTEREST/12,BP5,CST_LTD_PERIODS,  'CAPEX Schedule'!$IH$17)))</f>
        <v>2418139.1536107324</v>
      </c>
      <c r="BQ7" s="24">
        <f>IF(BQ5&gt;CST_LTD_PERIODS,0,-(IPMT(CST_LTD_INTEREST/12,BQ5,CST_LTD_PERIODS,  'CAPEX Schedule'!$IH$17)))</f>
        <v>2380279.3175612777</v>
      </c>
      <c r="BR7" s="24">
        <f>IF(BR5&gt;CST_LTD_PERIODS,0,-(IPMT(CST_LTD_INTEREST/12,BR5,CST_LTD_PERIODS,  'CAPEX Schedule'!$IH$17)))</f>
        <v>2342214.4073998882</v>
      </c>
      <c r="BS7" s="24">
        <f>IF(BS5&gt;CST_LTD_PERIODS,0,-(IPMT(CST_LTD_INTEREST/12,BS5,CST_LTD_PERIODS,  'CAPEX Schedule'!$IH$17)))</f>
        <v>2303943.3123084586</v>
      </c>
      <c r="BT7" s="24">
        <f>IF(BT5&gt;CST_LTD_PERIODS,0,-(IPMT(CST_LTD_INTEREST/12,BT5,CST_LTD_PERIODS,  'CAPEX Schedule'!$IH$17)))</f>
        <v>2265464.9154519499</v>
      </c>
      <c r="BU7" s="24">
        <f>IF(BU5&gt;CST_LTD_PERIODS,0,-(IPMT(CST_LTD_INTEREST/12,BU5,CST_LTD_PERIODS,  'CAPEX Schedule'!$IH$17)))</f>
        <v>2226778.0939458022</v>
      </c>
      <c r="BV7" s="24">
        <f>IF(BV5&gt;CST_LTD_PERIODS,0,-(IPMT(CST_LTD_INTEREST/12,BV5,CST_LTD_PERIODS,  'CAPEX Schedule'!$IH$17)))</f>
        <v>2187881.7188231619</v>
      </c>
      <c r="BW7" s="24">
        <f>IF(BW5&gt;CST_LTD_PERIODS,0,-(IPMT(CST_LTD_INTEREST/12,BW5,CST_LTD_PERIODS,  'CAPEX Schedule'!$IH$17)))</f>
        <v>2148774.6550019411</v>
      </c>
      <c r="BX7" s="24">
        <f>IF(BX5&gt;CST_LTD_PERIODS,0,-(IPMT(CST_LTD_INTEREST/12,BX5,CST_LTD_PERIODS,  'CAPEX Schedule'!$IH$17)))</f>
        <v>2109455.7612516894</v>
      </c>
      <c r="BY7" s="24">
        <f>IF(BY5&gt;CST_LTD_PERIODS,0,-(IPMT(CST_LTD_INTEREST/12,BY5,CST_LTD_PERIODS,  'CAPEX Schedule'!$IH$17)))</f>
        <v>2069923.8901602898</v>
      </c>
      <c r="BZ7" s="24">
        <f>IF(BZ5&gt;CST_LTD_PERIODS,0,-(IPMT(CST_LTD_INTEREST/12,BZ5,CST_LTD_PERIODS,  'CAPEX Schedule'!$IH$17)))</f>
        <v>2030177.8881004786</v>
      </c>
      <c r="CA7" s="24">
        <f>IF(CA5&gt;CST_LTD_PERIODS,0,-(IPMT(CST_LTD_INTEREST/12,CA5,CST_LTD_PERIODS,  'CAPEX Schedule'!$IH$17)))</f>
        <v>1990216.5951961766</v>
      </c>
      <c r="CB7" s="24">
        <f>IF(CB5&gt;CST_LTD_PERIODS,0,-(IPMT(CST_LTD_INTEREST/12,CB5,CST_LTD_PERIODS,  'CAPEX Schedule'!$IH$17)))</f>
        <v>1950038.8452886431</v>
      </c>
      <c r="CC7" s="24">
        <f>IF(CC5&gt;CST_LTD_PERIODS,0,-(IPMT(CST_LTD_INTEREST/12,CC5,CST_LTD_PERIODS,  'CAPEX Schedule'!$IH$17)))</f>
        <v>1909643.465902444</v>
      </c>
      <c r="CD7" s="24">
        <f>IF(CD5&gt;CST_LTD_PERIODS,0,-(IPMT(CST_LTD_INTEREST/12,CD5,CST_LTD_PERIODS,  'CAPEX Schedule'!$IH$17)))</f>
        <v>1869029.278211236</v>
      </c>
      <c r="CE7" s="24">
        <f>IF(CE5&gt;CST_LTD_PERIODS,0,-(IPMT(CST_LTD_INTEREST/12,CE5,CST_LTD_PERIODS,  'CAPEX Schedule'!$IH$17)))</f>
        <v>1828195.0970033675</v>
      </c>
      <c r="CF7" s="24">
        <f>IF(CF5&gt;CST_LTD_PERIODS,0,-(IPMT(CST_LTD_INTEREST/12,CF5,CST_LTD_PERIODS,  'CAPEX Schedule'!$IH$17)))</f>
        <v>1787139.7306472899</v>
      </c>
      <c r="CG7" s="24">
        <f>IF(CG5&gt;CST_LTD_PERIODS,0,-(IPMT(CST_LTD_INTEREST/12,CG5,CST_LTD_PERIODS,  'CAPEX Schedule'!$IH$17)))</f>
        <v>1745861.9810567831</v>
      </c>
      <c r="CH7" s="24">
        <f>IF(CH5&gt;CST_LTD_PERIODS,0,-(IPMT(CST_LTD_INTEREST/12,CH5,CST_LTD_PERIODS,  'CAPEX Schedule'!$IH$17)))</f>
        <v>1704360.6436559947</v>
      </c>
      <c r="CI7" s="24">
        <f>IF(CI5&gt;CST_LTD_PERIODS,0,-(IPMT(CST_LTD_INTEREST/12,CI5,CST_LTD_PERIODS,  'CAPEX Schedule'!$IH$17)))</f>
        <v>1662634.507344285</v>
      </c>
      <c r="CJ7" s="24">
        <f>IF(CJ5&gt;CST_LTD_PERIODS,0,-(IPMT(CST_LTD_INTEREST/12,CJ5,CST_LTD_PERIODS,  'CAPEX Schedule'!$IH$17)))</f>
        <v>1620682.3544608874</v>
      </c>
      <c r="CK7" s="24">
        <f>IF(CK5&gt;CST_LTD_PERIODS,0,-(IPMT(CST_LTD_INTEREST/12,CK5,CST_LTD_PERIODS,  'CAPEX Schedule'!$IH$17)))</f>
        <v>1578502.960749371</v>
      </c>
      <c r="CL7" s="24">
        <f>IF(CL5&gt;CST_LTD_PERIODS,0,-(IPMT(CST_LTD_INTEREST/12,CL5,CST_LTD_PERIODS,  'CAPEX Schedule'!$IH$17)))</f>
        <v>1536095.0953219174</v>
      </c>
      <c r="CM7" s="24">
        <f>IF(CM5&gt;CST_LTD_PERIODS,0,-(IPMT(CST_LTD_INTEREST/12,CM5,CST_LTD_PERIODS,  'CAPEX Schedule'!$IH$17)))</f>
        <v>1493457.5206233982</v>
      </c>
      <c r="CN7" s="24">
        <f>IF(CN5&gt;CST_LTD_PERIODS,0,-(IPMT(CST_LTD_INTEREST/12,CN5,CST_LTD_PERIODS,  'CAPEX Schedule'!$IH$17)))</f>
        <v>1450588.9923952625</v>
      </c>
      <c r="CO7" s="24">
        <f>IF(CO5&gt;CST_LTD_PERIODS,0,-(IPMT(CST_LTD_INTEREST/12,CO5,CST_LTD_PERIODS,  'CAPEX Schedule'!$IH$17)))</f>
        <v>1407488.2596392238</v>
      </c>
      <c r="CP7" s="24">
        <f>IF(CP5&gt;CST_LTD_PERIODS,0,-(IPMT(CST_LTD_INTEREST/12,CP5,CST_LTD_PERIODS,  'CAPEX Schedule'!$IH$17)))</f>
        <v>1364154.0645807569</v>
      </c>
      <c r="CQ7" s="24">
        <f>IF(CQ5&gt;CST_LTD_PERIODS,0,-(IPMT(CST_LTD_INTEREST/12,CQ5,CST_LTD_PERIODS,  'CAPEX Schedule'!$IH$17)))</f>
        <v>1320585.1426323899</v>
      </c>
      <c r="CR7" s="24">
        <f>IF(CR5&gt;CST_LTD_PERIODS,0,-(IPMT(CST_LTD_INTEREST/12,CR5,CST_LTD_PERIODS,  'CAPEX Schedule'!$IH$17)))</f>
        <v>1276780.2223568026</v>
      </c>
      <c r="CS7" s="24">
        <f>IF(CS5&gt;CST_LTD_PERIODS,0,-(IPMT(CST_LTD_INTEREST/12,CS5,CST_LTD_PERIODS,  'CAPEX Schedule'!$IH$17)))</f>
        <v>1232738.0254297224</v>
      </c>
      <c r="CT7" s="24">
        <f>IF(CT5&gt;CST_LTD_PERIODS,0,-(IPMT(CST_LTD_INTEREST/12,CT5,CST_LTD_PERIODS,  'CAPEX Schedule'!$IH$17)))</f>
        <v>1188457.2666026207</v>
      </c>
      <c r="CU7" s="24">
        <f>IF(CU5&gt;CST_LTD_PERIODS,0,-(IPMT(CST_LTD_INTEREST/12,CU5,CST_LTD_PERIODS,  'CAPEX Schedule'!$IH$17)))</f>
        <v>1143936.6536652055</v>
      </c>
      <c r="CV7" s="24">
        <f>IF(CV5&gt;CST_LTD_PERIODS,0,-(IPMT(CST_LTD_INTEREST/12,CV5,CST_LTD_PERIODS,  'CAPEX Schedule'!$IH$17)))</f>
        <v>1099174.8874077126</v>
      </c>
      <c r="CW7" s="24">
        <f>IF(CW5&gt;CST_LTD_PERIODS,0,-(IPMT(CST_LTD_INTEREST/12,CW5,CST_LTD_PERIODS,  'CAPEX Schedule'!$IH$17)))</f>
        <v>1054170.6615829917</v>
      </c>
      <c r="CX7" s="24">
        <f>IF(CX5&gt;CST_LTD_PERIODS,0,-(IPMT(CST_LTD_INTEREST/12,CX5,CST_LTD_PERIODS,  'CAPEX Schedule'!$IH$17)))</f>
        <v>1008922.6628683868</v>
      </c>
      <c r="CY7" s="24">
        <f>IF(CY5&gt;CST_LTD_PERIODS,0,-(IPMT(CST_LTD_INTEREST/12,CY5,CST_LTD_PERIODS,  'CAPEX Schedule'!$IH$17)))</f>
        <v>963429.57082741114</v>
      </c>
      <c r="CZ7" s="24">
        <f>IF(CZ5&gt;CST_LTD_PERIODS,0,-(IPMT(CST_LTD_INTEREST/12,CZ5,CST_LTD_PERIODS,  'CAPEX Schedule'!$IH$17)))</f>
        <v>917690.05787121342</v>
      </c>
      <c r="DA7" s="24">
        <f>IF(DA5&gt;CST_LTD_PERIODS,0,-(IPMT(CST_LTD_INTEREST/12,DA5,CST_LTD_PERIODS,  'CAPEX Schedule'!$IH$17)))</f>
        <v>871702.78921983659</v>
      </c>
      <c r="DB7" s="24">
        <f>IF(DB5&gt;CST_LTD_PERIODS,0,-(IPMT(CST_LTD_INTEREST/12,DB5,CST_LTD_PERIODS,  'CAPEX Schedule'!$IH$17)))</f>
        <v>825466.42286326457</v>
      </c>
      <c r="DC7" s="24">
        <f>IF(DC5&gt;CST_LTD_PERIODS,0,-(IPMT(CST_LTD_INTEREST/12,DC5,CST_LTD_PERIODS,  'CAPEX Schedule'!$IH$17)))</f>
        <v>778979.60952226084</v>
      </c>
      <c r="DD7" s="24">
        <f>IF(DD5&gt;CST_LTD_PERIODS,0,-(IPMT(CST_LTD_INTEREST/12,DD5,CST_LTD_PERIODS,  'CAPEX Schedule'!$IH$17)))</f>
        <v>732240.99260899378</v>
      </c>
      <c r="DE7" s="24">
        <f>IF(DE5&gt;CST_LTD_PERIODS,0,-(IPMT(CST_LTD_INTEREST/12,DE5,CST_LTD_PERIODS,  'CAPEX Schedule'!$IH$17)))</f>
        <v>685249.20818744646</v>
      </c>
      <c r="DF7" s="24">
        <f>IF(DF5&gt;CST_LTD_PERIODS,0,-(IPMT(CST_LTD_INTEREST/12,DF5,CST_LTD_PERIODS,  'CAPEX Schedule'!$IH$17)))</f>
        <v>638002.88493361569</v>
      </c>
      <c r="DG7" s="24">
        <f>IF(DG5&gt;CST_LTD_PERIODS,0,-(IPMT(CST_LTD_INTEREST/12,DG5,CST_LTD_PERIODS,  'CAPEX Schedule'!$IH$17)))</f>
        <v>590500.64409549336</v>
      </c>
      <c r="DH7" s="24">
        <f>IF(DH5&gt;CST_LTD_PERIODS,0,-(IPMT(CST_LTD_INTEREST/12,DH5,CST_LTD_PERIODS,  'CAPEX Schedule'!$IH$17)))</f>
        <v>542741.0994528312</v>
      </c>
      <c r="DI7" s="24">
        <f>IF(DI5&gt;CST_LTD_PERIODS,0,-(IPMT(CST_LTD_INTEREST/12,DI5,CST_LTD_PERIODS,  'CAPEX Schedule'!$IH$17)))</f>
        <v>494722.85727668786</v>
      </c>
      <c r="DJ7" s="24">
        <f>IF(DJ5&gt;CST_LTD_PERIODS,0,-(IPMT(CST_LTD_INTEREST/12,DJ5,CST_LTD_PERIODS,  'CAPEX Schedule'!$IH$17)))</f>
        <v>446444.51628875721</v>
      </c>
      <c r="DK7" s="24">
        <f>IF(DK5&gt;CST_LTD_PERIODS,0,-(IPMT(CST_LTD_INTEREST/12,DK5,CST_LTD_PERIODS,  'CAPEX Schedule'!$IH$17)))</f>
        <v>397904.66762047523</v>
      </c>
      <c r="DL7" s="24">
        <f>IF(DL5&gt;CST_LTD_PERIODS,0,-(IPMT(CST_LTD_INTEREST/12,DL5,CST_LTD_PERIODS,  'CAPEX Schedule'!$IH$17)))</f>
        <v>349101.89477190672</v>
      </c>
      <c r="DM7" s="24">
        <f>IF(DM5&gt;CST_LTD_PERIODS,0,-(IPMT(CST_LTD_INTEREST/12,DM5,CST_LTD_PERIODS,  'CAPEX Schedule'!$IH$17)))</f>
        <v>300034.7735704084</v>
      </c>
      <c r="DN7" s="24">
        <f>IF(DN5&gt;CST_LTD_PERIODS,0,-(IPMT(CST_LTD_INTEREST/12,DN5,CST_LTD_PERIODS,  'CAPEX Schedule'!$IH$17)))</f>
        <v>250701.87212906871</v>
      </c>
      <c r="DO7" s="24">
        <f>IF(DO5&gt;CST_LTD_PERIODS,0,-(IPMT(CST_LTD_INTEREST/12,DO5,CST_LTD_PERIODS,  'CAPEX Schedule'!$IH$17)))</f>
        <v>201101.75080492173</v>
      </c>
      <c r="DP7" s="24">
        <f>IF(DP5&gt;CST_LTD_PERIODS,0,-(IPMT(CST_LTD_INTEREST/12,DP5,CST_LTD_PERIODS,  'CAPEX Schedule'!$IH$17)))</f>
        <v>151232.96215693562</v>
      </c>
      <c r="DQ7" s="24">
        <f>IF(DQ5&gt;CST_LTD_PERIODS,0,-(IPMT(CST_LTD_INTEREST/12,DQ5,CST_LTD_PERIODS,  'CAPEX Schedule'!$IH$17)))</f>
        <v>101094.05090377292</v>
      </c>
      <c r="DR7" s="24">
        <f>IF(DR5&gt;CST_LTD_PERIODS,0,-(IPMT(CST_LTD_INTEREST/12,DR5,CST_LTD_PERIODS,  'CAPEX Schedule'!$IH$17)))</f>
        <v>50683.553881322274</v>
      </c>
      <c r="DS7" s="24">
        <f>IF(DS5&gt;CST_LTD_PERIODS,0,-(IPMT(CST_LTD_INTEREST/12,DS5,CST_LTD_PERIODS,  'CAPEX Schedule'!$IH$17)))</f>
        <v>0</v>
      </c>
      <c r="DT7" s="24">
        <f>IF(DT5&gt;CST_LTD_PERIODS,0,-(IPMT(CST_LTD_INTEREST/12,DT5,CST_LTD_PERIODS,  'CAPEX Schedule'!$IH$17)))</f>
        <v>0</v>
      </c>
      <c r="DU7" s="24">
        <f>IF(DU5&gt;CST_LTD_PERIODS,0,-(IPMT(CST_LTD_INTEREST/12,DU5,CST_LTD_PERIODS,  'CAPEX Schedule'!$IH$17)))</f>
        <v>0</v>
      </c>
      <c r="DV7" s="24">
        <f>IF(DV5&gt;CST_LTD_PERIODS,0,-(IPMT(CST_LTD_INTEREST/12,DV5,CST_LTD_PERIODS,  'CAPEX Schedule'!$IH$17)))</f>
        <v>0</v>
      </c>
      <c r="DW7" s="24">
        <f>IF(DW5&gt;CST_LTD_PERIODS,0,-(IPMT(CST_LTD_INTEREST/12,DW5,CST_LTD_PERIODS,  'CAPEX Schedule'!$IH$17)))</f>
        <v>0</v>
      </c>
      <c r="DX7" s="24">
        <f>IF(DX5&gt;CST_LTD_PERIODS,0,-(IPMT(CST_LTD_INTEREST/12,DX5,CST_LTD_PERIODS,  'CAPEX Schedule'!$IH$17)))</f>
        <v>0</v>
      </c>
      <c r="DY7" s="24">
        <f>IF(DY5&gt;CST_LTD_PERIODS,0,-(IPMT(CST_LTD_INTEREST/12,DY5,CST_LTD_PERIODS,  'CAPEX Schedule'!$IH$17)))</f>
        <v>0</v>
      </c>
      <c r="DZ7" s="24">
        <f>IF(DZ5&gt;CST_LTD_PERIODS,0,-(IPMT(CST_LTD_INTEREST/12,DZ5,CST_LTD_PERIODS,  'CAPEX Schedule'!$IH$17)))</f>
        <v>0</v>
      </c>
      <c r="EA7" s="24">
        <f>IF(EA5&gt;CST_LTD_PERIODS,0,-(IPMT(CST_LTD_INTEREST/12,EA5,CST_LTD_PERIODS,  'CAPEX Schedule'!$IH$17)))</f>
        <v>0</v>
      </c>
      <c r="EB7" s="24">
        <f>IF(EB5&gt;CST_LTD_PERIODS,0,-(IPMT(CST_LTD_INTEREST/12,EB5,CST_LTD_PERIODS,  'CAPEX Schedule'!$IH$17)))</f>
        <v>0</v>
      </c>
      <c r="EC7" s="24">
        <f>IF(EC5&gt;CST_LTD_PERIODS,0,-(IPMT(CST_LTD_INTEREST/12,EC5,CST_LTD_PERIODS,  'CAPEX Schedule'!$IH$17)))</f>
        <v>0</v>
      </c>
      <c r="ED7" s="24">
        <f>IF(ED5&gt;CST_LTD_PERIODS,0,-(IPMT(CST_LTD_INTEREST/12,ED5,CST_LTD_PERIODS,  'CAPEX Schedule'!$IH$17)))</f>
        <v>0</v>
      </c>
      <c r="EE7" s="24">
        <f>IF(EE5&gt;CST_LTD_PERIODS,0,-(IPMT(CST_LTD_INTEREST/12,EE5,CST_LTD_PERIODS,  'CAPEX Schedule'!$IH$17)))</f>
        <v>0</v>
      </c>
      <c r="EF7" s="24">
        <f>IF(EF5&gt;CST_LTD_PERIODS,0,-(IPMT(CST_LTD_INTEREST/12,EF5,CST_LTD_PERIODS,  'CAPEX Schedule'!$IH$17)))</f>
        <v>0</v>
      </c>
      <c r="EG7" s="24">
        <f>IF(EG5&gt;CST_LTD_PERIODS,0,-(IPMT(CST_LTD_INTEREST/12,EG5,CST_LTD_PERIODS,  'CAPEX Schedule'!$IH$17)))</f>
        <v>0</v>
      </c>
      <c r="EH7" s="24">
        <f>IF(EH5&gt;CST_LTD_PERIODS,0,-(IPMT(CST_LTD_INTEREST/12,EH5,CST_LTD_PERIODS,  'CAPEX Schedule'!$IH$17)))</f>
        <v>0</v>
      </c>
      <c r="EI7" s="24">
        <f>IF(EI5&gt;CST_LTD_PERIODS,0,-(IPMT(CST_LTD_INTEREST/12,EI5,CST_LTD_PERIODS,  'CAPEX Schedule'!$IH$17)))</f>
        <v>0</v>
      </c>
      <c r="EJ7" s="24">
        <f>IF(EJ5&gt;CST_LTD_PERIODS,0,-(IPMT(CST_LTD_INTEREST/12,EJ5,CST_LTD_PERIODS,  'CAPEX Schedule'!$IH$17)))</f>
        <v>0</v>
      </c>
      <c r="EK7" s="24">
        <f>IF(EK5&gt;CST_LTD_PERIODS,0,-(IPMT(CST_LTD_INTEREST/12,EK5,CST_LTD_PERIODS,  'CAPEX Schedule'!$IH$17)))</f>
        <v>0</v>
      </c>
      <c r="EL7" s="24">
        <f>IF(EL5&gt;CST_LTD_PERIODS,0,-(IPMT(CST_LTD_INTEREST/12,EL5,CST_LTD_PERIODS,  'CAPEX Schedule'!$IH$17)))</f>
        <v>0</v>
      </c>
      <c r="EM7" s="24">
        <f>IF(EM5&gt;CST_LTD_PERIODS,0,-(IPMT(CST_LTD_INTEREST/12,EM5,CST_LTD_PERIODS,  'CAPEX Schedule'!$IH$17)))</f>
        <v>0</v>
      </c>
      <c r="EN7" s="24">
        <f>IF(EN5&gt;CST_LTD_PERIODS,0,-(IPMT(CST_LTD_INTEREST/12,EN5,CST_LTD_PERIODS,  'CAPEX Schedule'!$IH$17)))</f>
        <v>0</v>
      </c>
      <c r="EO7" s="24">
        <f>IF(EO5&gt;CST_LTD_PERIODS,0,-(IPMT(CST_LTD_INTEREST/12,EO5,CST_LTD_PERIODS,  'CAPEX Schedule'!$IH$17)))</f>
        <v>0</v>
      </c>
      <c r="EP7" s="24">
        <f>IF(EP5&gt;CST_LTD_PERIODS,0,-(IPMT(CST_LTD_INTEREST/12,EP5,CST_LTD_PERIODS,  'CAPEX Schedule'!$IH$17)))</f>
        <v>0</v>
      </c>
      <c r="EQ7" s="24">
        <f>IF(EQ5&gt;CST_LTD_PERIODS,0,-(IPMT(CST_LTD_INTEREST/12,EQ5,CST_LTD_PERIODS,  'CAPEX Schedule'!$IH$17)))</f>
        <v>0</v>
      </c>
      <c r="ER7" s="24">
        <f>IF(ER5&gt;CST_LTD_PERIODS,0,-(IPMT(CST_LTD_INTEREST/12,ER5,CST_LTD_PERIODS,  'CAPEX Schedule'!$IH$17)))</f>
        <v>0</v>
      </c>
      <c r="ES7" s="24">
        <f>IF(ES5&gt;CST_LTD_PERIODS,0,-(IPMT(CST_LTD_INTEREST/12,ES5,CST_LTD_PERIODS,  'CAPEX Schedule'!$IH$17)))</f>
        <v>0</v>
      </c>
      <c r="ET7" s="24">
        <f>IF(ET5&gt;CST_LTD_PERIODS,0,-(IPMT(CST_LTD_INTEREST/12,ET5,CST_LTD_PERIODS,  'CAPEX Schedule'!$IH$17)))</f>
        <v>0</v>
      </c>
      <c r="EU7" s="24">
        <f>IF(EU5&gt;CST_LTD_PERIODS,0,-(IPMT(CST_LTD_INTEREST/12,EU5,CST_LTD_PERIODS,  'CAPEX Schedule'!$IH$17)))</f>
        <v>0</v>
      </c>
      <c r="EV7" s="24">
        <f>IF(EV5&gt;CST_LTD_PERIODS,0,-(IPMT(CST_LTD_INTEREST/12,EV5,CST_LTD_PERIODS,  'CAPEX Schedule'!$IH$17)))</f>
        <v>0</v>
      </c>
      <c r="EW7" s="24">
        <f>IF(EW5&gt;CST_LTD_PERIODS,0,-(IPMT(CST_LTD_INTEREST/12,EW5,CST_LTD_PERIODS,  'CAPEX Schedule'!$IH$17)))</f>
        <v>0</v>
      </c>
      <c r="EX7" s="24">
        <f>IF(EX5&gt;CST_LTD_PERIODS,0,-(IPMT(CST_LTD_INTEREST/12,EX5,CST_LTD_PERIODS,  'CAPEX Schedule'!$IH$17)))</f>
        <v>0</v>
      </c>
      <c r="EY7" s="24">
        <f>IF(EY5&gt;CST_LTD_PERIODS,0,-(IPMT(CST_LTD_INTEREST/12,EY5,CST_LTD_PERIODS,  'CAPEX Schedule'!$IH$17)))</f>
        <v>0</v>
      </c>
      <c r="EZ7" s="24">
        <f>IF(EZ5&gt;CST_LTD_PERIODS,0,-(IPMT(CST_LTD_INTEREST/12,EZ5,CST_LTD_PERIODS,  'CAPEX Schedule'!$IH$17)))</f>
        <v>0</v>
      </c>
      <c r="FA7" s="24">
        <f>IF(FA5&gt;CST_LTD_PERIODS,0,-(IPMT(CST_LTD_INTEREST/12,FA5,CST_LTD_PERIODS,  'CAPEX Schedule'!$IH$17)))</f>
        <v>0</v>
      </c>
      <c r="FB7" s="24">
        <f>IF(FB5&gt;CST_LTD_PERIODS,0,-(IPMT(CST_LTD_INTEREST/12,FB5,CST_LTD_PERIODS,  'CAPEX Schedule'!$IH$17)))</f>
        <v>0</v>
      </c>
      <c r="FC7" s="24">
        <f>IF(FC5&gt;CST_LTD_PERIODS,0,-(IPMT(CST_LTD_INTEREST/12,FC5,CST_LTD_PERIODS,  'CAPEX Schedule'!$IH$17)))</f>
        <v>0</v>
      </c>
      <c r="FD7" s="24">
        <f>IF(FD5&gt;CST_LTD_PERIODS,0,-(IPMT(CST_LTD_INTEREST/12,FD5,CST_LTD_PERIODS,  'CAPEX Schedule'!$IH$17)))</f>
        <v>0</v>
      </c>
      <c r="FE7" s="24">
        <f>IF(FE5&gt;CST_LTD_PERIODS,0,-(IPMT(CST_LTD_INTEREST/12,FE5,CST_LTD_PERIODS,  'CAPEX Schedule'!$IH$17)))</f>
        <v>0</v>
      </c>
      <c r="FF7" s="24">
        <f>IF(FF5&gt;CST_LTD_PERIODS,0,-(IPMT(CST_LTD_INTEREST/12,FF5,CST_LTD_PERIODS,  'CAPEX Schedule'!$IH$17)))</f>
        <v>0</v>
      </c>
      <c r="FG7" s="24">
        <f>IF(FG5&gt;CST_LTD_PERIODS,0,-(IPMT(CST_LTD_INTEREST/12,FG5,CST_LTD_PERIODS,  'CAPEX Schedule'!$IH$17)))</f>
        <v>0</v>
      </c>
      <c r="FH7" s="24">
        <f>IF(FH5&gt;CST_LTD_PERIODS,0,-(IPMT(CST_LTD_INTEREST/12,FH5,CST_LTD_PERIODS,  'CAPEX Schedule'!$IH$17)))</f>
        <v>0</v>
      </c>
      <c r="FI7" s="24">
        <f>IF(FI5&gt;CST_LTD_PERIODS,0,-(IPMT(CST_LTD_INTEREST/12,FI5,CST_LTD_PERIODS,  'CAPEX Schedule'!$IH$17)))</f>
        <v>0</v>
      </c>
      <c r="FJ7" s="24">
        <f>IF(FJ5&gt;CST_LTD_PERIODS,0,-(IPMT(CST_LTD_INTEREST/12,FJ5,CST_LTD_PERIODS,  'CAPEX Schedule'!$IH$17)))</f>
        <v>0</v>
      </c>
      <c r="FK7" s="24">
        <f>IF(FK5&gt;CST_LTD_PERIODS,0,-(IPMT(CST_LTD_INTEREST/12,FK5,CST_LTD_PERIODS,  'CAPEX Schedule'!$IH$17)))</f>
        <v>0</v>
      </c>
      <c r="FL7" s="24">
        <f>IF(FL5&gt;CST_LTD_PERIODS,0,-(IPMT(CST_LTD_INTEREST/12,FL5,CST_LTD_PERIODS,  'CAPEX Schedule'!$IH$17)))</f>
        <v>0</v>
      </c>
      <c r="FM7" s="24">
        <f>IF(FM5&gt;CST_LTD_PERIODS,0,-(IPMT(CST_LTD_INTEREST/12,FM5,CST_LTD_PERIODS,  'CAPEX Schedule'!$IH$17)))</f>
        <v>0</v>
      </c>
      <c r="FN7" s="24">
        <f>IF(FN5&gt;CST_LTD_PERIODS,0,-(IPMT(CST_LTD_INTEREST/12,FN5,CST_LTD_PERIODS,  'CAPEX Schedule'!$IH$17)))</f>
        <v>0</v>
      </c>
      <c r="FO7" s="24">
        <f>IF(FO5&gt;CST_LTD_PERIODS,0,-(IPMT(CST_LTD_INTEREST/12,FO5,CST_LTD_PERIODS,  'CAPEX Schedule'!$IH$17)))</f>
        <v>0</v>
      </c>
      <c r="FP7" s="24">
        <f>IF(FP5&gt;CST_LTD_PERIODS,0,-(IPMT(CST_LTD_INTEREST/12,FP5,CST_LTD_PERIODS,  'CAPEX Schedule'!$IH$17)))</f>
        <v>0</v>
      </c>
      <c r="FQ7" s="24">
        <f>IF(FQ5&gt;CST_LTD_PERIODS,0,-(IPMT(CST_LTD_INTEREST/12,FQ5,CST_LTD_PERIODS,  'CAPEX Schedule'!$IH$17)))</f>
        <v>0</v>
      </c>
      <c r="FR7" s="24">
        <f>IF(FR5&gt;CST_LTD_PERIODS,0,-(IPMT(CST_LTD_INTEREST/12,FR5,CST_LTD_PERIODS,  'CAPEX Schedule'!$IH$17)))</f>
        <v>0</v>
      </c>
      <c r="FS7" s="24">
        <f>IF(FS5&gt;CST_LTD_PERIODS,0,-(IPMT(CST_LTD_INTEREST/12,FS5,CST_LTD_PERIODS,  'CAPEX Schedule'!$IH$17)))</f>
        <v>0</v>
      </c>
      <c r="FT7" s="24">
        <f>IF(FT5&gt;CST_LTD_PERIODS,0,-(IPMT(CST_LTD_INTEREST/12,FT5,CST_LTD_PERIODS,  'CAPEX Schedule'!$IH$17)))</f>
        <v>0</v>
      </c>
      <c r="FU7" s="24">
        <f>IF(FU5&gt;CST_LTD_PERIODS,0,-(IPMT(CST_LTD_INTEREST/12,FU5,CST_LTD_PERIODS,  'CAPEX Schedule'!$IH$17)))</f>
        <v>0</v>
      </c>
      <c r="FV7" s="24">
        <f>IF(FV5&gt;CST_LTD_PERIODS,0,-(IPMT(CST_LTD_INTEREST/12,FV5,CST_LTD_PERIODS,  'CAPEX Schedule'!$IH$17)))</f>
        <v>0</v>
      </c>
      <c r="FW7" s="24">
        <f>IF(FW5&gt;CST_LTD_PERIODS,0,-(IPMT(CST_LTD_INTEREST/12,FW5,CST_LTD_PERIODS,  'CAPEX Schedule'!$IH$17)))</f>
        <v>0</v>
      </c>
      <c r="FX7" s="24">
        <f>IF(FX5&gt;CST_LTD_PERIODS,0,-(IPMT(CST_LTD_INTEREST/12,FX5,CST_LTD_PERIODS,  'CAPEX Schedule'!$IH$17)))</f>
        <v>0</v>
      </c>
      <c r="FY7" s="24">
        <f>IF(FY5&gt;CST_LTD_PERIODS,0,-(IPMT(CST_LTD_INTEREST/12,FY5,CST_LTD_PERIODS,  'CAPEX Schedule'!$IH$17)))</f>
        <v>0</v>
      </c>
      <c r="FZ7" s="24">
        <f>IF(FZ5&gt;CST_LTD_PERIODS,0,-(IPMT(CST_LTD_INTEREST/12,FZ5,CST_LTD_PERIODS,  'CAPEX Schedule'!$IH$17)))</f>
        <v>0</v>
      </c>
      <c r="GA7" s="24">
        <f>IF(GA5&gt;CST_LTD_PERIODS,0,-(IPMT(CST_LTD_INTEREST/12,GA5,CST_LTD_PERIODS,  'CAPEX Schedule'!$IH$17)))</f>
        <v>0</v>
      </c>
      <c r="GB7" s="24">
        <f>IF(GB5&gt;CST_LTD_PERIODS,0,-(IPMT(CST_LTD_INTEREST/12,GB5,CST_LTD_PERIODS,  'CAPEX Schedule'!$IH$17)))</f>
        <v>0</v>
      </c>
      <c r="GC7" s="24">
        <f>IF(GC5&gt;CST_LTD_PERIODS,0,-(IPMT(CST_LTD_INTEREST/12,GC5,CST_LTD_PERIODS,  'CAPEX Schedule'!$IH$17)))</f>
        <v>0</v>
      </c>
      <c r="GD7" s="24">
        <f>IF(GD5&gt;CST_LTD_PERIODS,0,-(IPMT(CST_LTD_INTEREST/12,GD5,CST_LTD_PERIODS,  'CAPEX Schedule'!$IH$17)))</f>
        <v>0</v>
      </c>
      <c r="GE7" s="24">
        <f>IF(GE5&gt;CST_LTD_PERIODS,0,-(IPMT(CST_LTD_INTEREST/12,GE5,CST_LTD_PERIODS,  'CAPEX Schedule'!$IH$17)))</f>
        <v>0</v>
      </c>
      <c r="GF7" s="24">
        <f>IF(GF5&gt;CST_LTD_PERIODS,0,-(IPMT(CST_LTD_INTEREST/12,GF5,CST_LTD_PERIODS,  'CAPEX Schedule'!$IH$17)))</f>
        <v>0</v>
      </c>
      <c r="GG7" s="24">
        <f>IF(GG5&gt;CST_LTD_PERIODS,0,-(IPMT(CST_LTD_INTEREST/12,GG5,CST_LTD_PERIODS,  'CAPEX Schedule'!$IH$17)))</f>
        <v>0</v>
      </c>
      <c r="GH7" s="24">
        <f>IF(GH5&gt;CST_LTD_PERIODS,0,-(IPMT(CST_LTD_INTEREST/12,GH5,CST_LTD_PERIODS,  'CAPEX Schedule'!$IH$17)))</f>
        <v>0</v>
      </c>
      <c r="GI7" s="24">
        <f>IF(GI5&gt;CST_LTD_PERIODS,0,-(IPMT(CST_LTD_INTEREST/12,GI5,CST_LTD_PERIODS,  'CAPEX Schedule'!$IH$17)))</f>
        <v>0</v>
      </c>
      <c r="GJ7" s="24">
        <f>IF(GJ5&gt;CST_LTD_PERIODS,0,-(IPMT(CST_LTD_INTEREST/12,GJ5,CST_LTD_PERIODS,  'CAPEX Schedule'!$IH$17)))</f>
        <v>0</v>
      </c>
      <c r="GK7" s="24">
        <f>IF(GK5&gt;CST_LTD_PERIODS,0,-(IPMT(CST_LTD_INTEREST/12,GK5,CST_LTD_PERIODS,  'CAPEX Schedule'!$IH$17)))</f>
        <v>0</v>
      </c>
      <c r="GL7" s="24">
        <f>IF(GL5&gt;CST_LTD_PERIODS,0,-(IPMT(CST_LTD_INTEREST/12,GL5,CST_LTD_PERIODS,  'CAPEX Schedule'!$IH$17)))</f>
        <v>0</v>
      </c>
      <c r="GM7" s="24">
        <f>IF(GM5&gt;CST_LTD_PERIODS,0,-(IPMT(CST_LTD_INTEREST/12,GM5,CST_LTD_PERIODS,  'CAPEX Schedule'!$IH$17)))</f>
        <v>0</v>
      </c>
      <c r="GN7" s="24">
        <f>IF(GN5&gt;CST_LTD_PERIODS,0,-(IPMT(CST_LTD_INTEREST/12,GN5,CST_LTD_PERIODS,  'CAPEX Schedule'!$IH$17)))</f>
        <v>0</v>
      </c>
      <c r="GO7" s="24">
        <f>IF(GO5&gt;CST_LTD_PERIODS,0,-(IPMT(CST_LTD_INTEREST/12,GO5,CST_LTD_PERIODS,  'CAPEX Schedule'!$IH$17)))</f>
        <v>0</v>
      </c>
      <c r="GP7" s="24">
        <f>IF(GP5&gt;CST_LTD_PERIODS,0,-(IPMT(CST_LTD_INTEREST/12,GP5,CST_LTD_PERIODS,  'CAPEX Schedule'!$IH$17)))</f>
        <v>0</v>
      </c>
      <c r="GQ7" s="24">
        <f>IF(GQ5&gt;CST_LTD_PERIODS,0,-(IPMT(CST_LTD_INTEREST/12,GQ5,CST_LTD_PERIODS,  'CAPEX Schedule'!$IH$17)))</f>
        <v>0</v>
      </c>
      <c r="GR7" s="24">
        <f>IF(GR5&gt;CST_LTD_PERIODS,0,-(IPMT(CST_LTD_INTEREST/12,GR5,CST_LTD_PERIODS,  'CAPEX Schedule'!$IH$17)))</f>
        <v>0</v>
      </c>
      <c r="GS7" s="24">
        <f>IF(GS5&gt;CST_LTD_PERIODS,0,-(IPMT(CST_LTD_INTEREST/12,GS5,CST_LTD_PERIODS,  'CAPEX Schedule'!$IH$17)))</f>
        <v>0</v>
      </c>
      <c r="GT7" s="24">
        <f>IF(GT5&gt;CST_LTD_PERIODS,0,-(IPMT(CST_LTD_INTEREST/12,GT5,CST_LTD_PERIODS,  'CAPEX Schedule'!$IH$17)))</f>
        <v>0</v>
      </c>
      <c r="GU7" s="24">
        <f>IF(GU5&gt;CST_LTD_PERIODS,0,-(IPMT(CST_LTD_INTEREST/12,GU5,CST_LTD_PERIODS,  'CAPEX Schedule'!$IH$17)))</f>
        <v>0</v>
      </c>
      <c r="GV7" s="24">
        <f>IF(GV5&gt;CST_LTD_PERIODS,0,-(IPMT(CST_LTD_INTEREST/12,GV5,CST_LTD_PERIODS,  'CAPEX Schedule'!$IH$17)))</f>
        <v>0</v>
      </c>
      <c r="GW7" s="24">
        <f>IF(GW5&gt;CST_LTD_PERIODS,0,-(IPMT(CST_LTD_INTEREST/12,GW5,CST_LTD_PERIODS,  'CAPEX Schedule'!$IH$17)))</f>
        <v>0</v>
      </c>
      <c r="GX7" s="24">
        <f>IF(GX5&gt;CST_LTD_PERIODS,0,-(IPMT(CST_LTD_INTEREST/12,GX5,CST_LTD_PERIODS,  'CAPEX Schedule'!$IH$17)))</f>
        <v>0</v>
      </c>
      <c r="GY7" s="24">
        <f>IF(GY5&gt;CST_LTD_PERIODS,0,-(IPMT(CST_LTD_INTEREST/12,GY5,CST_LTD_PERIODS,  'CAPEX Schedule'!$IH$17)))</f>
        <v>0</v>
      </c>
      <c r="GZ7" s="24">
        <f>IF(GZ5&gt;CST_LTD_PERIODS,0,-(IPMT(CST_LTD_INTEREST/12,GZ5,CST_LTD_PERIODS,  'CAPEX Schedule'!$IH$17)))</f>
        <v>0</v>
      </c>
      <c r="HA7" s="24">
        <f>IF(HA5&gt;CST_LTD_PERIODS,0,-(IPMT(CST_LTD_INTEREST/12,HA5,CST_LTD_PERIODS,  'CAPEX Schedule'!$IH$17)))</f>
        <v>0</v>
      </c>
      <c r="HB7" s="24">
        <f>IF(HB5&gt;CST_LTD_PERIODS,0,-(IPMT(CST_LTD_INTEREST/12,HB5,CST_LTD_PERIODS,  'CAPEX Schedule'!$IH$17)))</f>
        <v>0</v>
      </c>
      <c r="HC7" s="24">
        <f>IF(HC5&gt;CST_LTD_PERIODS,0,-(IPMT(CST_LTD_INTEREST/12,HC5,CST_LTD_PERIODS,  'CAPEX Schedule'!$IH$17)))</f>
        <v>0</v>
      </c>
      <c r="HD7" s="24">
        <f>IF(HD5&gt;CST_LTD_PERIODS,0,-(IPMT(CST_LTD_INTEREST/12,HD5,CST_LTD_PERIODS,  'CAPEX Schedule'!$IH$17)))</f>
        <v>0</v>
      </c>
      <c r="HE7" s="24">
        <f>IF(HE5&gt;CST_LTD_PERIODS,0,-(IPMT(CST_LTD_INTEREST/12,HE5,CST_LTD_PERIODS,  'CAPEX Schedule'!$IH$17)))</f>
        <v>0</v>
      </c>
      <c r="HF7" s="24">
        <f>IF(HF5&gt;CST_LTD_PERIODS,0,-(IPMT(CST_LTD_INTEREST/12,HF5,CST_LTD_PERIODS,  'CAPEX Schedule'!$IH$17)))</f>
        <v>0</v>
      </c>
      <c r="HG7" s="24">
        <f>IF(HG5&gt;CST_LTD_PERIODS,0,-(IPMT(CST_LTD_INTEREST/12,HG5,CST_LTD_PERIODS,  'CAPEX Schedule'!$IH$17)))</f>
        <v>0</v>
      </c>
      <c r="HH7" s="24">
        <f>IF(HH5&gt;CST_LTD_PERIODS,0,-(IPMT(CST_LTD_INTEREST/12,HH5,CST_LTD_PERIODS,  'CAPEX Schedule'!$IH$17)))</f>
        <v>0</v>
      </c>
      <c r="HI7" s="24">
        <f>IF(HI5&gt;CST_LTD_PERIODS,0,-(IPMT(CST_LTD_INTEREST/12,HI5,CST_LTD_PERIODS,  'CAPEX Schedule'!$IH$17)))</f>
        <v>0</v>
      </c>
      <c r="HJ7" s="24">
        <f>IF(HJ5&gt;CST_LTD_PERIODS,0,-(IPMT(CST_LTD_INTEREST/12,HJ5,CST_LTD_PERIODS,  'CAPEX Schedule'!$IH$17)))</f>
        <v>0</v>
      </c>
      <c r="HK7" s="24">
        <f>IF(HK5&gt;CST_LTD_PERIODS,0,-(IPMT(CST_LTD_INTEREST/12,HK5,CST_LTD_PERIODS,  'CAPEX Schedule'!$IH$17)))</f>
        <v>0</v>
      </c>
      <c r="HL7" s="24">
        <f>IF(HL5&gt;CST_LTD_PERIODS,0,-(IPMT(CST_LTD_INTEREST/12,HL5,CST_LTD_PERIODS,  'CAPEX Schedule'!$IH$17)))</f>
        <v>0</v>
      </c>
      <c r="HM7" s="24">
        <f>IF(HM5&gt;CST_LTD_PERIODS,0,-(IPMT(CST_LTD_INTEREST/12,HM5,CST_LTD_PERIODS,  'CAPEX Schedule'!$IH$17)))</f>
        <v>0</v>
      </c>
      <c r="HN7" s="24">
        <f>IF(HN5&gt;CST_LTD_PERIODS,0,-(IPMT(CST_LTD_INTEREST/12,HN5,CST_LTD_PERIODS,  'CAPEX Schedule'!$IH$17)))</f>
        <v>0</v>
      </c>
      <c r="HO7" s="24">
        <f>IF(HO5&gt;CST_LTD_PERIODS,0,-(IPMT(CST_LTD_INTEREST/12,HO5,CST_LTD_PERIODS,  'CAPEX Schedule'!$IH$17)))</f>
        <v>0</v>
      </c>
      <c r="HP7" s="24">
        <f>IF(HP5&gt;CST_LTD_PERIODS,0,-(IPMT(CST_LTD_INTEREST/12,HP5,CST_LTD_PERIODS,  'CAPEX Schedule'!$IH$17)))</f>
        <v>0</v>
      </c>
      <c r="HQ7" s="24">
        <f>IF(HQ5&gt;CST_LTD_PERIODS,0,-(IPMT(CST_LTD_INTEREST/12,HQ5,CST_LTD_PERIODS,  'CAPEX Schedule'!$IH$17)))</f>
        <v>0</v>
      </c>
      <c r="HR7" s="24">
        <f>IF(HR5&gt;CST_LTD_PERIODS,0,-(IPMT(CST_LTD_INTEREST/12,HR5,CST_LTD_PERIODS,  'CAPEX Schedule'!$IH$17)))</f>
        <v>0</v>
      </c>
      <c r="HS7" s="24">
        <f>IF(HS5&gt;CST_LTD_PERIODS,0,-(IPMT(CST_LTD_INTEREST/12,HS5,CST_LTD_PERIODS,  'CAPEX Schedule'!$IH$17)))</f>
        <v>0</v>
      </c>
      <c r="HT7" s="24">
        <f>IF(HT5&gt;CST_LTD_PERIODS,0,-(IPMT(CST_LTD_INTEREST/12,HT5,CST_LTD_PERIODS,  'CAPEX Schedule'!$IH$17)))</f>
        <v>0</v>
      </c>
      <c r="HU7" s="24">
        <f>IF(HU5&gt;CST_LTD_PERIODS,0,-(IPMT(CST_LTD_INTEREST/12,HU5,CST_LTD_PERIODS,  'CAPEX Schedule'!$IH$17)))</f>
        <v>0</v>
      </c>
      <c r="HV7" s="24">
        <f>IF(HV5&gt;CST_LTD_PERIODS,0,-(IPMT(CST_LTD_INTEREST/12,HV5,CST_LTD_PERIODS,  'CAPEX Schedule'!$IH$17)))</f>
        <v>0</v>
      </c>
      <c r="HW7" s="24">
        <f>IF(HW5&gt;CST_LTD_PERIODS,0,-(IPMT(CST_LTD_INTEREST/12,HW5,CST_LTD_PERIODS,  'CAPEX Schedule'!$IH$17)))</f>
        <v>0</v>
      </c>
      <c r="HX7" s="24">
        <f>IF(HX5&gt;CST_LTD_PERIODS,0,-(IPMT(CST_LTD_INTEREST/12,HX5,CST_LTD_PERIODS,  'CAPEX Schedule'!$IH$17)))</f>
        <v>0</v>
      </c>
      <c r="HY7" s="24">
        <f>IF(HY5&gt;CST_LTD_PERIODS,0,-(IPMT(CST_LTD_INTEREST/12,HY5,CST_LTD_PERIODS,  'CAPEX Schedule'!$IH$17)))</f>
        <v>0</v>
      </c>
      <c r="HZ7" s="24">
        <f>IF(HZ5&gt;CST_LTD_PERIODS,0,-(IPMT(CST_LTD_INTEREST/12,HZ5,CST_LTD_PERIODS,  'CAPEX Schedule'!$IH$17)))</f>
        <v>0</v>
      </c>
      <c r="IA7" s="24">
        <f>IF(IA5&gt;CST_LTD_PERIODS,0,-(IPMT(CST_LTD_INTEREST/12,IA5,CST_LTD_PERIODS,  'CAPEX Schedule'!$IH$17)))</f>
        <v>0</v>
      </c>
      <c r="IB7" s="24">
        <f>IF(IB5&gt;CST_LTD_PERIODS,0,-(IPMT(CST_LTD_INTEREST/12,IB5,CST_LTD_PERIODS,  'CAPEX Schedule'!$IH$17)))</f>
        <v>0</v>
      </c>
      <c r="IC7" s="24">
        <f>IF(IC5&gt;CST_LTD_PERIODS,0,-(IPMT(CST_LTD_INTEREST/12,IC5,CST_LTD_PERIODS,  'CAPEX Schedule'!$IH$17)))</f>
        <v>0</v>
      </c>
      <c r="ID7" s="24">
        <f>IF(ID5&gt;CST_LTD_PERIODS,0,-(IPMT(CST_LTD_INTEREST/12,ID5,CST_LTD_PERIODS,  'CAPEX Schedule'!$IH$17)))</f>
        <v>0</v>
      </c>
      <c r="IE7" s="24">
        <f>IF(IE5&gt;CST_LTD_PERIODS,0,-(IPMT(CST_LTD_INTEREST/12,IE5,CST_LTD_PERIODS,  'CAPEX Schedule'!$IH$17)))</f>
        <v>0</v>
      </c>
      <c r="IF7" s="24">
        <f>IF(IF5&gt;CST_LTD_PERIODS,0,-(IPMT(CST_LTD_INTEREST/12,IF5,CST_LTD_PERIODS,  'CAPEX Schedule'!$IH$17)))</f>
        <v>0</v>
      </c>
      <c r="IG7" s="24">
        <f>IF(IG5&gt;CST_LTD_PERIODS,0,-(IPMT(CST_LTD_INTEREST/12,IG5,CST_LTD_PERIODS,  'CAPEX Schedule'!$IH$17)))</f>
        <v>0</v>
      </c>
      <c r="IH7" s="24">
        <f>IF(IH5&gt;CST_LTD_PERIODS,0,-(IPMT(CST_LTD_INTEREST/12,IH5,CST_LTD_PERIODS,  'CAPEX Schedule'!$IH$17)))</f>
        <v>0</v>
      </c>
    </row>
    <row r="8" spans="1:242" x14ac:dyDescent="0.45">
      <c r="A8" s="888" t="s">
        <v>245</v>
      </c>
      <c r="B8" s="889"/>
      <c r="C8" s="72">
        <f>SUM(C6:C7)</f>
        <v>9407647.3473562002</v>
      </c>
      <c r="D8" s="72">
        <f t="shared" ref="D8:BO8" si="0">SUM(D6:D7)</f>
        <v>9407647.3473562002</v>
      </c>
      <c r="E8" s="72">
        <f t="shared" si="0"/>
        <v>9407647.3473562002</v>
      </c>
      <c r="F8" s="72">
        <f t="shared" si="0"/>
        <v>9407647.3473562021</v>
      </c>
      <c r="G8" s="72">
        <f t="shared" si="0"/>
        <v>9407647.3473562002</v>
      </c>
      <c r="H8" s="72">
        <f t="shared" si="0"/>
        <v>9407647.3473562002</v>
      </c>
      <c r="I8" s="72">
        <f t="shared" si="0"/>
        <v>9407647.3473562002</v>
      </c>
      <c r="J8" s="72">
        <f t="shared" si="0"/>
        <v>9407647.3473562002</v>
      </c>
      <c r="K8" s="72">
        <f t="shared" si="0"/>
        <v>9407647.3473562002</v>
      </c>
      <c r="L8" s="72">
        <f t="shared" si="0"/>
        <v>9407647.3473562002</v>
      </c>
      <c r="M8" s="72">
        <f t="shared" si="0"/>
        <v>9407647.3473562002</v>
      </c>
      <c r="N8" s="72">
        <f t="shared" si="0"/>
        <v>9407647.3473562002</v>
      </c>
      <c r="O8" s="72">
        <f t="shared" si="0"/>
        <v>9407647.3473562021</v>
      </c>
      <c r="P8" s="72">
        <f t="shared" si="0"/>
        <v>9407647.3473562002</v>
      </c>
      <c r="Q8" s="72">
        <f t="shared" si="0"/>
        <v>9407647.3473562002</v>
      </c>
      <c r="R8" s="72">
        <f t="shared" si="0"/>
        <v>9407647.3473562002</v>
      </c>
      <c r="S8" s="72">
        <f t="shared" si="0"/>
        <v>9407647.3473562002</v>
      </c>
      <c r="T8" s="72">
        <f t="shared" si="0"/>
        <v>9407647.3473562002</v>
      </c>
      <c r="U8" s="72">
        <f t="shared" si="0"/>
        <v>9407647.3473562021</v>
      </c>
      <c r="V8" s="72">
        <f t="shared" si="0"/>
        <v>9407647.3473562002</v>
      </c>
      <c r="W8" s="72">
        <f t="shared" si="0"/>
        <v>9407647.3473562002</v>
      </c>
      <c r="X8" s="72">
        <f t="shared" si="0"/>
        <v>9407647.3473562002</v>
      </c>
      <c r="Y8" s="72">
        <f t="shared" si="0"/>
        <v>9407647.3473562021</v>
      </c>
      <c r="Z8" s="72">
        <f t="shared" si="0"/>
        <v>9407647.3473562002</v>
      </c>
      <c r="AA8" s="72">
        <f t="shared" si="0"/>
        <v>9407647.3473562002</v>
      </c>
      <c r="AB8" s="72">
        <f t="shared" si="0"/>
        <v>9407647.3473562002</v>
      </c>
      <c r="AC8" s="72">
        <f t="shared" si="0"/>
        <v>9407647.3473562002</v>
      </c>
      <c r="AD8" s="72">
        <f t="shared" si="0"/>
        <v>9407647.3473562002</v>
      </c>
      <c r="AE8" s="72">
        <f t="shared" si="0"/>
        <v>9407647.3473562002</v>
      </c>
      <c r="AF8" s="72">
        <f t="shared" si="0"/>
        <v>9407647.3473562002</v>
      </c>
      <c r="AG8" s="72">
        <f t="shared" si="0"/>
        <v>9407647.3473562002</v>
      </c>
      <c r="AH8" s="72">
        <f t="shared" si="0"/>
        <v>9407647.3473562002</v>
      </c>
      <c r="AI8" s="72">
        <f t="shared" si="0"/>
        <v>9407647.3473562002</v>
      </c>
      <c r="AJ8" s="72">
        <f t="shared" si="0"/>
        <v>9407647.3473562002</v>
      </c>
      <c r="AK8" s="72">
        <f t="shared" si="0"/>
        <v>9407647.3473562002</v>
      </c>
      <c r="AL8" s="72">
        <f t="shared" si="0"/>
        <v>9407647.3473562002</v>
      </c>
      <c r="AM8" s="72">
        <f t="shared" si="0"/>
        <v>9407647.3473562002</v>
      </c>
      <c r="AN8" s="72">
        <f t="shared" si="0"/>
        <v>9407647.3473562002</v>
      </c>
      <c r="AO8" s="72">
        <f t="shared" si="0"/>
        <v>9407647.3473562002</v>
      </c>
      <c r="AP8" s="72">
        <f t="shared" si="0"/>
        <v>9407647.3473562002</v>
      </c>
      <c r="AQ8" s="72">
        <f t="shared" si="0"/>
        <v>9407647.3473562002</v>
      </c>
      <c r="AR8" s="72">
        <f t="shared" si="0"/>
        <v>9407647.3473562002</v>
      </c>
      <c r="AS8" s="72">
        <f t="shared" si="0"/>
        <v>9407647.3473562002</v>
      </c>
      <c r="AT8" s="72">
        <f t="shared" si="0"/>
        <v>9407647.3473562002</v>
      </c>
      <c r="AU8" s="72">
        <f t="shared" si="0"/>
        <v>9407647.3473562002</v>
      </c>
      <c r="AV8" s="72">
        <f t="shared" si="0"/>
        <v>9407647.3473562002</v>
      </c>
      <c r="AW8" s="72">
        <f t="shared" si="0"/>
        <v>9407647.3473562002</v>
      </c>
      <c r="AX8" s="72">
        <f t="shared" si="0"/>
        <v>9407647.3473562002</v>
      </c>
      <c r="AY8" s="72">
        <f t="shared" si="0"/>
        <v>9407647.3473562002</v>
      </c>
      <c r="AZ8" s="72">
        <f t="shared" si="0"/>
        <v>9407647.3473562002</v>
      </c>
      <c r="BA8" s="72">
        <f t="shared" si="0"/>
        <v>9407647.3473562021</v>
      </c>
      <c r="BB8" s="72">
        <f t="shared" si="0"/>
        <v>9407647.3473562002</v>
      </c>
      <c r="BC8" s="72">
        <f t="shared" si="0"/>
        <v>9407647.3473562002</v>
      </c>
      <c r="BD8" s="72">
        <f t="shared" si="0"/>
        <v>9407647.3473562021</v>
      </c>
      <c r="BE8" s="72">
        <f t="shared" si="0"/>
        <v>9407647.3473562002</v>
      </c>
      <c r="BF8" s="72">
        <f t="shared" si="0"/>
        <v>9407647.3473562002</v>
      </c>
      <c r="BG8" s="72">
        <f t="shared" si="0"/>
        <v>9407647.3473562002</v>
      </c>
      <c r="BH8" s="72">
        <f t="shared" si="0"/>
        <v>9407647.3473562002</v>
      </c>
      <c r="BI8" s="72">
        <f t="shared" si="0"/>
        <v>9407647.3473562002</v>
      </c>
      <c r="BJ8" s="72">
        <f t="shared" si="0"/>
        <v>9407647.3473562021</v>
      </c>
      <c r="BK8" s="72">
        <f t="shared" si="0"/>
        <v>9407647.3473562002</v>
      </c>
      <c r="BL8" s="72">
        <f t="shared" si="0"/>
        <v>9407647.3473562021</v>
      </c>
      <c r="BM8" s="72">
        <f t="shared" si="0"/>
        <v>9407647.3473562002</v>
      </c>
      <c r="BN8" s="72">
        <f t="shared" si="0"/>
        <v>9407647.3473562021</v>
      </c>
      <c r="BO8" s="72">
        <f t="shared" si="0"/>
        <v>9407647.3473562002</v>
      </c>
      <c r="BP8" s="72">
        <f t="shared" ref="BP8:EA8" si="1">SUM(BP6:BP7)</f>
        <v>9407647.3473562002</v>
      </c>
      <c r="BQ8" s="72">
        <f t="shared" si="1"/>
        <v>9407647.3473562002</v>
      </c>
      <c r="BR8" s="72">
        <f t="shared" si="1"/>
        <v>9407647.3473562002</v>
      </c>
      <c r="BS8" s="72">
        <f t="shared" si="1"/>
        <v>9407647.3473562002</v>
      </c>
      <c r="BT8" s="72">
        <f t="shared" si="1"/>
        <v>9407647.3473562002</v>
      </c>
      <c r="BU8" s="72">
        <f t="shared" si="1"/>
        <v>9407647.3473562002</v>
      </c>
      <c r="BV8" s="72">
        <f t="shared" si="1"/>
        <v>9407647.3473562002</v>
      </c>
      <c r="BW8" s="72">
        <f t="shared" si="1"/>
        <v>9407647.3473562002</v>
      </c>
      <c r="BX8" s="72">
        <f t="shared" si="1"/>
        <v>9407647.3473562002</v>
      </c>
      <c r="BY8" s="72">
        <f t="shared" si="1"/>
        <v>9407647.3473562002</v>
      </c>
      <c r="BZ8" s="72">
        <f t="shared" si="1"/>
        <v>9407647.3473562021</v>
      </c>
      <c r="CA8" s="72">
        <f t="shared" si="1"/>
        <v>9407647.3473562002</v>
      </c>
      <c r="CB8" s="72">
        <f t="shared" si="1"/>
        <v>9407647.3473562002</v>
      </c>
      <c r="CC8" s="72">
        <f t="shared" si="1"/>
        <v>9407647.3473562002</v>
      </c>
      <c r="CD8" s="72">
        <f t="shared" si="1"/>
        <v>9407647.3473562002</v>
      </c>
      <c r="CE8" s="72">
        <f t="shared" si="1"/>
        <v>9407647.3473562002</v>
      </c>
      <c r="CF8" s="72">
        <f t="shared" si="1"/>
        <v>9407647.3473562002</v>
      </c>
      <c r="CG8" s="72">
        <f t="shared" si="1"/>
        <v>9407647.3473562002</v>
      </c>
      <c r="CH8" s="72">
        <f t="shared" si="1"/>
        <v>9407647.3473562002</v>
      </c>
      <c r="CI8" s="72">
        <f t="shared" si="1"/>
        <v>9407647.3473562002</v>
      </c>
      <c r="CJ8" s="72">
        <f t="shared" si="1"/>
        <v>9407647.3473562002</v>
      </c>
      <c r="CK8" s="72">
        <f t="shared" si="1"/>
        <v>9407647.3473562002</v>
      </c>
      <c r="CL8" s="72">
        <f t="shared" si="1"/>
        <v>9407647.3473562002</v>
      </c>
      <c r="CM8" s="72">
        <f t="shared" si="1"/>
        <v>9407647.3473562021</v>
      </c>
      <c r="CN8" s="72">
        <f t="shared" si="1"/>
        <v>9407647.3473562002</v>
      </c>
      <c r="CO8" s="72">
        <f t="shared" si="1"/>
        <v>9407647.3473562002</v>
      </c>
      <c r="CP8" s="72">
        <f t="shared" si="1"/>
        <v>9407647.3473562002</v>
      </c>
      <c r="CQ8" s="72">
        <f t="shared" si="1"/>
        <v>9407647.3473562002</v>
      </c>
      <c r="CR8" s="72">
        <f t="shared" si="1"/>
        <v>9407647.3473562002</v>
      </c>
      <c r="CS8" s="72">
        <f t="shared" si="1"/>
        <v>9407647.3473562002</v>
      </c>
      <c r="CT8" s="72">
        <f t="shared" si="1"/>
        <v>9407647.3473562002</v>
      </c>
      <c r="CU8" s="72">
        <f t="shared" si="1"/>
        <v>9407647.3473562002</v>
      </c>
      <c r="CV8" s="72">
        <f t="shared" si="1"/>
        <v>9407647.3473562002</v>
      </c>
      <c r="CW8" s="72">
        <f t="shared" si="1"/>
        <v>9407647.3473562021</v>
      </c>
      <c r="CX8" s="72">
        <f t="shared" si="1"/>
        <v>9407647.3473562002</v>
      </c>
      <c r="CY8" s="72">
        <f t="shared" si="1"/>
        <v>9407647.3473562002</v>
      </c>
      <c r="CZ8" s="72">
        <f t="shared" si="1"/>
        <v>9407647.3473562002</v>
      </c>
      <c r="DA8" s="72">
        <f t="shared" si="1"/>
        <v>9407647.3473562002</v>
      </c>
      <c r="DB8" s="72">
        <f t="shared" si="1"/>
        <v>9407647.3473562002</v>
      </c>
      <c r="DC8" s="72">
        <f t="shared" si="1"/>
        <v>9407647.3473562002</v>
      </c>
      <c r="DD8" s="72">
        <f t="shared" si="1"/>
        <v>9407647.3473562021</v>
      </c>
      <c r="DE8" s="72">
        <f t="shared" si="1"/>
        <v>9407647.3473562002</v>
      </c>
      <c r="DF8" s="72">
        <f t="shared" si="1"/>
        <v>9407647.3473562002</v>
      </c>
      <c r="DG8" s="72">
        <f t="shared" si="1"/>
        <v>9407647.3473562002</v>
      </c>
      <c r="DH8" s="72">
        <f t="shared" si="1"/>
        <v>9407647.3473562002</v>
      </c>
      <c r="DI8" s="72">
        <f t="shared" si="1"/>
        <v>9407647.3473562002</v>
      </c>
      <c r="DJ8" s="72">
        <f t="shared" si="1"/>
        <v>9407647.3473562002</v>
      </c>
      <c r="DK8" s="72">
        <f t="shared" si="1"/>
        <v>9407647.3473562002</v>
      </c>
      <c r="DL8" s="72">
        <f t="shared" si="1"/>
        <v>9407647.3473562021</v>
      </c>
      <c r="DM8" s="72">
        <f t="shared" si="1"/>
        <v>9407647.3473562021</v>
      </c>
      <c r="DN8" s="72">
        <f t="shared" si="1"/>
        <v>9407647.3473562002</v>
      </c>
      <c r="DO8" s="72">
        <f t="shared" si="1"/>
        <v>9407647.3473562021</v>
      </c>
      <c r="DP8" s="72">
        <f t="shared" si="1"/>
        <v>9407647.3473562002</v>
      </c>
      <c r="DQ8" s="72">
        <f t="shared" si="1"/>
        <v>9407647.3473562021</v>
      </c>
      <c r="DR8" s="72">
        <f t="shared" si="1"/>
        <v>9407647.3473562021</v>
      </c>
      <c r="DS8" s="72">
        <f t="shared" si="1"/>
        <v>0</v>
      </c>
      <c r="DT8" s="72">
        <f t="shared" si="1"/>
        <v>0</v>
      </c>
      <c r="DU8" s="72">
        <f t="shared" si="1"/>
        <v>0</v>
      </c>
      <c r="DV8" s="72">
        <f t="shared" si="1"/>
        <v>0</v>
      </c>
      <c r="DW8" s="72">
        <f t="shared" si="1"/>
        <v>0</v>
      </c>
      <c r="DX8" s="72">
        <f t="shared" si="1"/>
        <v>0</v>
      </c>
      <c r="DY8" s="72">
        <f t="shared" si="1"/>
        <v>0</v>
      </c>
      <c r="DZ8" s="72">
        <f t="shared" si="1"/>
        <v>0</v>
      </c>
      <c r="EA8" s="72">
        <f t="shared" si="1"/>
        <v>0</v>
      </c>
      <c r="EB8" s="72">
        <f t="shared" ref="EB8:GI8" si="2">SUM(EB6:EB7)</f>
        <v>0</v>
      </c>
      <c r="EC8" s="72">
        <f t="shared" si="2"/>
        <v>0</v>
      </c>
      <c r="ED8" s="72">
        <f t="shared" si="2"/>
        <v>0</v>
      </c>
      <c r="EE8" s="72">
        <f t="shared" si="2"/>
        <v>0</v>
      </c>
      <c r="EF8" s="72">
        <f t="shared" si="2"/>
        <v>0</v>
      </c>
      <c r="EG8" s="72">
        <f t="shared" si="2"/>
        <v>0</v>
      </c>
      <c r="EH8" s="72">
        <f t="shared" si="2"/>
        <v>0</v>
      </c>
      <c r="EI8" s="72">
        <f t="shared" si="2"/>
        <v>0</v>
      </c>
      <c r="EJ8" s="72">
        <f t="shared" si="2"/>
        <v>0</v>
      </c>
      <c r="EK8" s="72">
        <f t="shared" si="2"/>
        <v>0</v>
      </c>
      <c r="EL8" s="72">
        <f t="shared" si="2"/>
        <v>0</v>
      </c>
      <c r="EM8" s="72">
        <f t="shared" si="2"/>
        <v>0</v>
      </c>
      <c r="EN8" s="72">
        <f t="shared" si="2"/>
        <v>0</v>
      </c>
      <c r="EO8" s="72">
        <f t="shared" si="2"/>
        <v>0</v>
      </c>
      <c r="EP8" s="72">
        <f t="shared" si="2"/>
        <v>0</v>
      </c>
      <c r="EQ8" s="72">
        <f t="shared" si="2"/>
        <v>0</v>
      </c>
      <c r="ER8" s="72">
        <f t="shared" si="2"/>
        <v>0</v>
      </c>
      <c r="ES8" s="72">
        <f t="shared" si="2"/>
        <v>0</v>
      </c>
      <c r="ET8" s="72">
        <f t="shared" si="2"/>
        <v>0</v>
      </c>
      <c r="EU8" s="72">
        <f t="shared" si="2"/>
        <v>0</v>
      </c>
      <c r="EV8" s="72">
        <f t="shared" si="2"/>
        <v>0</v>
      </c>
      <c r="EW8" s="72">
        <f t="shared" si="2"/>
        <v>0</v>
      </c>
      <c r="EX8" s="72">
        <f t="shared" si="2"/>
        <v>0</v>
      </c>
      <c r="EY8" s="72">
        <f t="shared" si="2"/>
        <v>0</v>
      </c>
      <c r="EZ8" s="72">
        <f t="shared" si="2"/>
        <v>0</v>
      </c>
      <c r="FA8" s="72">
        <f t="shared" si="2"/>
        <v>0</v>
      </c>
      <c r="FB8" s="72">
        <f t="shared" si="2"/>
        <v>0</v>
      </c>
      <c r="FC8" s="72">
        <f t="shared" si="2"/>
        <v>0</v>
      </c>
      <c r="FD8" s="72">
        <f t="shared" si="2"/>
        <v>0</v>
      </c>
      <c r="FE8" s="72">
        <f t="shared" si="2"/>
        <v>0</v>
      </c>
      <c r="FF8" s="72">
        <f t="shared" si="2"/>
        <v>0</v>
      </c>
      <c r="FG8" s="72">
        <f t="shared" si="2"/>
        <v>0</v>
      </c>
      <c r="FH8" s="72">
        <f t="shared" si="2"/>
        <v>0</v>
      </c>
      <c r="FI8" s="72">
        <f t="shared" si="2"/>
        <v>0</v>
      </c>
      <c r="FJ8" s="72">
        <f t="shared" si="2"/>
        <v>0</v>
      </c>
      <c r="FK8" s="72">
        <f t="shared" si="2"/>
        <v>0</v>
      </c>
      <c r="FL8" s="72">
        <f t="shared" si="2"/>
        <v>0</v>
      </c>
      <c r="FM8" s="72">
        <f t="shared" si="2"/>
        <v>0</v>
      </c>
      <c r="FN8" s="72">
        <f t="shared" si="2"/>
        <v>0</v>
      </c>
      <c r="FO8" s="72">
        <f t="shared" si="2"/>
        <v>0</v>
      </c>
      <c r="FP8" s="72">
        <f t="shared" si="2"/>
        <v>0</v>
      </c>
      <c r="FQ8" s="72">
        <f t="shared" si="2"/>
        <v>0</v>
      </c>
      <c r="FR8" s="72">
        <f t="shared" si="2"/>
        <v>0</v>
      </c>
      <c r="FS8" s="72">
        <f t="shared" si="2"/>
        <v>0</v>
      </c>
      <c r="FT8" s="72">
        <f t="shared" si="2"/>
        <v>0</v>
      </c>
      <c r="FU8" s="72">
        <f t="shared" si="2"/>
        <v>0</v>
      </c>
      <c r="FV8" s="72">
        <f t="shared" si="2"/>
        <v>0</v>
      </c>
      <c r="FW8" s="72">
        <f t="shared" si="2"/>
        <v>0</v>
      </c>
      <c r="FX8" s="72">
        <f t="shared" si="2"/>
        <v>0</v>
      </c>
      <c r="FY8" s="72">
        <f t="shared" si="2"/>
        <v>0</v>
      </c>
      <c r="FZ8" s="72">
        <f t="shared" si="2"/>
        <v>0</v>
      </c>
      <c r="GA8" s="72">
        <f t="shared" si="2"/>
        <v>0</v>
      </c>
      <c r="GB8" s="72">
        <f t="shared" si="2"/>
        <v>0</v>
      </c>
      <c r="GC8" s="72">
        <f t="shared" si="2"/>
        <v>0</v>
      </c>
      <c r="GD8" s="72">
        <f t="shared" si="2"/>
        <v>0</v>
      </c>
      <c r="GE8" s="72">
        <f t="shared" si="2"/>
        <v>0</v>
      </c>
      <c r="GF8" s="72">
        <f t="shared" si="2"/>
        <v>0</v>
      </c>
      <c r="GG8" s="72">
        <f t="shared" si="2"/>
        <v>0</v>
      </c>
      <c r="GH8" s="72">
        <f t="shared" si="2"/>
        <v>0</v>
      </c>
      <c r="GI8" s="72">
        <f t="shared" si="2"/>
        <v>0</v>
      </c>
      <c r="GJ8" s="72">
        <f t="shared" ref="GJ8:IH8" si="3">SUM(GJ6:GJ7)</f>
        <v>0</v>
      </c>
      <c r="GK8" s="72">
        <f t="shared" si="3"/>
        <v>0</v>
      </c>
      <c r="GL8" s="72">
        <f t="shared" si="3"/>
        <v>0</v>
      </c>
      <c r="GM8" s="72">
        <f t="shared" si="3"/>
        <v>0</v>
      </c>
      <c r="GN8" s="72">
        <f t="shared" si="3"/>
        <v>0</v>
      </c>
      <c r="GO8" s="72">
        <f t="shared" si="3"/>
        <v>0</v>
      </c>
      <c r="GP8" s="72">
        <f t="shared" si="3"/>
        <v>0</v>
      </c>
      <c r="GQ8" s="72">
        <f t="shared" si="3"/>
        <v>0</v>
      </c>
      <c r="GR8" s="72">
        <f t="shared" si="3"/>
        <v>0</v>
      </c>
      <c r="GS8" s="72">
        <f t="shared" si="3"/>
        <v>0</v>
      </c>
      <c r="GT8" s="72">
        <f t="shared" si="3"/>
        <v>0</v>
      </c>
      <c r="GU8" s="72">
        <f t="shared" si="3"/>
        <v>0</v>
      </c>
      <c r="GV8" s="72">
        <f t="shared" si="3"/>
        <v>0</v>
      </c>
      <c r="GW8" s="72">
        <f t="shared" si="3"/>
        <v>0</v>
      </c>
      <c r="GX8" s="72">
        <f t="shared" si="3"/>
        <v>0</v>
      </c>
      <c r="GY8" s="72">
        <f t="shared" si="3"/>
        <v>0</v>
      </c>
      <c r="GZ8" s="72">
        <f t="shared" si="3"/>
        <v>0</v>
      </c>
      <c r="HA8" s="72">
        <f t="shared" si="3"/>
        <v>0</v>
      </c>
      <c r="HB8" s="72">
        <f t="shared" si="3"/>
        <v>0</v>
      </c>
      <c r="HC8" s="72">
        <f t="shared" si="3"/>
        <v>0</v>
      </c>
      <c r="HD8" s="72">
        <f t="shared" si="3"/>
        <v>0</v>
      </c>
      <c r="HE8" s="72">
        <f t="shared" si="3"/>
        <v>0</v>
      </c>
      <c r="HF8" s="72">
        <f t="shared" si="3"/>
        <v>0</v>
      </c>
      <c r="HG8" s="72">
        <f t="shared" si="3"/>
        <v>0</v>
      </c>
      <c r="HH8" s="72">
        <f t="shared" si="3"/>
        <v>0</v>
      </c>
      <c r="HI8" s="72">
        <f t="shared" si="3"/>
        <v>0</v>
      </c>
      <c r="HJ8" s="72">
        <f t="shared" si="3"/>
        <v>0</v>
      </c>
      <c r="HK8" s="72">
        <f t="shared" si="3"/>
        <v>0</v>
      </c>
      <c r="HL8" s="72">
        <f t="shared" si="3"/>
        <v>0</v>
      </c>
      <c r="HM8" s="72">
        <f t="shared" si="3"/>
        <v>0</v>
      </c>
      <c r="HN8" s="72">
        <f t="shared" si="3"/>
        <v>0</v>
      </c>
      <c r="HO8" s="72">
        <f t="shared" si="3"/>
        <v>0</v>
      </c>
      <c r="HP8" s="72">
        <f t="shared" si="3"/>
        <v>0</v>
      </c>
      <c r="HQ8" s="72">
        <f t="shared" si="3"/>
        <v>0</v>
      </c>
      <c r="HR8" s="72">
        <f t="shared" si="3"/>
        <v>0</v>
      </c>
      <c r="HS8" s="72">
        <f t="shared" si="3"/>
        <v>0</v>
      </c>
      <c r="HT8" s="72">
        <f t="shared" si="3"/>
        <v>0</v>
      </c>
      <c r="HU8" s="72">
        <f t="shared" si="3"/>
        <v>0</v>
      </c>
      <c r="HV8" s="72">
        <f t="shared" si="3"/>
        <v>0</v>
      </c>
      <c r="HW8" s="72">
        <f t="shared" si="3"/>
        <v>0</v>
      </c>
      <c r="HX8" s="72">
        <f t="shared" si="3"/>
        <v>0</v>
      </c>
      <c r="HY8" s="72">
        <f t="shared" si="3"/>
        <v>0</v>
      </c>
      <c r="HZ8" s="72">
        <f t="shared" si="3"/>
        <v>0</v>
      </c>
      <c r="IA8" s="72">
        <f t="shared" si="3"/>
        <v>0</v>
      </c>
      <c r="IB8" s="72">
        <f t="shared" si="3"/>
        <v>0</v>
      </c>
      <c r="IC8" s="72">
        <f t="shared" si="3"/>
        <v>0</v>
      </c>
      <c r="ID8" s="72">
        <f t="shared" si="3"/>
        <v>0</v>
      </c>
      <c r="IE8" s="72">
        <f t="shared" si="3"/>
        <v>0</v>
      </c>
      <c r="IF8" s="72">
        <f t="shared" si="3"/>
        <v>0</v>
      </c>
      <c r="IG8" s="72">
        <f t="shared" si="3"/>
        <v>0</v>
      </c>
      <c r="IH8" s="72">
        <f t="shared" si="3"/>
        <v>0</v>
      </c>
    </row>
    <row r="9" spans="1:242" x14ac:dyDescent="0.45">
      <c r="A9" s="893" t="s">
        <v>252</v>
      </c>
      <c r="B9" s="894"/>
      <c r="C9" s="24">
        <f>'CAPEX Schedule'!$IH$17-C6</f>
        <v>823597542.94556284</v>
      </c>
      <c r="D9" s="24">
        <f t="shared" ref="D9:AI9" si="4">C9-D6</f>
        <v>818651048.95582843</v>
      </c>
      <c r="E9" s="24">
        <f t="shared" si="4"/>
        <v>813677761.45698297</v>
      </c>
      <c r="F9" s="24">
        <f t="shared" si="4"/>
        <v>808677535.31751871</v>
      </c>
      <c r="G9" s="24">
        <f t="shared" si="4"/>
        <v>803650224.61979902</v>
      </c>
      <c r="H9" s="24">
        <f t="shared" si="4"/>
        <v>798595682.6558001</v>
      </c>
      <c r="I9" s="24">
        <f t="shared" si="4"/>
        <v>793513761.92282951</v>
      </c>
      <c r="J9" s="24">
        <f t="shared" si="4"/>
        <v>788404314.11922193</v>
      </c>
      <c r="K9" s="24">
        <f t="shared" si="4"/>
        <v>783267190.14001155</v>
      </c>
      <c r="L9" s="24">
        <f t="shared" si="4"/>
        <v>778102240.07258046</v>
      </c>
      <c r="M9" s="24">
        <f t="shared" si="4"/>
        <v>772909313.19228411</v>
      </c>
      <c r="N9" s="24">
        <f t="shared" si="4"/>
        <v>767688257.95805275</v>
      </c>
      <c r="O9" s="24">
        <f t="shared" si="4"/>
        <v>762438922.00796938</v>
      </c>
      <c r="P9" s="24">
        <f t="shared" si="4"/>
        <v>757161152.15482306</v>
      </c>
      <c r="Q9" s="24">
        <f t="shared" si="4"/>
        <v>751854794.38163877</v>
      </c>
      <c r="R9" s="24">
        <f t="shared" si="4"/>
        <v>746519693.83718312</v>
      </c>
      <c r="S9" s="24">
        <f t="shared" si="4"/>
        <v>741155694.83144498</v>
      </c>
      <c r="T9" s="24">
        <f t="shared" si="4"/>
        <v>735762640.83109248</v>
      </c>
      <c r="U9" s="24">
        <f t="shared" si="4"/>
        <v>730340374.45490468</v>
      </c>
      <c r="V9" s="24">
        <f t="shared" si="4"/>
        <v>724888737.46917915</v>
      </c>
      <c r="W9" s="24">
        <f t="shared" si="4"/>
        <v>719407570.78311431</v>
      </c>
      <c r="X9" s="24">
        <f t="shared" si="4"/>
        <v>713896714.44416666</v>
      </c>
      <c r="Y9" s="24">
        <f t="shared" si="4"/>
        <v>708356007.63338304</v>
      </c>
      <c r="Z9" s="24">
        <f t="shared" si="4"/>
        <v>702785288.66070771</v>
      </c>
      <c r="AA9" s="24">
        <f t="shared" si="4"/>
        <v>697184394.96026373</v>
      </c>
      <c r="AB9" s="24">
        <f t="shared" si="4"/>
        <v>691553163.08560896</v>
      </c>
      <c r="AC9" s="24">
        <f t="shared" si="4"/>
        <v>685891428.70496643</v>
      </c>
      <c r="AD9" s="24">
        <f t="shared" si="4"/>
        <v>680199026.59642875</v>
      </c>
      <c r="AE9" s="24">
        <f t="shared" si="4"/>
        <v>674475790.6431365</v>
      </c>
      <c r="AF9" s="24">
        <f t="shared" si="4"/>
        <v>668721553.82843065</v>
      </c>
      <c r="AG9" s="24">
        <f t="shared" si="4"/>
        <v>662936148.23097849</v>
      </c>
      <c r="AH9" s="24">
        <f t="shared" si="4"/>
        <v>657119405.01987338</v>
      </c>
      <c r="AI9" s="24">
        <f t="shared" si="4"/>
        <v>651271154.4497081</v>
      </c>
      <c r="AJ9" s="24">
        <f t="shared" ref="AJ9:BO9" si="5">AI9-AJ6</f>
        <v>645391225.8556211</v>
      </c>
      <c r="AK9" s="24">
        <f t="shared" si="5"/>
        <v>639479447.64831614</v>
      </c>
      <c r="AL9" s="24">
        <f t="shared" si="5"/>
        <v>633535647.30905497</v>
      </c>
      <c r="AM9" s="24">
        <f t="shared" si="5"/>
        <v>627559651.38462281</v>
      </c>
      <c r="AN9" s="24">
        <f t="shared" si="5"/>
        <v>621551285.48226666</v>
      </c>
      <c r="AO9" s="24">
        <f t="shared" si="5"/>
        <v>615510374.26460612</v>
      </c>
      <c r="AP9" s="24">
        <f t="shared" si="5"/>
        <v>609436741.44451654</v>
      </c>
      <c r="AQ9" s="24">
        <f t="shared" si="5"/>
        <v>603330209.77998483</v>
      </c>
      <c r="AR9" s="24">
        <f t="shared" si="5"/>
        <v>597190601.06893682</v>
      </c>
      <c r="AS9" s="24">
        <f t="shared" si="5"/>
        <v>591017736.14403737</v>
      </c>
      <c r="AT9" s="24">
        <f t="shared" si="5"/>
        <v>584811434.86746132</v>
      </c>
      <c r="AU9" s="24">
        <f t="shared" si="5"/>
        <v>578571516.12563717</v>
      </c>
      <c r="AV9" s="24">
        <f t="shared" si="5"/>
        <v>572297797.8239615</v>
      </c>
      <c r="AW9" s="24">
        <f t="shared" si="5"/>
        <v>565990096.8814851</v>
      </c>
      <c r="AX9" s="24">
        <f t="shared" si="5"/>
        <v>559648229.22557032</v>
      </c>
      <c r="AY9" s="24">
        <f t="shared" si="5"/>
        <v>553272009.78651929</v>
      </c>
      <c r="AZ9" s="24">
        <f t="shared" si="5"/>
        <v>546861252.49217343</v>
      </c>
      <c r="BA9" s="24">
        <f t="shared" si="5"/>
        <v>540415770.26248312</v>
      </c>
      <c r="BB9" s="24">
        <f t="shared" si="5"/>
        <v>533935375.00404871</v>
      </c>
      <c r="BC9" s="24">
        <f t="shared" si="5"/>
        <v>527419877.60463113</v>
      </c>
      <c r="BD9" s="24">
        <f t="shared" si="5"/>
        <v>520869087.92763335</v>
      </c>
      <c r="BE9" s="24">
        <f t="shared" si="5"/>
        <v>514282814.80655181</v>
      </c>
      <c r="BF9" s="24">
        <f t="shared" si="5"/>
        <v>507660866.03939778</v>
      </c>
      <c r="BG9" s="24">
        <f t="shared" si="5"/>
        <v>501003048.38308829</v>
      </c>
      <c r="BH9" s="24">
        <f t="shared" si="5"/>
        <v>494309167.54780716</v>
      </c>
      <c r="BI9" s="24">
        <f t="shared" si="5"/>
        <v>487579028.1913349</v>
      </c>
      <c r="BJ9" s="24">
        <f t="shared" si="5"/>
        <v>480812433.91334844</v>
      </c>
      <c r="BK9" s="24">
        <f t="shared" si="5"/>
        <v>474009187.24968952</v>
      </c>
      <c r="BL9" s="24">
        <f t="shared" si="5"/>
        <v>467169089.66660249</v>
      </c>
      <c r="BM9" s="24">
        <f t="shared" si="5"/>
        <v>460291941.5549404</v>
      </c>
      <c r="BN9" s="24">
        <f t="shared" si="5"/>
        <v>453377542.22434014</v>
      </c>
      <c r="BO9" s="24">
        <f t="shared" si="5"/>
        <v>446425689.89736581</v>
      </c>
      <c r="BP9" s="24">
        <f t="shared" ref="BP9:CU9" si="6">BO9-BP6</f>
        <v>439436181.70362031</v>
      </c>
      <c r="BQ9" s="24">
        <f t="shared" si="6"/>
        <v>432408813.67382538</v>
      </c>
      <c r="BR9" s="24">
        <f t="shared" si="6"/>
        <v>425343380.73386908</v>
      </c>
      <c r="BS9" s="24">
        <f t="shared" si="6"/>
        <v>418239676.69882131</v>
      </c>
      <c r="BT9" s="24">
        <f t="shared" si="6"/>
        <v>411097494.26691705</v>
      </c>
      <c r="BU9" s="24">
        <f t="shared" si="6"/>
        <v>403916625.01350665</v>
      </c>
      <c r="BV9" s="24">
        <f t="shared" si="6"/>
        <v>396696859.38497359</v>
      </c>
      <c r="BW9" s="24">
        <f t="shared" si="6"/>
        <v>389437986.69261932</v>
      </c>
      <c r="BX9" s="24">
        <f t="shared" si="6"/>
        <v>382139795.10651481</v>
      </c>
      <c r="BY9" s="24">
        <f t="shared" si="6"/>
        <v>374802071.64931887</v>
      </c>
      <c r="BZ9" s="24">
        <f t="shared" si="6"/>
        <v>367424602.19006318</v>
      </c>
      <c r="CA9" s="24">
        <f t="shared" si="6"/>
        <v>360007171.43790317</v>
      </c>
      <c r="CB9" s="24">
        <f t="shared" si="6"/>
        <v>352549562.9358356</v>
      </c>
      <c r="CC9" s="24">
        <f t="shared" si="6"/>
        <v>345051559.05438185</v>
      </c>
      <c r="CD9" s="24">
        <f t="shared" si="6"/>
        <v>337512940.98523688</v>
      </c>
      <c r="CE9" s="24">
        <f t="shared" si="6"/>
        <v>329933488.73488402</v>
      </c>
      <c r="CF9" s="24">
        <f t="shared" si="6"/>
        <v>322312981.11817509</v>
      </c>
      <c r="CG9" s="24">
        <f t="shared" si="6"/>
        <v>314651195.7518757</v>
      </c>
      <c r="CH9" s="24">
        <f t="shared" si="6"/>
        <v>306947909.04817551</v>
      </c>
      <c r="CI9" s="24">
        <f t="shared" si="6"/>
        <v>299202896.20816362</v>
      </c>
      <c r="CJ9" s="24">
        <f t="shared" si="6"/>
        <v>291415931.21526831</v>
      </c>
      <c r="CK9" s="24">
        <f t="shared" si="6"/>
        <v>283586786.8286615</v>
      </c>
      <c r="CL9" s="24">
        <f t="shared" si="6"/>
        <v>275715234.57662719</v>
      </c>
      <c r="CM9" s="24">
        <f t="shared" si="6"/>
        <v>267801044.74989438</v>
      </c>
      <c r="CN9" s="24">
        <f t="shared" si="6"/>
        <v>259843986.39493343</v>
      </c>
      <c r="CO9" s="24">
        <f t="shared" si="6"/>
        <v>251843827.30721647</v>
      </c>
      <c r="CP9" s="24">
        <f t="shared" si="6"/>
        <v>243800334.02444103</v>
      </c>
      <c r="CQ9" s="24">
        <f t="shared" si="6"/>
        <v>235713271.81971723</v>
      </c>
      <c r="CR9" s="24">
        <f t="shared" si="6"/>
        <v>227582404.69471782</v>
      </c>
      <c r="CS9" s="24">
        <f t="shared" si="6"/>
        <v>219407495.37279135</v>
      </c>
      <c r="CT9" s="24">
        <f t="shared" si="6"/>
        <v>211188305.29203779</v>
      </c>
      <c r="CU9" s="24">
        <f t="shared" si="6"/>
        <v>202924594.5983468</v>
      </c>
      <c r="CV9" s="24">
        <f t="shared" ref="CV9:EA9" si="7">CU9-CV6</f>
        <v>194616122.13839832</v>
      </c>
      <c r="CW9" s="24">
        <f t="shared" si="7"/>
        <v>186262645.4526251</v>
      </c>
      <c r="CX9" s="24">
        <f t="shared" si="7"/>
        <v>177863920.76813728</v>
      </c>
      <c r="CY9" s="24">
        <f t="shared" si="7"/>
        <v>169419702.9916085</v>
      </c>
      <c r="CZ9" s="24">
        <f t="shared" si="7"/>
        <v>160929745.70212352</v>
      </c>
      <c r="DA9" s="24">
        <f t="shared" si="7"/>
        <v>152393801.14398715</v>
      </c>
      <c r="DB9" s="24">
        <f t="shared" si="7"/>
        <v>143811620.21949422</v>
      </c>
      <c r="DC9" s="24">
        <f t="shared" si="7"/>
        <v>135182952.48166028</v>
      </c>
      <c r="DD9" s="24">
        <f t="shared" si="7"/>
        <v>126507546.12691307</v>
      </c>
      <c r="DE9" s="24">
        <f t="shared" si="7"/>
        <v>117785147.98774432</v>
      </c>
      <c r="DF9" s="24">
        <f t="shared" si="7"/>
        <v>109015503.52532174</v>
      </c>
      <c r="DG9" s="24">
        <f t="shared" si="7"/>
        <v>100198356.82206103</v>
      </c>
      <c r="DH9" s="24">
        <f t="shared" si="7"/>
        <v>91333450.574157655</v>
      </c>
      <c r="DI9" s="24">
        <f t="shared" si="7"/>
        <v>82420526.084078148</v>
      </c>
      <c r="DJ9" s="24">
        <f t="shared" si="7"/>
        <v>73459323.253010705</v>
      </c>
      <c r="DK9" s="24">
        <f t="shared" si="7"/>
        <v>64449580.573274978</v>
      </c>
      <c r="DL9" s="24">
        <f t="shared" si="7"/>
        <v>55391035.120690681</v>
      </c>
      <c r="DM9" s="24">
        <f t="shared" si="7"/>
        <v>46283422.546904892</v>
      </c>
      <c r="DN9" s="24">
        <f t="shared" si="7"/>
        <v>37126477.071677759</v>
      </c>
      <c r="DO9" s="24">
        <f t="shared" si="7"/>
        <v>27919931.475126479</v>
      </c>
      <c r="DP9" s="24">
        <f t="shared" si="7"/>
        <v>18663517.089927215</v>
      </c>
      <c r="DQ9" s="24">
        <f t="shared" si="7"/>
        <v>9356963.793474786</v>
      </c>
      <c r="DR9" s="24">
        <f t="shared" si="7"/>
        <v>-9.3132257461547852E-8</v>
      </c>
      <c r="DS9" s="24">
        <f t="shared" si="7"/>
        <v>-9.3132257461547852E-8</v>
      </c>
      <c r="DT9" s="24">
        <f t="shared" si="7"/>
        <v>-9.3132257461547852E-8</v>
      </c>
      <c r="DU9" s="24">
        <f t="shared" si="7"/>
        <v>-9.3132257461547852E-8</v>
      </c>
      <c r="DV9" s="24">
        <f t="shared" si="7"/>
        <v>-9.3132257461547852E-8</v>
      </c>
      <c r="DW9" s="24">
        <f t="shared" si="7"/>
        <v>-9.3132257461547852E-8</v>
      </c>
      <c r="DX9" s="24">
        <f t="shared" si="7"/>
        <v>-9.3132257461547852E-8</v>
      </c>
      <c r="DY9" s="24">
        <f t="shared" si="7"/>
        <v>-9.3132257461547852E-8</v>
      </c>
      <c r="DZ9" s="24">
        <f t="shared" si="7"/>
        <v>-9.3132257461547852E-8</v>
      </c>
      <c r="EA9" s="24">
        <f t="shared" si="7"/>
        <v>-9.3132257461547852E-8</v>
      </c>
      <c r="EB9" s="24">
        <f t="shared" ref="EB9:FG9" si="8">EA9-EB6</f>
        <v>-9.3132257461547852E-8</v>
      </c>
      <c r="EC9" s="24">
        <f t="shared" si="8"/>
        <v>-9.3132257461547852E-8</v>
      </c>
      <c r="ED9" s="24">
        <f t="shared" si="8"/>
        <v>-9.3132257461547852E-8</v>
      </c>
      <c r="EE9" s="24">
        <f t="shared" si="8"/>
        <v>-9.3132257461547852E-8</v>
      </c>
      <c r="EF9" s="24">
        <f t="shared" si="8"/>
        <v>-9.3132257461547852E-8</v>
      </c>
      <c r="EG9" s="24">
        <f t="shared" si="8"/>
        <v>-9.3132257461547852E-8</v>
      </c>
      <c r="EH9" s="24">
        <f t="shared" si="8"/>
        <v>-9.3132257461547852E-8</v>
      </c>
      <c r="EI9" s="24">
        <f t="shared" si="8"/>
        <v>-9.3132257461547852E-8</v>
      </c>
      <c r="EJ9" s="24">
        <f t="shared" si="8"/>
        <v>-9.3132257461547852E-8</v>
      </c>
      <c r="EK9" s="24">
        <f t="shared" si="8"/>
        <v>-9.3132257461547852E-8</v>
      </c>
      <c r="EL9" s="24">
        <f t="shared" si="8"/>
        <v>-9.3132257461547852E-8</v>
      </c>
      <c r="EM9" s="24">
        <f t="shared" si="8"/>
        <v>-9.3132257461547852E-8</v>
      </c>
      <c r="EN9" s="24">
        <f t="shared" si="8"/>
        <v>-9.3132257461547852E-8</v>
      </c>
      <c r="EO9" s="24">
        <f t="shared" si="8"/>
        <v>-9.3132257461547852E-8</v>
      </c>
      <c r="EP9" s="24">
        <f t="shared" si="8"/>
        <v>-9.3132257461547852E-8</v>
      </c>
      <c r="EQ9" s="24">
        <f t="shared" si="8"/>
        <v>-9.3132257461547852E-8</v>
      </c>
      <c r="ER9" s="24">
        <f t="shared" si="8"/>
        <v>-9.3132257461547852E-8</v>
      </c>
      <c r="ES9" s="24">
        <f t="shared" si="8"/>
        <v>-9.3132257461547852E-8</v>
      </c>
      <c r="ET9" s="24">
        <f t="shared" si="8"/>
        <v>-9.3132257461547852E-8</v>
      </c>
      <c r="EU9" s="24">
        <f t="shared" si="8"/>
        <v>-9.3132257461547852E-8</v>
      </c>
      <c r="EV9" s="24">
        <f t="shared" si="8"/>
        <v>-9.3132257461547852E-8</v>
      </c>
      <c r="EW9" s="24">
        <f t="shared" si="8"/>
        <v>-9.3132257461547852E-8</v>
      </c>
      <c r="EX9" s="24">
        <f t="shared" si="8"/>
        <v>-9.3132257461547852E-8</v>
      </c>
      <c r="EY9" s="24">
        <f t="shared" si="8"/>
        <v>-9.3132257461547852E-8</v>
      </c>
      <c r="EZ9" s="24">
        <f t="shared" si="8"/>
        <v>-9.3132257461547852E-8</v>
      </c>
      <c r="FA9" s="24">
        <f t="shared" si="8"/>
        <v>-9.3132257461547852E-8</v>
      </c>
      <c r="FB9" s="24">
        <f t="shared" si="8"/>
        <v>-9.3132257461547852E-8</v>
      </c>
      <c r="FC9" s="24">
        <f t="shared" si="8"/>
        <v>-9.3132257461547852E-8</v>
      </c>
      <c r="FD9" s="24">
        <f t="shared" si="8"/>
        <v>-9.3132257461547852E-8</v>
      </c>
      <c r="FE9" s="24">
        <f t="shared" si="8"/>
        <v>-9.3132257461547852E-8</v>
      </c>
      <c r="FF9" s="24">
        <f t="shared" si="8"/>
        <v>-9.3132257461547852E-8</v>
      </c>
      <c r="FG9" s="24">
        <f t="shared" si="8"/>
        <v>-9.3132257461547852E-8</v>
      </c>
      <c r="FH9" s="24">
        <f t="shared" ref="FH9:FZ9" si="9">FG9-FH6</f>
        <v>-9.3132257461547852E-8</v>
      </c>
      <c r="FI9" s="24">
        <f t="shared" si="9"/>
        <v>-9.3132257461547852E-8</v>
      </c>
      <c r="FJ9" s="24">
        <f t="shared" si="9"/>
        <v>-9.3132257461547852E-8</v>
      </c>
      <c r="FK9" s="24">
        <f t="shared" si="9"/>
        <v>-9.3132257461547852E-8</v>
      </c>
      <c r="FL9" s="24">
        <f t="shared" si="9"/>
        <v>-9.3132257461547852E-8</v>
      </c>
      <c r="FM9" s="24">
        <f t="shared" si="9"/>
        <v>-9.3132257461547852E-8</v>
      </c>
      <c r="FN9" s="24">
        <f t="shared" si="9"/>
        <v>-9.3132257461547852E-8</v>
      </c>
      <c r="FO9" s="24">
        <f t="shared" si="9"/>
        <v>-9.3132257461547852E-8</v>
      </c>
      <c r="FP9" s="24">
        <f t="shared" si="9"/>
        <v>-9.3132257461547852E-8</v>
      </c>
      <c r="FQ9" s="24">
        <f t="shared" si="9"/>
        <v>-9.3132257461547852E-8</v>
      </c>
      <c r="FR9" s="24">
        <f t="shared" si="9"/>
        <v>-9.3132257461547852E-8</v>
      </c>
      <c r="FS9" s="24">
        <f t="shared" si="9"/>
        <v>-9.3132257461547852E-8</v>
      </c>
      <c r="FT9" s="24">
        <f t="shared" si="9"/>
        <v>-9.3132257461547852E-8</v>
      </c>
      <c r="FU9" s="24">
        <f t="shared" si="9"/>
        <v>-9.3132257461547852E-8</v>
      </c>
      <c r="FV9" s="24">
        <f t="shared" si="9"/>
        <v>-9.3132257461547852E-8</v>
      </c>
      <c r="FW9" s="24">
        <f t="shared" si="9"/>
        <v>-9.3132257461547852E-8</v>
      </c>
      <c r="FX9" s="24">
        <f t="shared" si="9"/>
        <v>-9.3132257461547852E-8</v>
      </c>
      <c r="FY9" s="24">
        <f t="shared" si="9"/>
        <v>-9.3132257461547852E-8</v>
      </c>
      <c r="FZ9" s="24">
        <f t="shared" si="9"/>
        <v>-9.3132257461547852E-8</v>
      </c>
      <c r="GA9" s="24">
        <f t="shared" ref="GA9" si="10">FZ9-GA6</f>
        <v>-9.3132257461547852E-8</v>
      </c>
      <c r="GB9" s="24">
        <f t="shared" ref="GB9" si="11">GA9-GB6</f>
        <v>-9.3132257461547852E-8</v>
      </c>
      <c r="GC9" s="24">
        <f t="shared" ref="GC9" si="12">GB9-GC6</f>
        <v>-9.3132257461547852E-8</v>
      </c>
      <c r="GD9" s="24">
        <f t="shared" ref="GD9" si="13">GC9-GD6</f>
        <v>-9.3132257461547852E-8</v>
      </c>
      <c r="GE9" s="24">
        <f t="shared" ref="GE9" si="14">GD9-GE6</f>
        <v>-9.3132257461547852E-8</v>
      </c>
      <c r="GF9" s="24">
        <f t="shared" ref="GF9" si="15">GE9-GF6</f>
        <v>-9.3132257461547852E-8</v>
      </c>
      <c r="GG9" s="24">
        <f t="shared" ref="GG9" si="16">GF9-GG6</f>
        <v>-9.3132257461547852E-8</v>
      </c>
      <c r="GH9" s="24">
        <f t="shared" ref="GH9" si="17">GG9-GH6</f>
        <v>-9.3132257461547852E-8</v>
      </c>
      <c r="GI9" s="24">
        <f t="shared" ref="GI9" si="18">GH9-GI6</f>
        <v>-9.3132257461547852E-8</v>
      </c>
      <c r="GJ9" s="24">
        <f t="shared" ref="GJ9" si="19">GI9-GJ6</f>
        <v>-9.3132257461547852E-8</v>
      </c>
      <c r="GK9" s="24">
        <f t="shared" ref="GK9" si="20">GJ9-GK6</f>
        <v>-9.3132257461547852E-8</v>
      </c>
      <c r="GL9" s="24">
        <f t="shared" ref="GL9" si="21">GK9-GL6</f>
        <v>-9.3132257461547852E-8</v>
      </c>
      <c r="GM9" s="24">
        <f t="shared" ref="GM9" si="22">GL9-GM6</f>
        <v>-9.3132257461547852E-8</v>
      </c>
      <c r="GN9" s="24">
        <f t="shared" ref="GN9" si="23">GM9-GN6</f>
        <v>-9.3132257461547852E-8</v>
      </c>
      <c r="GO9" s="24">
        <f t="shared" ref="GO9" si="24">GN9-GO6</f>
        <v>-9.3132257461547852E-8</v>
      </c>
      <c r="GP9" s="24">
        <f t="shared" ref="GP9" si="25">GO9-GP6</f>
        <v>-9.3132257461547852E-8</v>
      </c>
      <c r="GQ9" s="24">
        <f t="shared" ref="GQ9" si="26">GP9-GQ6</f>
        <v>-9.3132257461547852E-8</v>
      </c>
      <c r="GR9" s="24">
        <f t="shared" ref="GR9" si="27">GQ9-GR6</f>
        <v>-9.3132257461547852E-8</v>
      </c>
      <c r="GS9" s="24">
        <f t="shared" ref="GS9" si="28">GR9-GS6</f>
        <v>-9.3132257461547852E-8</v>
      </c>
      <c r="GT9" s="24">
        <f t="shared" ref="GT9" si="29">GS9-GT6</f>
        <v>-9.3132257461547852E-8</v>
      </c>
      <c r="GU9" s="24">
        <f t="shared" ref="GU9" si="30">GT9-GU6</f>
        <v>-9.3132257461547852E-8</v>
      </c>
      <c r="GV9" s="24">
        <f t="shared" ref="GV9" si="31">GU9-GV6</f>
        <v>-9.3132257461547852E-8</v>
      </c>
      <c r="GW9" s="24">
        <f t="shared" ref="GW9" si="32">GV9-GW6</f>
        <v>-9.3132257461547852E-8</v>
      </c>
      <c r="GX9" s="24">
        <f t="shared" ref="GX9" si="33">GW9-GX6</f>
        <v>-9.3132257461547852E-8</v>
      </c>
      <c r="GY9" s="24">
        <f t="shared" ref="GY9" si="34">GX9-GY6</f>
        <v>-9.3132257461547852E-8</v>
      </c>
      <c r="GZ9" s="24">
        <f t="shared" ref="GZ9" si="35">GY9-GZ6</f>
        <v>-9.3132257461547852E-8</v>
      </c>
      <c r="HA9" s="24">
        <f t="shared" ref="HA9" si="36">GZ9-HA6</f>
        <v>-9.3132257461547852E-8</v>
      </c>
      <c r="HB9" s="24">
        <f t="shared" ref="HB9" si="37">HA9-HB6</f>
        <v>-9.3132257461547852E-8</v>
      </c>
      <c r="HC9" s="24">
        <f t="shared" ref="HC9" si="38">HB9-HC6</f>
        <v>-9.3132257461547852E-8</v>
      </c>
      <c r="HD9" s="24">
        <f t="shared" ref="HD9" si="39">HC9-HD6</f>
        <v>-9.3132257461547852E-8</v>
      </c>
      <c r="HE9" s="24">
        <f t="shared" ref="HE9" si="40">HD9-HE6</f>
        <v>-9.3132257461547852E-8</v>
      </c>
      <c r="HF9" s="24">
        <f t="shared" ref="HF9" si="41">HE9-HF6</f>
        <v>-9.3132257461547852E-8</v>
      </c>
      <c r="HG9" s="24">
        <f t="shared" ref="HG9" si="42">HF9-HG6</f>
        <v>-9.3132257461547852E-8</v>
      </c>
      <c r="HH9" s="24">
        <f t="shared" ref="HH9" si="43">HG9-HH6</f>
        <v>-9.3132257461547852E-8</v>
      </c>
      <c r="HI9" s="24">
        <f t="shared" ref="HI9" si="44">HH9-HI6</f>
        <v>-9.3132257461547852E-8</v>
      </c>
      <c r="HJ9" s="24">
        <f t="shared" ref="HJ9" si="45">HI9-HJ6</f>
        <v>-9.3132257461547852E-8</v>
      </c>
      <c r="HK9" s="24">
        <f t="shared" ref="HK9" si="46">HJ9-HK6</f>
        <v>-9.3132257461547852E-8</v>
      </c>
      <c r="HL9" s="24">
        <f t="shared" ref="HL9" si="47">HK9-HL6</f>
        <v>-9.3132257461547852E-8</v>
      </c>
      <c r="HM9" s="24">
        <f t="shared" ref="HM9" si="48">HL9-HM6</f>
        <v>-9.3132257461547852E-8</v>
      </c>
      <c r="HN9" s="24">
        <f t="shared" ref="HN9" si="49">HM9-HN6</f>
        <v>-9.3132257461547852E-8</v>
      </c>
      <c r="HO9" s="24">
        <f t="shared" ref="HO9" si="50">HN9-HO6</f>
        <v>-9.3132257461547852E-8</v>
      </c>
      <c r="HP9" s="24">
        <f t="shared" ref="HP9" si="51">HO9-HP6</f>
        <v>-9.3132257461547852E-8</v>
      </c>
      <c r="HQ9" s="24">
        <f t="shared" ref="HQ9" si="52">HP9-HQ6</f>
        <v>-9.3132257461547852E-8</v>
      </c>
      <c r="HR9" s="24">
        <f t="shared" ref="HR9" si="53">HQ9-HR6</f>
        <v>-9.3132257461547852E-8</v>
      </c>
      <c r="HS9" s="24">
        <f t="shared" ref="HS9" si="54">HR9-HS6</f>
        <v>-9.3132257461547852E-8</v>
      </c>
      <c r="HT9" s="24">
        <f t="shared" ref="HT9" si="55">HS9-HT6</f>
        <v>-9.3132257461547852E-8</v>
      </c>
      <c r="HU9" s="24">
        <f t="shared" ref="HU9" si="56">HT9-HU6</f>
        <v>-9.3132257461547852E-8</v>
      </c>
      <c r="HV9" s="24">
        <f t="shared" ref="HV9" si="57">HU9-HV6</f>
        <v>-9.3132257461547852E-8</v>
      </c>
      <c r="HW9" s="24">
        <f t="shared" ref="HW9" si="58">HV9-HW6</f>
        <v>-9.3132257461547852E-8</v>
      </c>
      <c r="HX9" s="24">
        <f t="shared" ref="HX9" si="59">HW9-HX6</f>
        <v>-9.3132257461547852E-8</v>
      </c>
      <c r="HY9" s="24">
        <f t="shared" ref="HY9" si="60">HX9-HY6</f>
        <v>-9.3132257461547852E-8</v>
      </c>
      <c r="HZ9" s="24">
        <f t="shared" ref="HZ9" si="61">HY9-HZ6</f>
        <v>-9.3132257461547852E-8</v>
      </c>
      <c r="IA9" s="24">
        <f t="shared" ref="IA9" si="62">HZ9-IA6</f>
        <v>-9.3132257461547852E-8</v>
      </c>
      <c r="IB9" s="24">
        <f t="shared" ref="IB9" si="63">IA9-IB6</f>
        <v>-9.3132257461547852E-8</v>
      </c>
      <c r="IC9" s="24">
        <f t="shared" ref="IC9" si="64">IB9-IC6</f>
        <v>-9.3132257461547852E-8</v>
      </c>
      <c r="ID9" s="24">
        <f t="shared" ref="ID9" si="65">IC9-ID6</f>
        <v>-9.3132257461547852E-8</v>
      </c>
      <c r="IE9" s="24">
        <f t="shared" ref="IE9" si="66">ID9-IE6</f>
        <v>-9.3132257461547852E-8</v>
      </c>
      <c r="IF9" s="24">
        <f t="shared" ref="IF9" si="67">IE9-IF6</f>
        <v>-9.3132257461547852E-8</v>
      </c>
      <c r="IG9" s="24">
        <f t="shared" ref="IG9" si="68">IF9-IG6</f>
        <v>-9.3132257461547852E-8</v>
      </c>
      <c r="IH9" s="24">
        <f t="shared" ref="IH9" si="69">IG9-IH6</f>
        <v>-9.3132257461547852E-8</v>
      </c>
    </row>
    <row r="10" spans="1:242" x14ac:dyDescent="0.45">
      <c r="A10" s="893" t="s">
        <v>254</v>
      </c>
      <c r="B10" s="89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row>
  </sheetData>
  <mergeCells count="28">
    <mergeCell ref="GA3:GL3"/>
    <mergeCell ref="GM3:GX3"/>
    <mergeCell ref="GY3:HJ3"/>
    <mergeCell ref="HK3:HV3"/>
    <mergeCell ref="HW3:IH3"/>
    <mergeCell ref="FC3:FN3"/>
    <mergeCell ref="FO3:FZ3"/>
    <mergeCell ref="A4:B4"/>
    <mergeCell ref="BK3:BV3"/>
    <mergeCell ref="BW3:CH3"/>
    <mergeCell ref="CI3:CT3"/>
    <mergeCell ref="CU3:DF3"/>
    <mergeCell ref="DG3:DR3"/>
    <mergeCell ref="DS3:ED3"/>
    <mergeCell ref="A3:B3"/>
    <mergeCell ref="C3:N3"/>
    <mergeCell ref="O3:Z3"/>
    <mergeCell ref="AA3:AL3"/>
    <mergeCell ref="AM3:AX3"/>
    <mergeCell ref="AY3:BJ3"/>
    <mergeCell ref="A10:B10"/>
    <mergeCell ref="EE3:EP3"/>
    <mergeCell ref="EQ3:FB3"/>
    <mergeCell ref="A6:B6"/>
    <mergeCell ref="A5:B5"/>
    <mergeCell ref="A7:B7"/>
    <mergeCell ref="A8:B8"/>
    <mergeCell ref="A9:B9"/>
  </mergeCells>
  <pageMargins left="0.7" right="0.7" top="0.75" bottom="0.75" header="0.3" footer="0.3"/>
  <pageSetup paperSize="9" orientation="portrait"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theme="7" tint="0.39997558519241921"/>
  </sheetPr>
  <dimension ref="A1:IH45"/>
  <sheetViews>
    <sheetView workbookViewId="0">
      <pane xSplit="2" ySplit="5" topLeftCell="C27" activePane="bottomRight" state="frozen"/>
      <selection activeCell="C22" sqref="C22"/>
      <selection pane="topRight" activeCell="C22" sqref="C22"/>
      <selection pane="bottomLeft" activeCell="C22" sqref="C22"/>
      <selection pane="bottomRight" activeCell="C6" sqref="C6"/>
    </sheetView>
  </sheetViews>
  <sheetFormatPr defaultRowHeight="14.25" x14ac:dyDescent="0.45"/>
  <cols>
    <col min="1" max="1" width="36.265625" customWidth="1"/>
    <col min="2" max="2" width="12.59765625" customWidth="1"/>
    <col min="3" max="242" width="12.86328125" customWidth="1"/>
  </cols>
  <sheetData>
    <row r="1" spans="1:242" ht="23.25" x14ac:dyDescent="0.7">
      <c r="A1" s="9" t="s">
        <v>259</v>
      </c>
      <c r="B1" s="9"/>
    </row>
    <row r="3" spans="1:242" x14ac:dyDescent="0.45">
      <c r="A3" s="888" t="s">
        <v>166</v>
      </c>
      <c r="B3" s="889"/>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row>
    <row r="4" spans="1:242" x14ac:dyDescent="0.45">
      <c r="A4" s="888" t="s">
        <v>167</v>
      </c>
      <c r="B4" s="889"/>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2" x14ac:dyDescent="0.45">
      <c r="A5" s="888" t="s">
        <v>253</v>
      </c>
      <c r="B5" s="889"/>
      <c r="C5" s="70">
        <v>1</v>
      </c>
      <c r="D5" s="71">
        <v>2</v>
      </c>
      <c r="E5" s="71">
        <v>3</v>
      </c>
      <c r="F5" s="70">
        <v>4</v>
      </c>
      <c r="G5" s="71">
        <v>5</v>
      </c>
      <c r="H5" s="71">
        <v>6</v>
      </c>
      <c r="I5" s="70">
        <v>7</v>
      </c>
      <c r="J5" s="71">
        <v>8</v>
      </c>
      <c r="K5" s="71">
        <v>9</v>
      </c>
      <c r="L5" s="70">
        <v>10</v>
      </c>
      <c r="M5" s="71">
        <v>11</v>
      </c>
      <c r="N5" s="71">
        <v>12</v>
      </c>
      <c r="O5" s="70">
        <v>13</v>
      </c>
      <c r="P5" s="71">
        <v>14</v>
      </c>
      <c r="Q5" s="71">
        <v>15</v>
      </c>
      <c r="R5" s="70">
        <v>16</v>
      </c>
      <c r="S5" s="71">
        <v>17</v>
      </c>
      <c r="T5" s="71">
        <v>18</v>
      </c>
      <c r="U5" s="70">
        <v>19</v>
      </c>
      <c r="V5" s="71">
        <v>20</v>
      </c>
      <c r="W5" s="71">
        <v>21</v>
      </c>
      <c r="X5" s="70">
        <v>22</v>
      </c>
      <c r="Y5" s="71">
        <v>23</v>
      </c>
      <c r="Z5" s="71">
        <v>24</v>
      </c>
      <c r="AA5" s="70">
        <v>25</v>
      </c>
      <c r="AB5" s="71">
        <v>26</v>
      </c>
      <c r="AC5" s="71">
        <v>27</v>
      </c>
      <c r="AD5" s="70">
        <v>28</v>
      </c>
      <c r="AE5" s="71">
        <v>29</v>
      </c>
      <c r="AF5" s="71">
        <v>30</v>
      </c>
      <c r="AG5" s="70">
        <v>31</v>
      </c>
      <c r="AH5" s="71">
        <v>32</v>
      </c>
      <c r="AI5" s="71">
        <v>33</v>
      </c>
      <c r="AJ5" s="70">
        <v>34</v>
      </c>
      <c r="AK5" s="71">
        <v>35</v>
      </c>
      <c r="AL5" s="71">
        <v>36</v>
      </c>
      <c r="AM5" s="70">
        <v>37</v>
      </c>
      <c r="AN5" s="71">
        <v>38</v>
      </c>
      <c r="AO5" s="71">
        <v>39</v>
      </c>
      <c r="AP5" s="70">
        <v>40</v>
      </c>
      <c r="AQ5" s="71">
        <v>41</v>
      </c>
      <c r="AR5" s="71">
        <v>42</v>
      </c>
      <c r="AS5" s="70">
        <v>43</v>
      </c>
      <c r="AT5" s="71">
        <v>44</v>
      </c>
      <c r="AU5" s="71">
        <v>45</v>
      </c>
      <c r="AV5" s="70">
        <v>46</v>
      </c>
      <c r="AW5" s="71">
        <v>47</v>
      </c>
      <c r="AX5" s="71">
        <v>48</v>
      </c>
      <c r="AY5" s="70">
        <v>49</v>
      </c>
      <c r="AZ5" s="71">
        <v>50</v>
      </c>
      <c r="BA5" s="71">
        <v>51</v>
      </c>
      <c r="BB5" s="70">
        <v>52</v>
      </c>
      <c r="BC5" s="71">
        <v>53</v>
      </c>
      <c r="BD5" s="71">
        <v>54</v>
      </c>
      <c r="BE5" s="70">
        <v>55</v>
      </c>
      <c r="BF5" s="71">
        <v>56</v>
      </c>
      <c r="BG5" s="71">
        <v>57</v>
      </c>
      <c r="BH5" s="70">
        <v>58</v>
      </c>
      <c r="BI5" s="71">
        <v>59</v>
      </c>
      <c r="BJ5" s="71">
        <v>60</v>
      </c>
      <c r="BK5" s="70">
        <v>61</v>
      </c>
      <c r="BL5" s="71">
        <v>62</v>
      </c>
      <c r="BM5" s="71">
        <v>63</v>
      </c>
      <c r="BN5" s="70">
        <v>64</v>
      </c>
      <c r="BO5" s="71">
        <v>65</v>
      </c>
      <c r="BP5" s="71">
        <v>66</v>
      </c>
      <c r="BQ5" s="70">
        <v>67</v>
      </c>
      <c r="BR5" s="71">
        <v>68</v>
      </c>
      <c r="BS5" s="71">
        <v>69</v>
      </c>
      <c r="BT5" s="70">
        <v>70</v>
      </c>
      <c r="BU5" s="71">
        <v>71</v>
      </c>
      <c r="BV5" s="71">
        <v>72</v>
      </c>
      <c r="BW5" s="70">
        <v>73</v>
      </c>
      <c r="BX5" s="71">
        <v>74</v>
      </c>
      <c r="BY5" s="71">
        <v>75</v>
      </c>
      <c r="BZ5" s="70">
        <v>76</v>
      </c>
      <c r="CA5" s="71">
        <v>77</v>
      </c>
      <c r="CB5" s="71">
        <v>78</v>
      </c>
      <c r="CC5" s="70">
        <v>79</v>
      </c>
      <c r="CD5" s="71">
        <v>80</v>
      </c>
      <c r="CE5" s="71">
        <v>81</v>
      </c>
      <c r="CF5" s="70">
        <v>82</v>
      </c>
      <c r="CG5" s="71">
        <v>83</v>
      </c>
      <c r="CH5" s="71">
        <v>84</v>
      </c>
      <c r="CI5" s="70">
        <v>85</v>
      </c>
      <c r="CJ5" s="71">
        <v>86</v>
      </c>
      <c r="CK5" s="71">
        <v>87</v>
      </c>
      <c r="CL5" s="70">
        <v>88</v>
      </c>
      <c r="CM5" s="71">
        <v>89</v>
      </c>
      <c r="CN5" s="71">
        <v>90</v>
      </c>
      <c r="CO5" s="70">
        <v>91</v>
      </c>
      <c r="CP5" s="71">
        <v>92</v>
      </c>
      <c r="CQ5" s="71">
        <v>93</v>
      </c>
      <c r="CR5" s="70">
        <v>94</v>
      </c>
      <c r="CS5" s="71">
        <v>95</v>
      </c>
      <c r="CT5" s="71">
        <v>96</v>
      </c>
      <c r="CU5" s="70">
        <v>97</v>
      </c>
      <c r="CV5" s="71">
        <v>98</v>
      </c>
      <c r="CW5" s="71">
        <v>99</v>
      </c>
      <c r="CX5" s="70">
        <v>100</v>
      </c>
      <c r="CY5" s="71">
        <v>101</v>
      </c>
      <c r="CZ5" s="71">
        <v>102</v>
      </c>
      <c r="DA5" s="70">
        <v>103</v>
      </c>
      <c r="DB5" s="71">
        <v>104</v>
      </c>
      <c r="DC5" s="71">
        <v>105</v>
      </c>
      <c r="DD5" s="70">
        <v>106</v>
      </c>
      <c r="DE5" s="71">
        <v>107</v>
      </c>
      <c r="DF5" s="71">
        <v>108</v>
      </c>
      <c r="DG5" s="70">
        <v>109</v>
      </c>
      <c r="DH5" s="71">
        <v>110</v>
      </c>
      <c r="DI5" s="71">
        <v>111</v>
      </c>
      <c r="DJ5" s="70">
        <v>112</v>
      </c>
      <c r="DK5" s="71">
        <v>113</v>
      </c>
      <c r="DL5" s="71">
        <v>114</v>
      </c>
      <c r="DM5" s="70">
        <v>115</v>
      </c>
      <c r="DN5" s="71">
        <v>116</v>
      </c>
      <c r="DO5" s="71">
        <v>117</v>
      </c>
      <c r="DP5" s="70">
        <v>118</v>
      </c>
      <c r="DQ5" s="71">
        <v>119</v>
      </c>
      <c r="DR5" s="71">
        <v>120</v>
      </c>
      <c r="DS5" s="70">
        <v>121</v>
      </c>
      <c r="DT5" s="71">
        <v>122</v>
      </c>
      <c r="DU5" s="71">
        <v>123</v>
      </c>
      <c r="DV5" s="70">
        <v>124</v>
      </c>
      <c r="DW5" s="71">
        <v>125</v>
      </c>
      <c r="DX5" s="71">
        <v>126</v>
      </c>
      <c r="DY5" s="70">
        <v>127</v>
      </c>
      <c r="DZ5" s="71">
        <v>128</v>
      </c>
      <c r="EA5" s="71">
        <v>129</v>
      </c>
      <c r="EB5" s="70">
        <v>130</v>
      </c>
      <c r="EC5" s="71">
        <v>131</v>
      </c>
      <c r="ED5" s="71">
        <v>132</v>
      </c>
      <c r="EE5" s="70">
        <v>133</v>
      </c>
      <c r="EF5" s="71">
        <v>134</v>
      </c>
      <c r="EG5" s="71">
        <v>135</v>
      </c>
      <c r="EH5" s="70">
        <v>136</v>
      </c>
      <c r="EI5" s="71">
        <v>137</v>
      </c>
      <c r="EJ5" s="71">
        <v>138</v>
      </c>
      <c r="EK5" s="70">
        <v>139</v>
      </c>
      <c r="EL5" s="71">
        <v>140</v>
      </c>
      <c r="EM5" s="71">
        <v>141</v>
      </c>
      <c r="EN5" s="70">
        <v>142</v>
      </c>
      <c r="EO5" s="71">
        <v>143</v>
      </c>
      <c r="EP5" s="71">
        <v>144</v>
      </c>
      <c r="EQ5" s="70">
        <v>145</v>
      </c>
      <c r="ER5" s="71">
        <v>146</v>
      </c>
      <c r="ES5" s="71">
        <v>147</v>
      </c>
      <c r="ET5" s="70">
        <v>148</v>
      </c>
      <c r="EU5" s="71">
        <v>149</v>
      </c>
      <c r="EV5" s="71">
        <v>150</v>
      </c>
      <c r="EW5" s="70">
        <v>151</v>
      </c>
      <c r="EX5" s="71">
        <v>152</v>
      </c>
      <c r="EY5" s="71">
        <v>153</v>
      </c>
      <c r="EZ5" s="70">
        <v>154</v>
      </c>
      <c r="FA5" s="71">
        <v>155</v>
      </c>
      <c r="FB5" s="71">
        <v>156</v>
      </c>
      <c r="FC5" s="70">
        <v>157</v>
      </c>
      <c r="FD5" s="71">
        <v>158</v>
      </c>
      <c r="FE5" s="71">
        <v>159</v>
      </c>
      <c r="FF5" s="70">
        <v>160</v>
      </c>
      <c r="FG5" s="71">
        <v>161</v>
      </c>
      <c r="FH5" s="71">
        <v>162</v>
      </c>
      <c r="FI5" s="70">
        <v>163</v>
      </c>
      <c r="FJ5" s="71">
        <v>164</v>
      </c>
      <c r="FK5" s="71">
        <v>165</v>
      </c>
      <c r="FL5" s="70">
        <v>166</v>
      </c>
      <c r="FM5" s="71">
        <v>167</v>
      </c>
      <c r="FN5" s="71">
        <v>168</v>
      </c>
      <c r="FO5" s="70">
        <v>169</v>
      </c>
      <c r="FP5" s="71">
        <v>170</v>
      </c>
      <c r="FQ5" s="71">
        <v>171</v>
      </c>
      <c r="FR5" s="70">
        <v>172</v>
      </c>
      <c r="FS5" s="71">
        <v>173</v>
      </c>
      <c r="FT5" s="71">
        <v>174</v>
      </c>
      <c r="FU5" s="70">
        <v>175</v>
      </c>
      <c r="FV5" s="71">
        <v>176</v>
      </c>
      <c r="FW5" s="71">
        <v>177</v>
      </c>
      <c r="FX5" s="70">
        <v>178</v>
      </c>
      <c r="FY5" s="71">
        <v>179</v>
      </c>
      <c r="FZ5" s="71">
        <v>180</v>
      </c>
      <c r="GA5" s="71">
        <v>181</v>
      </c>
      <c r="GB5" s="71">
        <v>182</v>
      </c>
      <c r="GC5" s="71">
        <v>183</v>
      </c>
      <c r="GD5" s="71">
        <v>184</v>
      </c>
      <c r="GE5" s="71">
        <v>185</v>
      </c>
      <c r="GF5" s="71">
        <v>186</v>
      </c>
      <c r="GG5" s="71">
        <v>187</v>
      </c>
      <c r="GH5" s="71">
        <v>188</v>
      </c>
      <c r="GI5" s="71">
        <v>189</v>
      </c>
      <c r="GJ5" s="71">
        <v>190</v>
      </c>
      <c r="GK5" s="71">
        <v>191</v>
      </c>
      <c r="GL5" s="71">
        <v>192</v>
      </c>
      <c r="GM5" s="71">
        <v>193</v>
      </c>
      <c r="GN5" s="71">
        <v>194</v>
      </c>
      <c r="GO5" s="71">
        <v>195</v>
      </c>
      <c r="GP5" s="71">
        <v>196</v>
      </c>
      <c r="GQ5" s="71">
        <v>197</v>
      </c>
      <c r="GR5" s="71">
        <v>198</v>
      </c>
      <c r="GS5" s="71">
        <v>199</v>
      </c>
      <c r="GT5" s="71">
        <v>200</v>
      </c>
      <c r="GU5" s="71">
        <v>201</v>
      </c>
      <c r="GV5" s="71">
        <v>202</v>
      </c>
      <c r="GW5" s="71">
        <v>203</v>
      </c>
      <c r="GX5" s="71">
        <v>204</v>
      </c>
      <c r="GY5" s="71">
        <v>205</v>
      </c>
      <c r="GZ5" s="71">
        <v>206</v>
      </c>
      <c r="HA5" s="71">
        <v>207</v>
      </c>
      <c r="HB5" s="71">
        <v>208</v>
      </c>
      <c r="HC5" s="71">
        <v>209</v>
      </c>
      <c r="HD5" s="71">
        <v>210</v>
      </c>
      <c r="HE5" s="71">
        <v>211</v>
      </c>
      <c r="HF5" s="71">
        <v>212</v>
      </c>
      <c r="HG5" s="71">
        <v>213</v>
      </c>
      <c r="HH5" s="71">
        <v>214</v>
      </c>
      <c r="HI5" s="71">
        <v>215</v>
      </c>
      <c r="HJ5" s="71">
        <v>216</v>
      </c>
      <c r="HK5" s="71">
        <v>217</v>
      </c>
      <c r="HL5" s="71">
        <v>218</v>
      </c>
      <c r="HM5" s="71">
        <v>219</v>
      </c>
      <c r="HN5" s="71">
        <v>220</v>
      </c>
      <c r="HO5" s="71">
        <v>221</v>
      </c>
      <c r="HP5" s="71">
        <v>222</v>
      </c>
      <c r="HQ5" s="71">
        <v>223</v>
      </c>
      <c r="HR5" s="71">
        <v>224</v>
      </c>
      <c r="HS5" s="71">
        <v>225</v>
      </c>
      <c r="HT5" s="71">
        <v>226</v>
      </c>
      <c r="HU5" s="71">
        <v>227</v>
      </c>
      <c r="HV5" s="71">
        <v>228</v>
      </c>
      <c r="HW5" s="71">
        <v>229</v>
      </c>
      <c r="HX5" s="71">
        <v>230</v>
      </c>
      <c r="HY5" s="71">
        <v>231</v>
      </c>
      <c r="HZ5" s="71">
        <v>232</v>
      </c>
      <c r="IA5" s="71">
        <v>233</v>
      </c>
      <c r="IB5" s="71">
        <v>234</v>
      </c>
      <c r="IC5" s="71">
        <v>235</v>
      </c>
      <c r="ID5" s="71">
        <v>236</v>
      </c>
      <c r="IE5" s="71">
        <v>237</v>
      </c>
      <c r="IF5" s="71">
        <v>238</v>
      </c>
      <c r="IG5" s="71">
        <v>239</v>
      </c>
      <c r="IH5" s="71">
        <v>240</v>
      </c>
    </row>
    <row r="6" spans="1:242" x14ac:dyDescent="0.45">
      <c r="A6" s="888" t="s">
        <v>260</v>
      </c>
      <c r="B6" s="889"/>
    </row>
    <row r="7" spans="1:242" x14ac:dyDescent="0.45">
      <c r="A7" s="895" t="s">
        <v>163</v>
      </c>
      <c r="B7" s="896"/>
      <c r="C7" s="81">
        <f>Revenue!C40</f>
        <v>0</v>
      </c>
      <c r="D7" s="81">
        <f>Revenue!D40</f>
        <v>0</v>
      </c>
      <c r="E7" s="81">
        <f>Revenue!E40</f>
        <v>0</v>
      </c>
      <c r="F7" s="81">
        <f>Revenue!F40</f>
        <v>0</v>
      </c>
      <c r="G7" s="81">
        <f>Revenue!G40</f>
        <v>0</v>
      </c>
      <c r="H7" s="81">
        <f>Revenue!H40</f>
        <v>0</v>
      </c>
      <c r="I7" s="81">
        <f>Revenue!I40</f>
        <v>0</v>
      </c>
      <c r="J7" s="81">
        <f>Revenue!J40</f>
        <v>0</v>
      </c>
      <c r="K7" s="81">
        <f>Revenue!K40</f>
        <v>0</v>
      </c>
      <c r="L7" s="81">
        <f>Revenue!L40</f>
        <v>0</v>
      </c>
      <c r="M7" s="81">
        <f>Revenue!M40</f>
        <v>0</v>
      </c>
      <c r="N7" s="81">
        <f>Revenue!N40</f>
        <v>0</v>
      </c>
      <c r="O7" s="81">
        <f>Revenue!O40</f>
        <v>0</v>
      </c>
      <c r="P7" s="81">
        <f>Revenue!P40</f>
        <v>0</v>
      </c>
      <c r="Q7" s="81">
        <f>Revenue!Q40</f>
        <v>0</v>
      </c>
      <c r="R7" s="81">
        <f>Revenue!R40</f>
        <v>0</v>
      </c>
      <c r="S7" s="81">
        <f>Revenue!S40</f>
        <v>0</v>
      </c>
      <c r="T7" s="81">
        <f>Revenue!T40</f>
        <v>0</v>
      </c>
      <c r="U7" s="81">
        <f>Revenue!U40</f>
        <v>0</v>
      </c>
      <c r="V7" s="81">
        <f>Revenue!V40</f>
        <v>0</v>
      </c>
      <c r="W7" s="81">
        <f>Revenue!W40</f>
        <v>0</v>
      </c>
      <c r="X7" s="81">
        <f>Revenue!X40</f>
        <v>0</v>
      </c>
      <c r="Y7" s="81">
        <f>Revenue!Y40</f>
        <v>0</v>
      </c>
      <c r="Z7" s="81">
        <f>Revenue!Z40</f>
        <v>0</v>
      </c>
      <c r="AA7" s="81">
        <f>Revenue!AA40</f>
        <v>4226884.5539999995</v>
      </c>
      <c r="AB7" s="81">
        <f>Revenue!AB40</f>
        <v>4226884.5539999995</v>
      </c>
      <c r="AC7" s="81">
        <f>Revenue!AC40</f>
        <v>4226884.5539999995</v>
      </c>
      <c r="AD7" s="81">
        <f>Revenue!AD40</f>
        <v>4226884.5539999995</v>
      </c>
      <c r="AE7" s="81">
        <f>Revenue!AE40</f>
        <v>4226884.5539999995</v>
      </c>
      <c r="AF7" s="81">
        <f>Revenue!AF40</f>
        <v>4226884.5539999995</v>
      </c>
      <c r="AG7" s="81">
        <f>Revenue!AG40</f>
        <v>4226884.5539999995</v>
      </c>
      <c r="AH7" s="81">
        <f>Revenue!AH40</f>
        <v>4226884.5539999995</v>
      </c>
      <c r="AI7" s="81">
        <f>Revenue!AI40</f>
        <v>4226884.5539999995</v>
      </c>
      <c r="AJ7" s="81">
        <f>Revenue!AJ40</f>
        <v>4226884.5539999995</v>
      </c>
      <c r="AK7" s="81">
        <f>Revenue!AK40</f>
        <v>4226884.5539999995</v>
      </c>
      <c r="AL7" s="81">
        <f>Revenue!AL40</f>
        <v>4226884.5539999995</v>
      </c>
      <c r="AM7" s="81">
        <f>Revenue!AM40</f>
        <v>7044807.5900000008</v>
      </c>
      <c r="AN7" s="81">
        <f>Revenue!AN40</f>
        <v>7044807.5900000008</v>
      </c>
      <c r="AO7" s="81">
        <f>Revenue!AO40</f>
        <v>7044807.5900000008</v>
      </c>
      <c r="AP7" s="81">
        <f>Revenue!AP40</f>
        <v>7044807.5900000008</v>
      </c>
      <c r="AQ7" s="81">
        <f>Revenue!AQ40</f>
        <v>7044807.5900000008</v>
      </c>
      <c r="AR7" s="81">
        <f>Revenue!AR40</f>
        <v>7044807.5900000008</v>
      </c>
      <c r="AS7" s="81">
        <f>Revenue!AS40</f>
        <v>7044807.5900000008</v>
      </c>
      <c r="AT7" s="81">
        <f>Revenue!AT40</f>
        <v>7044807.5900000008</v>
      </c>
      <c r="AU7" s="81">
        <f>Revenue!AU40</f>
        <v>7044807.5900000008</v>
      </c>
      <c r="AV7" s="81">
        <f>Revenue!AV40</f>
        <v>7044807.5900000008</v>
      </c>
      <c r="AW7" s="81">
        <f>Revenue!AW40</f>
        <v>7044807.5900000008</v>
      </c>
      <c r="AX7" s="81">
        <f>Revenue!AX40</f>
        <v>7044807.5900000008</v>
      </c>
      <c r="AY7" s="81">
        <f>Revenue!AY40</f>
        <v>10355867.157300001</v>
      </c>
      <c r="AZ7" s="81">
        <f>Revenue!AZ40</f>
        <v>10355867.157300001</v>
      </c>
      <c r="BA7" s="81">
        <f>Revenue!BA40</f>
        <v>10355867.157300001</v>
      </c>
      <c r="BB7" s="81">
        <f>Revenue!BB40</f>
        <v>10355867.157300001</v>
      </c>
      <c r="BC7" s="81">
        <f>Revenue!BC40</f>
        <v>10355867.157300001</v>
      </c>
      <c r="BD7" s="81">
        <f>Revenue!BD40</f>
        <v>10355867.157300001</v>
      </c>
      <c r="BE7" s="81">
        <f>Revenue!BE40</f>
        <v>10355867.157300001</v>
      </c>
      <c r="BF7" s="81">
        <f>Revenue!BF40</f>
        <v>10355867.157300001</v>
      </c>
      <c r="BG7" s="81">
        <f>Revenue!BG40</f>
        <v>10355867.157300001</v>
      </c>
      <c r="BH7" s="81">
        <f>Revenue!BH40</f>
        <v>10355867.157300001</v>
      </c>
      <c r="BI7" s="81">
        <f>Revenue!BI40</f>
        <v>10355867.157300001</v>
      </c>
      <c r="BJ7" s="81">
        <f>Revenue!BJ40</f>
        <v>10355867.157300001</v>
      </c>
      <c r="BK7" s="81">
        <f>Revenue!BK40</f>
        <v>12574981.548149999</v>
      </c>
      <c r="BL7" s="81">
        <f>Revenue!BL40</f>
        <v>12574981.548149999</v>
      </c>
      <c r="BM7" s="81">
        <f>Revenue!BM40</f>
        <v>12574981.548149999</v>
      </c>
      <c r="BN7" s="81">
        <f>Revenue!BN40</f>
        <v>12574981.548149999</v>
      </c>
      <c r="BO7" s="81">
        <f>Revenue!BO40</f>
        <v>12574981.548149999</v>
      </c>
      <c r="BP7" s="81">
        <f>Revenue!BP40</f>
        <v>12574981.548149999</v>
      </c>
      <c r="BQ7" s="81">
        <f>Revenue!BQ40</f>
        <v>12574981.548149999</v>
      </c>
      <c r="BR7" s="81">
        <f>Revenue!BR40</f>
        <v>12574981.548149999</v>
      </c>
      <c r="BS7" s="81">
        <f>Revenue!BS40</f>
        <v>12574981.548149999</v>
      </c>
      <c r="BT7" s="81">
        <f>Revenue!BT40</f>
        <v>12574981.548149999</v>
      </c>
      <c r="BU7" s="81">
        <f>Revenue!BU40</f>
        <v>12574981.548149999</v>
      </c>
      <c r="BV7" s="81">
        <f>Revenue!BV40</f>
        <v>12574981.548149999</v>
      </c>
      <c r="BW7" s="81">
        <f>Revenue!BW40</f>
        <v>13173790.193300001</v>
      </c>
      <c r="BX7" s="81">
        <f>Revenue!BX40</f>
        <v>13173790.193300001</v>
      </c>
      <c r="BY7" s="81">
        <f>Revenue!BY40</f>
        <v>13173790.193300001</v>
      </c>
      <c r="BZ7" s="81">
        <f>Revenue!BZ40</f>
        <v>13173790.193300001</v>
      </c>
      <c r="CA7" s="81">
        <f>Revenue!CA40</f>
        <v>13173790.193300001</v>
      </c>
      <c r="CB7" s="81">
        <f>Revenue!CB40</f>
        <v>13173790.193300001</v>
      </c>
      <c r="CC7" s="81">
        <f>Revenue!CC40</f>
        <v>13173790.193300001</v>
      </c>
      <c r="CD7" s="81">
        <f>Revenue!CD40</f>
        <v>13173790.193300001</v>
      </c>
      <c r="CE7" s="81">
        <f>Revenue!CE40</f>
        <v>13173790.193300001</v>
      </c>
      <c r="CF7" s="81">
        <f>Revenue!CF40</f>
        <v>13173790.193300001</v>
      </c>
      <c r="CG7" s="81">
        <f>Revenue!CG40</f>
        <v>13173790.193300001</v>
      </c>
      <c r="CH7" s="81">
        <f>Revenue!CH40</f>
        <v>13173790.193300001</v>
      </c>
      <c r="CI7" s="81">
        <f>Revenue!CI40</f>
        <v>13173790.193300001</v>
      </c>
      <c r="CJ7" s="81">
        <f>Revenue!CJ40</f>
        <v>13173790.193300001</v>
      </c>
      <c r="CK7" s="81">
        <f>Revenue!CK40</f>
        <v>13173790.193300001</v>
      </c>
      <c r="CL7" s="81">
        <f>Revenue!CL40</f>
        <v>13173790.193300001</v>
      </c>
      <c r="CM7" s="81">
        <f>Revenue!CM40</f>
        <v>13173790.193300001</v>
      </c>
      <c r="CN7" s="81">
        <f>Revenue!CN40</f>
        <v>13173790.193300001</v>
      </c>
      <c r="CO7" s="81">
        <f>Revenue!CO40</f>
        <v>13173790.193300001</v>
      </c>
      <c r="CP7" s="81">
        <f>Revenue!CP40</f>
        <v>13173790.193300001</v>
      </c>
      <c r="CQ7" s="81">
        <f>Revenue!CQ40</f>
        <v>13173790.193300001</v>
      </c>
      <c r="CR7" s="81">
        <f>Revenue!CR40</f>
        <v>13173790.193300001</v>
      </c>
      <c r="CS7" s="81">
        <f>Revenue!CS40</f>
        <v>13173790.193300001</v>
      </c>
      <c r="CT7" s="81">
        <f>Revenue!CT40</f>
        <v>13173790.193300001</v>
      </c>
      <c r="CU7" s="81">
        <f>Revenue!CU40</f>
        <v>13772598.838450005</v>
      </c>
      <c r="CV7" s="81">
        <f>Revenue!CV40</f>
        <v>13772598.838450005</v>
      </c>
      <c r="CW7" s="81">
        <f>Revenue!CW40</f>
        <v>13772598.838450005</v>
      </c>
      <c r="CX7" s="81">
        <f>Revenue!CX40</f>
        <v>13772598.838450005</v>
      </c>
      <c r="CY7" s="81">
        <f>Revenue!CY40</f>
        <v>13772598.838450005</v>
      </c>
      <c r="CZ7" s="81">
        <f>Revenue!CZ40</f>
        <v>13772598.838450005</v>
      </c>
      <c r="DA7" s="81">
        <f>Revenue!DA40</f>
        <v>13772598.838450005</v>
      </c>
      <c r="DB7" s="81">
        <f>Revenue!DB40</f>
        <v>13772598.838450005</v>
      </c>
      <c r="DC7" s="81">
        <f>Revenue!DC40</f>
        <v>13772598.838450005</v>
      </c>
      <c r="DD7" s="81">
        <f>Revenue!DD40</f>
        <v>13772598.838450005</v>
      </c>
      <c r="DE7" s="81">
        <f>Revenue!DE40</f>
        <v>13772598.838450005</v>
      </c>
      <c r="DF7" s="81">
        <f>Revenue!DF40</f>
        <v>13772598.838450005</v>
      </c>
      <c r="DG7" s="81">
        <f>Revenue!DG40</f>
        <v>13772598.838450005</v>
      </c>
      <c r="DH7" s="81">
        <f>Revenue!DH40</f>
        <v>13772598.838450005</v>
      </c>
      <c r="DI7" s="81">
        <f>Revenue!DI40</f>
        <v>13772598.838450005</v>
      </c>
      <c r="DJ7" s="81">
        <f>Revenue!DJ40</f>
        <v>13772598.838450005</v>
      </c>
      <c r="DK7" s="81">
        <f>Revenue!DK40</f>
        <v>13772598.838450005</v>
      </c>
      <c r="DL7" s="81">
        <f>Revenue!DL40</f>
        <v>13772598.838450005</v>
      </c>
      <c r="DM7" s="81">
        <f>Revenue!DM40</f>
        <v>13772598.838450005</v>
      </c>
      <c r="DN7" s="81">
        <f>Revenue!DN40</f>
        <v>13772598.838450005</v>
      </c>
      <c r="DO7" s="81">
        <f>Revenue!DO40</f>
        <v>13772598.838450005</v>
      </c>
      <c r="DP7" s="81">
        <f>Revenue!DP40</f>
        <v>13772598.838450005</v>
      </c>
      <c r="DQ7" s="81">
        <f>Revenue!DQ40</f>
        <v>13772598.838450005</v>
      </c>
      <c r="DR7" s="81">
        <f>Revenue!DR40</f>
        <v>13772598.838450005</v>
      </c>
      <c r="DS7" s="81">
        <f>Revenue!DS40</f>
        <v>14371407.483600004</v>
      </c>
      <c r="DT7" s="81">
        <f>Revenue!DT40</f>
        <v>14371407.483600004</v>
      </c>
      <c r="DU7" s="81">
        <f>Revenue!DU40</f>
        <v>14371407.483600004</v>
      </c>
      <c r="DV7" s="81">
        <f>Revenue!DV40</f>
        <v>14371407.483600004</v>
      </c>
      <c r="DW7" s="81">
        <f>Revenue!DW40</f>
        <v>14371407.483600004</v>
      </c>
      <c r="DX7" s="81">
        <f>Revenue!DX40</f>
        <v>14371407.483600004</v>
      </c>
      <c r="DY7" s="81">
        <f>Revenue!DY40</f>
        <v>14371407.483600004</v>
      </c>
      <c r="DZ7" s="81">
        <f>Revenue!DZ40</f>
        <v>14371407.483600004</v>
      </c>
      <c r="EA7" s="81">
        <f>Revenue!EA40</f>
        <v>14371407.483600004</v>
      </c>
      <c r="EB7" s="81">
        <f>Revenue!EB40</f>
        <v>14371407.483600004</v>
      </c>
      <c r="EC7" s="81">
        <f>Revenue!EC40</f>
        <v>14371407.483600004</v>
      </c>
      <c r="ED7" s="81">
        <f>Revenue!ED40</f>
        <v>14371407.483600004</v>
      </c>
      <c r="EE7" s="81">
        <f>Revenue!EE40</f>
        <v>14371407.483600004</v>
      </c>
      <c r="EF7" s="81">
        <f>Revenue!EF40</f>
        <v>14371407.483600004</v>
      </c>
      <c r="EG7" s="81">
        <f>Revenue!EG40</f>
        <v>14371407.483600004</v>
      </c>
      <c r="EH7" s="81">
        <f>Revenue!EH40</f>
        <v>14371407.483600004</v>
      </c>
      <c r="EI7" s="81">
        <f>Revenue!EI40</f>
        <v>14371407.483600004</v>
      </c>
      <c r="EJ7" s="81">
        <f>Revenue!EJ40</f>
        <v>14371407.483600004</v>
      </c>
      <c r="EK7" s="81">
        <f>Revenue!EK40</f>
        <v>14371407.483600004</v>
      </c>
      <c r="EL7" s="81">
        <f>Revenue!EL40</f>
        <v>14371407.483600004</v>
      </c>
      <c r="EM7" s="81">
        <f>Revenue!EM40</f>
        <v>14371407.483600004</v>
      </c>
      <c r="EN7" s="81">
        <f>Revenue!EN40</f>
        <v>14371407.483600004</v>
      </c>
      <c r="EO7" s="81">
        <f>Revenue!EO40</f>
        <v>14371407.483600004</v>
      </c>
      <c r="EP7" s="81">
        <f>Revenue!EP40</f>
        <v>14371407.483600004</v>
      </c>
      <c r="EQ7" s="81">
        <f>Revenue!EQ40</f>
        <v>14970216.128750006</v>
      </c>
      <c r="ER7" s="81">
        <f>Revenue!ER40</f>
        <v>14970216.128750006</v>
      </c>
      <c r="ES7" s="81">
        <f>Revenue!ES40</f>
        <v>14970216.128750006</v>
      </c>
      <c r="ET7" s="81">
        <f>Revenue!ET40</f>
        <v>14970216.128750006</v>
      </c>
      <c r="EU7" s="81">
        <f>Revenue!EU40</f>
        <v>14970216.128750006</v>
      </c>
      <c r="EV7" s="81">
        <f>Revenue!EV40</f>
        <v>14970216.128750006</v>
      </c>
      <c r="EW7" s="81">
        <f>Revenue!EW40</f>
        <v>14970216.128750006</v>
      </c>
      <c r="EX7" s="81">
        <f>Revenue!EX40</f>
        <v>14970216.128750006</v>
      </c>
      <c r="EY7" s="81">
        <f>Revenue!EY40</f>
        <v>14970216.128750006</v>
      </c>
      <c r="EZ7" s="81">
        <f>Revenue!EZ40</f>
        <v>14970216.128750006</v>
      </c>
      <c r="FA7" s="81">
        <f>Revenue!FA40</f>
        <v>14970216.128750006</v>
      </c>
      <c r="FB7" s="81">
        <f>Revenue!FB40</f>
        <v>14970216.128750006</v>
      </c>
      <c r="FC7" s="81">
        <f>Revenue!FC40</f>
        <v>14970216.128750006</v>
      </c>
      <c r="FD7" s="81">
        <f>Revenue!FD40</f>
        <v>14970216.128750006</v>
      </c>
      <c r="FE7" s="81">
        <f>Revenue!FE40</f>
        <v>14970216.128750006</v>
      </c>
      <c r="FF7" s="81">
        <f>Revenue!FF40</f>
        <v>14970216.128750006</v>
      </c>
      <c r="FG7" s="81">
        <f>Revenue!FG40</f>
        <v>14970216.128750006</v>
      </c>
      <c r="FH7" s="81">
        <f>Revenue!FH40</f>
        <v>14970216.128750006</v>
      </c>
      <c r="FI7" s="81">
        <f>Revenue!FI40</f>
        <v>14970216.128750006</v>
      </c>
      <c r="FJ7" s="81">
        <f>Revenue!FJ40</f>
        <v>14970216.128750006</v>
      </c>
      <c r="FK7" s="81">
        <f>Revenue!FK40</f>
        <v>14970216.128750006</v>
      </c>
      <c r="FL7" s="81">
        <f>Revenue!FL40</f>
        <v>14970216.128750006</v>
      </c>
      <c r="FM7" s="81">
        <f>Revenue!FM40</f>
        <v>14970216.128750006</v>
      </c>
      <c r="FN7" s="81">
        <f>Revenue!FN40</f>
        <v>14970216.128750006</v>
      </c>
      <c r="FO7" s="81">
        <f>Revenue!FO40</f>
        <v>15569024.773900004</v>
      </c>
      <c r="FP7" s="81">
        <f>Revenue!FP40</f>
        <v>15569024.773900004</v>
      </c>
      <c r="FQ7" s="81">
        <f>Revenue!FQ40</f>
        <v>15569024.773900004</v>
      </c>
      <c r="FR7" s="81">
        <f>Revenue!FR40</f>
        <v>15569024.773900004</v>
      </c>
      <c r="FS7" s="81">
        <f>Revenue!FS40</f>
        <v>15569024.773900004</v>
      </c>
      <c r="FT7" s="81">
        <f>Revenue!FT40</f>
        <v>15569024.773900004</v>
      </c>
      <c r="FU7" s="81">
        <f>Revenue!FU40</f>
        <v>15569024.773900004</v>
      </c>
      <c r="FV7" s="81">
        <f>Revenue!FV40</f>
        <v>15569024.773900004</v>
      </c>
      <c r="FW7" s="81">
        <f>Revenue!FW40</f>
        <v>15569024.773900004</v>
      </c>
      <c r="FX7" s="81">
        <f>Revenue!FX40</f>
        <v>15569024.773900004</v>
      </c>
      <c r="FY7" s="81">
        <f>Revenue!FY40</f>
        <v>15569024.773900004</v>
      </c>
      <c r="FZ7" s="81">
        <f>Revenue!FZ40</f>
        <v>15569024.773900004</v>
      </c>
      <c r="GA7" s="81">
        <f>Revenue!GA40</f>
        <v>15569024.773900004</v>
      </c>
      <c r="GB7" s="81">
        <f>Revenue!GB40</f>
        <v>15569024.773900004</v>
      </c>
      <c r="GC7" s="81">
        <f>Revenue!GC40</f>
        <v>15569024.773900004</v>
      </c>
      <c r="GD7" s="81">
        <f>Revenue!GD40</f>
        <v>15569024.773900004</v>
      </c>
      <c r="GE7" s="81">
        <f>Revenue!GE40</f>
        <v>15569024.773900004</v>
      </c>
      <c r="GF7" s="81">
        <f>Revenue!GF40</f>
        <v>15569024.773900004</v>
      </c>
      <c r="GG7" s="81">
        <f>Revenue!GG40</f>
        <v>15569024.773900004</v>
      </c>
      <c r="GH7" s="81">
        <f>Revenue!GH40</f>
        <v>15569024.773900004</v>
      </c>
      <c r="GI7" s="81">
        <f>Revenue!GI40</f>
        <v>15569024.773900004</v>
      </c>
      <c r="GJ7" s="81">
        <f>Revenue!GJ40</f>
        <v>15569024.773900004</v>
      </c>
      <c r="GK7" s="81">
        <f>Revenue!GK40</f>
        <v>15569024.773900004</v>
      </c>
      <c r="GL7" s="81">
        <f>Revenue!GL40</f>
        <v>15569024.773900004</v>
      </c>
      <c r="GM7" s="81">
        <f>Revenue!GM40</f>
        <v>16167833.419050006</v>
      </c>
      <c r="GN7" s="81">
        <f>Revenue!GN40</f>
        <v>16167833.419050006</v>
      </c>
      <c r="GO7" s="81">
        <f>Revenue!GO40</f>
        <v>16167833.419050006</v>
      </c>
      <c r="GP7" s="81">
        <f>Revenue!GP40</f>
        <v>16167833.419050006</v>
      </c>
      <c r="GQ7" s="81">
        <f>Revenue!GQ40</f>
        <v>16167833.419050006</v>
      </c>
      <c r="GR7" s="81">
        <f>Revenue!GR40</f>
        <v>16167833.419050006</v>
      </c>
      <c r="GS7" s="81">
        <f>Revenue!GS40</f>
        <v>16167833.419050006</v>
      </c>
      <c r="GT7" s="81">
        <f>Revenue!GT40</f>
        <v>16167833.419050006</v>
      </c>
      <c r="GU7" s="81">
        <f>Revenue!GU40</f>
        <v>16167833.419050006</v>
      </c>
      <c r="GV7" s="81">
        <f>Revenue!GV40</f>
        <v>16167833.419050006</v>
      </c>
      <c r="GW7" s="81">
        <f>Revenue!GW40</f>
        <v>16167833.419050006</v>
      </c>
      <c r="GX7" s="81">
        <f>Revenue!GX40</f>
        <v>16167833.419050006</v>
      </c>
      <c r="GY7" s="81">
        <f>Revenue!GY40</f>
        <v>16167833.419050006</v>
      </c>
      <c r="GZ7" s="81">
        <f>Revenue!GZ40</f>
        <v>16167833.419050006</v>
      </c>
      <c r="HA7" s="81">
        <f>Revenue!HA40</f>
        <v>16167833.419050006</v>
      </c>
      <c r="HB7" s="81">
        <f>Revenue!HB40</f>
        <v>16167833.419050006</v>
      </c>
      <c r="HC7" s="81">
        <f>Revenue!HC40</f>
        <v>16167833.419050006</v>
      </c>
      <c r="HD7" s="81">
        <f>Revenue!HD40</f>
        <v>16167833.419050006</v>
      </c>
      <c r="HE7" s="81">
        <f>Revenue!HE40</f>
        <v>16167833.419050006</v>
      </c>
      <c r="HF7" s="81">
        <f>Revenue!HF40</f>
        <v>16167833.419050006</v>
      </c>
      <c r="HG7" s="81">
        <f>Revenue!HG40</f>
        <v>16167833.419050006</v>
      </c>
      <c r="HH7" s="81">
        <f>Revenue!HH40</f>
        <v>16167833.419050006</v>
      </c>
      <c r="HI7" s="81">
        <f>Revenue!HI40</f>
        <v>16167833.419050006</v>
      </c>
      <c r="HJ7" s="81">
        <f>Revenue!HJ40</f>
        <v>16167833.419050006</v>
      </c>
      <c r="HK7" s="81">
        <f>Revenue!HK40</f>
        <v>16766642.064200005</v>
      </c>
      <c r="HL7" s="81">
        <f>Revenue!HL40</f>
        <v>16766642.064200005</v>
      </c>
      <c r="HM7" s="81">
        <f>Revenue!HM40</f>
        <v>16766642.064200005</v>
      </c>
      <c r="HN7" s="81">
        <f>Revenue!HN40</f>
        <v>16766642.064200005</v>
      </c>
      <c r="HO7" s="81">
        <f>Revenue!HO40</f>
        <v>16766642.064200005</v>
      </c>
      <c r="HP7" s="81">
        <f>Revenue!HP40</f>
        <v>16766642.064200005</v>
      </c>
      <c r="HQ7" s="81">
        <f>Revenue!HQ40</f>
        <v>16766642.064200005</v>
      </c>
      <c r="HR7" s="81">
        <f>Revenue!HR40</f>
        <v>16766642.064200005</v>
      </c>
      <c r="HS7" s="81">
        <f>Revenue!HS40</f>
        <v>16766642.064200005</v>
      </c>
      <c r="HT7" s="81">
        <f>Revenue!HT40</f>
        <v>16766642.064200005</v>
      </c>
      <c r="HU7" s="81">
        <f>Revenue!HU40</f>
        <v>16766642.064200005</v>
      </c>
      <c r="HV7" s="81">
        <f>Revenue!HV40</f>
        <v>16766642.064200005</v>
      </c>
      <c r="HW7" s="81">
        <f>Revenue!HW40</f>
        <v>16766642.064200005</v>
      </c>
      <c r="HX7" s="81">
        <f>Revenue!HX40</f>
        <v>16766642.064200005</v>
      </c>
      <c r="HY7" s="81">
        <f>Revenue!HY40</f>
        <v>16766642.064200005</v>
      </c>
      <c r="HZ7" s="81">
        <f>Revenue!HZ40</f>
        <v>16766642.064200005</v>
      </c>
      <c r="IA7" s="81">
        <f>Revenue!IA40</f>
        <v>16766642.064200005</v>
      </c>
      <c r="IB7" s="81">
        <f>Revenue!IB40</f>
        <v>16766642.064200005</v>
      </c>
      <c r="IC7" s="81">
        <f>Revenue!IC40</f>
        <v>16766642.064200005</v>
      </c>
      <c r="ID7" s="81">
        <f>Revenue!ID40</f>
        <v>16766642.064200005</v>
      </c>
      <c r="IE7" s="81">
        <f>Revenue!IE40</f>
        <v>16766642.064200005</v>
      </c>
      <c r="IF7" s="81">
        <f>Revenue!IF40</f>
        <v>16766642.064200005</v>
      </c>
      <c r="IG7" s="81">
        <f>Revenue!IG40</f>
        <v>16766642.064200005</v>
      </c>
      <c r="IH7" s="81">
        <f>Revenue!IH40</f>
        <v>16766642.064200005</v>
      </c>
    </row>
    <row r="8" spans="1:242" x14ac:dyDescent="0.45">
      <c r="A8" s="895" t="s">
        <v>261</v>
      </c>
      <c r="B8" s="896"/>
      <c r="C8" s="81">
        <f>Revenue!C50</f>
        <v>0</v>
      </c>
      <c r="D8" s="81">
        <f>Revenue!D50</f>
        <v>0</v>
      </c>
      <c r="E8" s="81">
        <f>Revenue!E50</f>
        <v>0</v>
      </c>
      <c r="F8" s="81">
        <f>Revenue!F50</f>
        <v>0</v>
      </c>
      <c r="G8" s="81">
        <f>Revenue!G50</f>
        <v>0</v>
      </c>
      <c r="H8" s="81">
        <f>Revenue!H50</f>
        <v>0</v>
      </c>
      <c r="I8" s="81">
        <f>Revenue!I50</f>
        <v>0</v>
      </c>
      <c r="J8" s="81">
        <f>Revenue!J50</f>
        <v>0</v>
      </c>
      <c r="K8" s="81">
        <f>Revenue!K50</f>
        <v>0</v>
      </c>
      <c r="L8" s="81">
        <f>Revenue!L50</f>
        <v>0</v>
      </c>
      <c r="M8" s="81">
        <f>Revenue!M50</f>
        <v>0</v>
      </c>
      <c r="N8" s="81">
        <f>Revenue!N50</f>
        <v>0</v>
      </c>
      <c r="O8" s="81">
        <f>Revenue!O50</f>
        <v>0</v>
      </c>
      <c r="P8" s="81">
        <f>Revenue!P50</f>
        <v>0</v>
      </c>
      <c r="Q8" s="81">
        <f>Revenue!Q50</f>
        <v>0</v>
      </c>
      <c r="R8" s="81">
        <f>Revenue!R50</f>
        <v>0</v>
      </c>
      <c r="S8" s="81">
        <f>Revenue!S50</f>
        <v>0</v>
      </c>
      <c r="T8" s="81">
        <f>Revenue!T50</f>
        <v>0</v>
      </c>
      <c r="U8" s="81">
        <f>Revenue!U50</f>
        <v>0</v>
      </c>
      <c r="V8" s="81">
        <f>Revenue!V50</f>
        <v>0</v>
      </c>
      <c r="W8" s="81">
        <f>Revenue!W50</f>
        <v>0</v>
      </c>
      <c r="X8" s="81">
        <f>Revenue!X50</f>
        <v>0</v>
      </c>
      <c r="Y8" s="81">
        <f>Revenue!Y50</f>
        <v>0</v>
      </c>
      <c r="Z8" s="81">
        <f>Revenue!Z50</f>
        <v>0</v>
      </c>
      <c r="AA8" s="81">
        <f>Revenue!AA50</f>
        <v>490684.5</v>
      </c>
      <c r="AB8" s="81">
        <f>Revenue!AB50</f>
        <v>490684.5</v>
      </c>
      <c r="AC8" s="81">
        <f>Revenue!AC50</f>
        <v>490684.5</v>
      </c>
      <c r="AD8" s="81">
        <f>Revenue!AD50</f>
        <v>490684.5</v>
      </c>
      <c r="AE8" s="81">
        <f>Revenue!AE50</f>
        <v>490684.5</v>
      </c>
      <c r="AF8" s="81">
        <f>Revenue!AF50</f>
        <v>490684.5</v>
      </c>
      <c r="AG8" s="81">
        <f>Revenue!AG50</f>
        <v>490684.5</v>
      </c>
      <c r="AH8" s="81">
        <f>Revenue!AH50</f>
        <v>490684.5</v>
      </c>
      <c r="AI8" s="81">
        <f>Revenue!AI50</f>
        <v>490684.5</v>
      </c>
      <c r="AJ8" s="81">
        <f>Revenue!AJ50</f>
        <v>490684.5</v>
      </c>
      <c r="AK8" s="81">
        <f>Revenue!AK50</f>
        <v>490684.5</v>
      </c>
      <c r="AL8" s="81">
        <f>Revenue!AL50</f>
        <v>490684.5</v>
      </c>
      <c r="AM8" s="81">
        <f>Revenue!AM50</f>
        <v>817807.5</v>
      </c>
      <c r="AN8" s="81">
        <f>Revenue!AN50</f>
        <v>817807.5</v>
      </c>
      <c r="AO8" s="81">
        <f>Revenue!AO50</f>
        <v>817807.5</v>
      </c>
      <c r="AP8" s="81">
        <f>Revenue!AP50</f>
        <v>817807.5</v>
      </c>
      <c r="AQ8" s="81">
        <f>Revenue!AQ50</f>
        <v>817807.5</v>
      </c>
      <c r="AR8" s="81">
        <f>Revenue!AR50</f>
        <v>817807.5</v>
      </c>
      <c r="AS8" s="81">
        <f>Revenue!AS50</f>
        <v>817807.5</v>
      </c>
      <c r="AT8" s="81">
        <f>Revenue!AT50</f>
        <v>817807.5</v>
      </c>
      <c r="AU8" s="81">
        <f>Revenue!AU50</f>
        <v>817807.5</v>
      </c>
      <c r="AV8" s="81">
        <f>Revenue!AV50</f>
        <v>817807.5</v>
      </c>
      <c r="AW8" s="81">
        <f>Revenue!AW50</f>
        <v>817807.5</v>
      </c>
      <c r="AX8" s="81">
        <f>Revenue!AX50</f>
        <v>817807.5</v>
      </c>
      <c r="AY8" s="81">
        <f>Revenue!AY50</f>
        <v>1202177.0249999999</v>
      </c>
      <c r="AZ8" s="81">
        <f>Revenue!AZ50</f>
        <v>1202177.0249999999</v>
      </c>
      <c r="BA8" s="81">
        <f>Revenue!BA50</f>
        <v>1202177.0249999999</v>
      </c>
      <c r="BB8" s="81">
        <f>Revenue!BB50</f>
        <v>1202177.0249999999</v>
      </c>
      <c r="BC8" s="81">
        <f>Revenue!BC50</f>
        <v>1202177.0249999999</v>
      </c>
      <c r="BD8" s="81">
        <f>Revenue!BD50</f>
        <v>1202177.0249999999</v>
      </c>
      <c r="BE8" s="81">
        <f>Revenue!BE50</f>
        <v>1202177.0249999999</v>
      </c>
      <c r="BF8" s="81">
        <f>Revenue!BF50</f>
        <v>1202177.0249999999</v>
      </c>
      <c r="BG8" s="81">
        <f>Revenue!BG50</f>
        <v>1202177.0249999999</v>
      </c>
      <c r="BH8" s="81">
        <f>Revenue!BH50</f>
        <v>1202177.0249999999</v>
      </c>
      <c r="BI8" s="81">
        <f>Revenue!BI50</f>
        <v>1202177.0249999999</v>
      </c>
      <c r="BJ8" s="81">
        <f>Revenue!BJ50</f>
        <v>1202177.0249999999</v>
      </c>
      <c r="BK8" s="81">
        <f>Revenue!BK50</f>
        <v>1459786.3875</v>
      </c>
      <c r="BL8" s="81">
        <f>Revenue!BL50</f>
        <v>1459786.3875</v>
      </c>
      <c r="BM8" s="81">
        <f>Revenue!BM50</f>
        <v>1459786.3875</v>
      </c>
      <c r="BN8" s="81">
        <f>Revenue!BN50</f>
        <v>1459786.3875</v>
      </c>
      <c r="BO8" s="81">
        <f>Revenue!BO50</f>
        <v>1459786.3875</v>
      </c>
      <c r="BP8" s="81">
        <f>Revenue!BP50</f>
        <v>1459786.3875</v>
      </c>
      <c r="BQ8" s="81">
        <f>Revenue!BQ50</f>
        <v>1459786.3875</v>
      </c>
      <c r="BR8" s="81">
        <f>Revenue!BR50</f>
        <v>1459786.3875</v>
      </c>
      <c r="BS8" s="81">
        <f>Revenue!BS50</f>
        <v>1459786.3875</v>
      </c>
      <c r="BT8" s="81">
        <f>Revenue!BT50</f>
        <v>1459786.3875</v>
      </c>
      <c r="BU8" s="81">
        <f>Revenue!BU50</f>
        <v>1459786.3875</v>
      </c>
      <c r="BV8" s="81">
        <f>Revenue!BV50</f>
        <v>1459786.3875</v>
      </c>
      <c r="BW8" s="81">
        <f>Revenue!BW50</f>
        <v>1529300.0249999999</v>
      </c>
      <c r="BX8" s="81">
        <f>Revenue!BX50</f>
        <v>1529300.0249999999</v>
      </c>
      <c r="BY8" s="81">
        <f>Revenue!BY50</f>
        <v>1529300.0249999999</v>
      </c>
      <c r="BZ8" s="81">
        <f>Revenue!BZ50</f>
        <v>1529300.0249999999</v>
      </c>
      <c r="CA8" s="81">
        <f>Revenue!CA50</f>
        <v>1529300.0249999999</v>
      </c>
      <c r="CB8" s="81">
        <f>Revenue!CB50</f>
        <v>1529300.0249999999</v>
      </c>
      <c r="CC8" s="81">
        <f>Revenue!CC50</f>
        <v>1529300.0249999999</v>
      </c>
      <c r="CD8" s="81">
        <f>Revenue!CD50</f>
        <v>1529300.0249999999</v>
      </c>
      <c r="CE8" s="81">
        <f>Revenue!CE50</f>
        <v>1529300.0249999999</v>
      </c>
      <c r="CF8" s="81">
        <f>Revenue!CF50</f>
        <v>1529300.0249999999</v>
      </c>
      <c r="CG8" s="81">
        <f>Revenue!CG50</f>
        <v>1529300.0249999999</v>
      </c>
      <c r="CH8" s="81">
        <f>Revenue!CH50</f>
        <v>1529300.0249999999</v>
      </c>
      <c r="CI8" s="81">
        <f>Revenue!CI50</f>
        <v>1529300.0249999999</v>
      </c>
      <c r="CJ8" s="81">
        <f>Revenue!CJ50</f>
        <v>1529300.0249999999</v>
      </c>
      <c r="CK8" s="81">
        <f>Revenue!CK50</f>
        <v>1529300.0249999999</v>
      </c>
      <c r="CL8" s="81">
        <f>Revenue!CL50</f>
        <v>1529300.0249999999</v>
      </c>
      <c r="CM8" s="81">
        <f>Revenue!CM50</f>
        <v>1529300.0249999999</v>
      </c>
      <c r="CN8" s="81">
        <f>Revenue!CN50</f>
        <v>1529300.0249999999</v>
      </c>
      <c r="CO8" s="81">
        <f>Revenue!CO50</f>
        <v>1529300.0249999999</v>
      </c>
      <c r="CP8" s="81">
        <f>Revenue!CP50</f>
        <v>1529300.0249999999</v>
      </c>
      <c r="CQ8" s="81">
        <f>Revenue!CQ50</f>
        <v>1529300.0249999999</v>
      </c>
      <c r="CR8" s="81">
        <f>Revenue!CR50</f>
        <v>1529300.0249999999</v>
      </c>
      <c r="CS8" s="81">
        <f>Revenue!CS50</f>
        <v>1529300.0249999999</v>
      </c>
      <c r="CT8" s="81">
        <f>Revenue!CT50</f>
        <v>1529300.0249999999</v>
      </c>
      <c r="CU8" s="81">
        <f>Revenue!CU50</f>
        <v>1598813.6625000003</v>
      </c>
      <c r="CV8" s="81">
        <f>Revenue!CV50</f>
        <v>1598813.6625000003</v>
      </c>
      <c r="CW8" s="81">
        <f>Revenue!CW50</f>
        <v>1598813.6625000003</v>
      </c>
      <c r="CX8" s="81">
        <f>Revenue!CX50</f>
        <v>1598813.6625000003</v>
      </c>
      <c r="CY8" s="81">
        <f>Revenue!CY50</f>
        <v>1598813.6625000003</v>
      </c>
      <c r="CZ8" s="81">
        <f>Revenue!CZ50</f>
        <v>1598813.6625000003</v>
      </c>
      <c r="DA8" s="81">
        <f>Revenue!DA50</f>
        <v>1598813.6625000003</v>
      </c>
      <c r="DB8" s="81">
        <f>Revenue!DB50</f>
        <v>1598813.6625000003</v>
      </c>
      <c r="DC8" s="81">
        <f>Revenue!DC50</f>
        <v>1598813.6625000003</v>
      </c>
      <c r="DD8" s="81">
        <f>Revenue!DD50</f>
        <v>1598813.6625000003</v>
      </c>
      <c r="DE8" s="81">
        <f>Revenue!DE50</f>
        <v>1598813.6625000003</v>
      </c>
      <c r="DF8" s="81">
        <f>Revenue!DF50</f>
        <v>1598813.6625000003</v>
      </c>
      <c r="DG8" s="81">
        <f>Revenue!DG50</f>
        <v>1598813.6625000003</v>
      </c>
      <c r="DH8" s="81">
        <f>Revenue!DH50</f>
        <v>1598813.6625000003</v>
      </c>
      <c r="DI8" s="81">
        <f>Revenue!DI50</f>
        <v>1598813.6625000003</v>
      </c>
      <c r="DJ8" s="81">
        <f>Revenue!DJ50</f>
        <v>1598813.6625000003</v>
      </c>
      <c r="DK8" s="81">
        <f>Revenue!DK50</f>
        <v>1598813.6625000003</v>
      </c>
      <c r="DL8" s="81">
        <f>Revenue!DL50</f>
        <v>1598813.6625000003</v>
      </c>
      <c r="DM8" s="81">
        <f>Revenue!DM50</f>
        <v>1598813.6625000003</v>
      </c>
      <c r="DN8" s="81">
        <f>Revenue!DN50</f>
        <v>1598813.6625000003</v>
      </c>
      <c r="DO8" s="81">
        <f>Revenue!DO50</f>
        <v>1598813.6625000003</v>
      </c>
      <c r="DP8" s="81">
        <f>Revenue!DP50</f>
        <v>1598813.6625000003</v>
      </c>
      <c r="DQ8" s="81">
        <f>Revenue!DQ50</f>
        <v>1598813.6625000003</v>
      </c>
      <c r="DR8" s="81">
        <f>Revenue!DR50</f>
        <v>1598813.6625000003</v>
      </c>
      <c r="DS8" s="81">
        <f>Revenue!DS50</f>
        <v>1668327.3000000003</v>
      </c>
      <c r="DT8" s="81">
        <f>Revenue!DT50</f>
        <v>1668327.3000000003</v>
      </c>
      <c r="DU8" s="81">
        <f>Revenue!DU50</f>
        <v>1668327.3000000003</v>
      </c>
      <c r="DV8" s="81">
        <f>Revenue!DV50</f>
        <v>1668327.3000000003</v>
      </c>
      <c r="DW8" s="81">
        <f>Revenue!DW50</f>
        <v>1668327.3000000003</v>
      </c>
      <c r="DX8" s="81">
        <f>Revenue!DX50</f>
        <v>1668327.3000000003</v>
      </c>
      <c r="DY8" s="81">
        <f>Revenue!DY50</f>
        <v>1668327.3000000003</v>
      </c>
      <c r="DZ8" s="81">
        <f>Revenue!DZ50</f>
        <v>1668327.3000000003</v>
      </c>
      <c r="EA8" s="81">
        <f>Revenue!EA50</f>
        <v>1668327.3000000003</v>
      </c>
      <c r="EB8" s="81">
        <f>Revenue!EB50</f>
        <v>1668327.3000000003</v>
      </c>
      <c r="EC8" s="81">
        <f>Revenue!EC50</f>
        <v>1668327.3000000003</v>
      </c>
      <c r="ED8" s="81">
        <f>Revenue!ED50</f>
        <v>1668327.3000000003</v>
      </c>
      <c r="EE8" s="81">
        <f>Revenue!EE50</f>
        <v>1668327.3000000003</v>
      </c>
      <c r="EF8" s="81">
        <f>Revenue!EF50</f>
        <v>1668327.3000000003</v>
      </c>
      <c r="EG8" s="81">
        <f>Revenue!EG50</f>
        <v>1668327.3000000003</v>
      </c>
      <c r="EH8" s="81">
        <f>Revenue!EH50</f>
        <v>1668327.3000000003</v>
      </c>
      <c r="EI8" s="81">
        <f>Revenue!EI50</f>
        <v>1668327.3000000003</v>
      </c>
      <c r="EJ8" s="81">
        <f>Revenue!EJ50</f>
        <v>1668327.3000000003</v>
      </c>
      <c r="EK8" s="81">
        <f>Revenue!EK50</f>
        <v>1668327.3000000003</v>
      </c>
      <c r="EL8" s="81">
        <f>Revenue!EL50</f>
        <v>1668327.3000000003</v>
      </c>
      <c r="EM8" s="81">
        <f>Revenue!EM50</f>
        <v>1668327.3000000003</v>
      </c>
      <c r="EN8" s="81">
        <f>Revenue!EN50</f>
        <v>1668327.3000000003</v>
      </c>
      <c r="EO8" s="81">
        <f>Revenue!EO50</f>
        <v>1668327.3000000003</v>
      </c>
      <c r="EP8" s="81">
        <f>Revenue!EP50</f>
        <v>1668327.3000000003</v>
      </c>
      <c r="EQ8" s="81">
        <f>Revenue!EQ50</f>
        <v>1737840.9375000005</v>
      </c>
      <c r="ER8" s="81">
        <f>Revenue!ER50</f>
        <v>1737840.9375000005</v>
      </c>
      <c r="ES8" s="81">
        <f>Revenue!ES50</f>
        <v>1737840.9375000005</v>
      </c>
      <c r="ET8" s="81">
        <f>Revenue!ET50</f>
        <v>1737840.9375000005</v>
      </c>
      <c r="EU8" s="81">
        <f>Revenue!EU50</f>
        <v>1737840.9375000005</v>
      </c>
      <c r="EV8" s="81">
        <f>Revenue!EV50</f>
        <v>1737840.9375000005</v>
      </c>
      <c r="EW8" s="81">
        <f>Revenue!EW50</f>
        <v>1737840.9375000005</v>
      </c>
      <c r="EX8" s="81">
        <f>Revenue!EX50</f>
        <v>1737840.9375000005</v>
      </c>
      <c r="EY8" s="81">
        <f>Revenue!EY50</f>
        <v>1737840.9375000005</v>
      </c>
      <c r="EZ8" s="81">
        <f>Revenue!EZ50</f>
        <v>1737840.9375000005</v>
      </c>
      <c r="FA8" s="81">
        <f>Revenue!FA50</f>
        <v>1737840.9375000005</v>
      </c>
      <c r="FB8" s="81">
        <f>Revenue!FB50</f>
        <v>1737840.9375000005</v>
      </c>
      <c r="FC8" s="81">
        <f>Revenue!FC50</f>
        <v>1737840.9375000005</v>
      </c>
      <c r="FD8" s="81">
        <f>Revenue!FD50</f>
        <v>1737840.9375000005</v>
      </c>
      <c r="FE8" s="81">
        <f>Revenue!FE50</f>
        <v>1737840.9375000005</v>
      </c>
      <c r="FF8" s="81">
        <f>Revenue!FF50</f>
        <v>1737840.9375000005</v>
      </c>
      <c r="FG8" s="81">
        <f>Revenue!FG50</f>
        <v>1737840.9375000005</v>
      </c>
      <c r="FH8" s="81">
        <f>Revenue!FH50</f>
        <v>1737840.9375000005</v>
      </c>
      <c r="FI8" s="81">
        <f>Revenue!FI50</f>
        <v>1737840.9375000005</v>
      </c>
      <c r="FJ8" s="81">
        <f>Revenue!FJ50</f>
        <v>1737840.9375000005</v>
      </c>
      <c r="FK8" s="81">
        <f>Revenue!FK50</f>
        <v>1737840.9375000005</v>
      </c>
      <c r="FL8" s="81">
        <f>Revenue!FL50</f>
        <v>1737840.9375000005</v>
      </c>
      <c r="FM8" s="81">
        <f>Revenue!FM50</f>
        <v>1737840.9375000005</v>
      </c>
      <c r="FN8" s="81">
        <f>Revenue!FN50</f>
        <v>1737840.9375000005</v>
      </c>
      <c r="FO8" s="81">
        <f>Revenue!FO50</f>
        <v>1807354.5750000004</v>
      </c>
      <c r="FP8" s="81">
        <f>Revenue!FP50</f>
        <v>1807354.5750000004</v>
      </c>
      <c r="FQ8" s="81">
        <f>Revenue!FQ50</f>
        <v>1807354.5750000004</v>
      </c>
      <c r="FR8" s="81">
        <f>Revenue!FR50</f>
        <v>1807354.5750000004</v>
      </c>
      <c r="FS8" s="81">
        <f>Revenue!FS50</f>
        <v>1807354.5750000004</v>
      </c>
      <c r="FT8" s="81">
        <f>Revenue!FT50</f>
        <v>1807354.5750000004</v>
      </c>
      <c r="FU8" s="81">
        <f>Revenue!FU50</f>
        <v>1807354.5750000004</v>
      </c>
      <c r="FV8" s="81">
        <f>Revenue!FV50</f>
        <v>1807354.5750000004</v>
      </c>
      <c r="FW8" s="81">
        <f>Revenue!FW50</f>
        <v>1807354.5750000004</v>
      </c>
      <c r="FX8" s="81">
        <f>Revenue!FX50</f>
        <v>1807354.5750000004</v>
      </c>
      <c r="FY8" s="81">
        <f>Revenue!FY50</f>
        <v>1807354.5750000004</v>
      </c>
      <c r="FZ8" s="81">
        <f>Revenue!FZ50</f>
        <v>1807354.5750000004</v>
      </c>
      <c r="GA8" s="81">
        <f>Revenue!GA50</f>
        <v>1807354.5750000004</v>
      </c>
      <c r="GB8" s="81">
        <f>Revenue!GB50</f>
        <v>1807354.5750000004</v>
      </c>
      <c r="GC8" s="81">
        <f>Revenue!GC50</f>
        <v>1807354.5750000004</v>
      </c>
      <c r="GD8" s="81">
        <f>Revenue!GD50</f>
        <v>1807354.5750000004</v>
      </c>
      <c r="GE8" s="81">
        <f>Revenue!GE50</f>
        <v>1807354.5750000004</v>
      </c>
      <c r="GF8" s="81">
        <f>Revenue!GF50</f>
        <v>1807354.5750000004</v>
      </c>
      <c r="GG8" s="81">
        <f>Revenue!GG50</f>
        <v>1807354.5750000004</v>
      </c>
      <c r="GH8" s="81">
        <f>Revenue!GH50</f>
        <v>1807354.5750000004</v>
      </c>
      <c r="GI8" s="81">
        <f>Revenue!GI50</f>
        <v>1807354.5750000004</v>
      </c>
      <c r="GJ8" s="81">
        <f>Revenue!GJ50</f>
        <v>1807354.5750000004</v>
      </c>
      <c r="GK8" s="81">
        <f>Revenue!GK50</f>
        <v>1807354.5750000004</v>
      </c>
      <c r="GL8" s="81">
        <f>Revenue!GL50</f>
        <v>1807354.5750000004</v>
      </c>
      <c r="GM8" s="81">
        <f>Revenue!GM50</f>
        <v>1876868.2125000004</v>
      </c>
      <c r="GN8" s="81">
        <f>Revenue!GN50</f>
        <v>1876868.2125000004</v>
      </c>
      <c r="GO8" s="81">
        <f>Revenue!GO50</f>
        <v>1876868.2125000004</v>
      </c>
      <c r="GP8" s="81">
        <f>Revenue!GP50</f>
        <v>1876868.2125000004</v>
      </c>
      <c r="GQ8" s="81">
        <f>Revenue!GQ50</f>
        <v>1876868.2125000004</v>
      </c>
      <c r="GR8" s="81">
        <f>Revenue!GR50</f>
        <v>1876868.2125000004</v>
      </c>
      <c r="GS8" s="81">
        <f>Revenue!GS50</f>
        <v>1876868.2125000004</v>
      </c>
      <c r="GT8" s="81">
        <f>Revenue!GT50</f>
        <v>1876868.2125000004</v>
      </c>
      <c r="GU8" s="81">
        <f>Revenue!GU50</f>
        <v>1876868.2125000004</v>
      </c>
      <c r="GV8" s="81">
        <f>Revenue!GV50</f>
        <v>1876868.2125000004</v>
      </c>
      <c r="GW8" s="81">
        <f>Revenue!GW50</f>
        <v>1876868.2125000004</v>
      </c>
      <c r="GX8" s="81">
        <f>Revenue!GX50</f>
        <v>1876868.2125000004</v>
      </c>
      <c r="GY8" s="81">
        <f>Revenue!GY50</f>
        <v>1876868.2125000004</v>
      </c>
      <c r="GZ8" s="81">
        <f>Revenue!GZ50</f>
        <v>1876868.2125000004</v>
      </c>
      <c r="HA8" s="81">
        <f>Revenue!HA50</f>
        <v>1876868.2125000004</v>
      </c>
      <c r="HB8" s="81">
        <f>Revenue!HB50</f>
        <v>1876868.2125000004</v>
      </c>
      <c r="HC8" s="81">
        <f>Revenue!HC50</f>
        <v>1876868.2125000004</v>
      </c>
      <c r="HD8" s="81">
        <f>Revenue!HD50</f>
        <v>1876868.2125000004</v>
      </c>
      <c r="HE8" s="81">
        <f>Revenue!HE50</f>
        <v>1876868.2125000004</v>
      </c>
      <c r="HF8" s="81">
        <f>Revenue!HF50</f>
        <v>1876868.2125000004</v>
      </c>
      <c r="HG8" s="81">
        <f>Revenue!HG50</f>
        <v>1876868.2125000004</v>
      </c>
      <c r="HH8" s="81">
        <f>Revenue!HH50</f>
        <v>1876868.2125000004</v>
      </c>
      <c r="HI8" s="81">
        <f>Revenue!HI50</f>
        <v>1876868.2125000004</v>
      </c>
      <c r="HJ8" s="81">
        <f>Revenue!HJ50</f>
        <v>1876868.2125000004</v>
      </c>
      <c r="HK8" s="81">
        <f>Revenue!HK50</f>
        <v>1946381.8500000008</v>
      </c>
      <c r="HL8" s="81">
        <f>Revenue!HL50</f>
        <v>1946381.8500000008</v>
      </c>
      <c r="HM8" s="81">
        <f>Revenue!HM50</f>
        <v>1946381.8500000008</v>
      </c>
      <c r="HN8" s="81">
        <f>Revenue!HN50</f>
        <v>1946381.8500000008</v>
      </c>
      <c r="HO8" s="81">
        <f>Revenue!HO50</f>
        <v>1946381.8500000008</v>
      </c>
      <c r="HP8" s="81">
        <f>Revenue!HP50</f>
        <v>1946381.8500000008</v>
      </c>
      <c r="HQ8" s="81">
        <f>Revenue!HQ50</f>
        <v>1946381.8500000008</v>
      </c>
      <c r="HR8" s="81">
        <f>Revenue!HR50</f>
        <v>1946381.8500000008</v>
      </c>
      <c r="HS8" s="81">
        <f>Revenue!HS50</f>
        <v>1946381.8500000008</v>
      </c>
      <c r="HT8" s="81">
        <f>Revenue!HT50</f>
        <v>1946381.8500000008</v>
      </c>
      <c r="HU8" s="81">
        <f>Revenue!HU50</f>
        <v>1946381.8500000008</v>
      </c>
      <c r="HV8" s="81">
        <f>Revenue!HV50</f>
        <v>1946381.8500000008</v>
      </c>
      <c r="HW8" s="81">
        <f>Revenue!HW50</f>
        <v>1946381.8500000008</v>
      </c>
      <c r="HX8" s="81">
        <f>Revenue!HX50</f>
        <v>1946381.8500000008</v>
      </c>
      <c r="HY8" s="81">
        <f>Revenue!HY50</f>
        <v>1946381.8500000008</v>
      </c>
      <c r="HZ8" s="81">
        <f>Revenue!HZ50</f>
        <v>1946381.8500000008</v>
      </c>
      <c r="IA8" s="81">
        <f>Revenue!IA50</f>
        <v>1946381.8500000008</v>
      </c>
      <c r="IB8" s="81">
        <f>Revenue!IB50</f>
        <v>1946381.8500000008</v>
      </c>
      <c r="IC8" s="81">
        <f>Revenue!IC50</f>
        <v>1946381.8500000008</v>
      </c>
      <c r="ID8" s="81">
        <f>Revenue!ID50</f>
        <v>1946381.8500000008</v>
      </c>
      <c r="IE8" s="81">
        <f>Revenue!IE50</f>
        <v>1946381.8500000008</v>
      </c>
      <c r="IF8" s="81">
        <f>Revenue!IF50</f>
        <v>1946381.8500000008</v>
      </c>
      <c r="IG8" s="81">
        <f>Revenue!IG50</f>
        <v>1946381.8500000008</v>
      </c>
      <c r="IH8" s="81">
        <f>Revenue!IH50</f>
        <v>1946381.8500000008</v>
      </c>
    </row>
    <row r="9" spans="1:242" x14ac:dyDescent="0.45">
      <c r="A9" s="895" t="s">
        <v>168</v>
      </c>
      <c r="B9" s="896"/>
      <c r="C9" s="81">
        <f>Revenue!C51</f>
        <v>0</v>
      </c>
      <c r="D9" s="81">
        <f>Revenue!D51</f>
        <v>0</v>
      </c>
      <c r="E9" s="81">
        <f>Revenue!E51</f>
        <v>0</v>
      </c>
      <c r="F9" s="81">
        <f>Revenue!F51</f>
        <v>0</v>
      </c>
      <c r="G9" s="81">
        <f>Revenue!G51</f>
        <v>0</v>
      </c>
      <c r="H9" s="81">
        <f>Revenue!H51</f>
        <v>0</v>
      </c>
      <c r="I9" s="81">
        <f>Revenue!I51</f>
        <v>0</v>
      </c>
      <c r="J9" s="81">
        <f>Revenue!J51</f>
        <v>0</v>
      </c>
      <c r="K9" s="81">
        <f>Revenue!K51</f>
        <v>0</v>
      </c>
      <c r="L9" s="81">
        <f>Revenue!L51</f>
        <v>0</v>
      </c>
      <c r="M9" s="81">
        <f>Revenue!M51</f>
        <v>0</v>
      </c>
      <c r="N9" s="81">
        <f>Revenue!N51</f>
        <v>0</v>
      </c>
      <c r="O9" s="81">
        <f>Revenue!O51</f>
        <v>0</v>
      </c>
      <c r="P9" s="81">
        <f>Revenue!P51</f>
        <v>0</v>
      </c>
      <c r="Q9" s="81">
        <f>Revenue!Q51</f>
        <v>0</v>
      </c>
      <c r="R9" s="81">
        <f>Revenue!R51</f>
        <v>0</v>
      </c>
      <c r="S9" s="81">
        <f>Revenue!S51</f>
        <v>0</v>
      </c>
      <c r="T9" s="81">
        <f>Revenue!T51</f>
        <v>0</v>
      </c>
      <c r="U9" s="81">
        <f>Revenue!U51</f>
        <v>0</v>
      </c>
      <c r="V9" s="81">
        <f>Revenue!V51</f>
        <v>0</v>
      </c>
      <c r="W9" s="81">
        <f>Revenue!W51</f>
        <v>0</v>
      </c>
      <c r="X9" s="81">
        <f>Revenue!X51</f>
        <v>0</v>
      </c>
      <c r="Y9" s="81">
        <f>Revenue!Y51</f>
        <v>0</v>
      </c>
      <c r="Z9" s="81">
        <f>Revenue!Z51</f>
        <v>0</v>
      </c>
      <c r="AA9" s="81">
        <f>Revenue!AA51</f>
        <v>538560</v>
      </c>
      <c r="AB9" s="81">
        <f>Revenue!AB51</f>
        <v>538560</v>
      </c>
      <c r="AC9" s="81">
        <f>Revenue!AC51</f>
        <v>538560</v>
      </c>
      <c r="AD9" s="81">
        <f>Revenue!AD51</f>
        <v>538560</v>
      </c>
      <c r="AE9" s="81">
        <f>Revenue!AE51</f>
        <v>538560</v>
      </c>
      <c r="AF9" s="81">
        <f>Revenue!AF51</f>
        <v>538560</v>
      </c>
      <c r="AG9" s="81">
        <f>Revenue!AG51</f>
        <v>538560</v>
      </c>
      <c r="AH9" s="81">
        <f>Revenue!AH51</f>
        <v>538560</v>
      </c>
      <c r="AI9" s="81">
        <f>Revenue!AI51</f>
        <v>538560</v>
      </c>
      <c r="AJ9" s="81">
        <f>Revenue!AJ51</f>
        <v>538560</v>
      </c>
      <c r="AK9" s="81">
        <f>Revenue!AK51</f>
        <v>538560</v>
      </c>
      <c r="AL9" s="81">
        <f>Revenue!AL51</f>
        <v>538560</v>
      </c>
      <c r="AM9" s="81">
        <f>Revenue!AM51</f>
        <v>897600</v>
      </c>
      <c r="AN9" s="81">
        <f>Revenue!AN51</f>
        <v>897600</v>
      </c>
      <c r="AO9" s="81">
        <f>Revenue!AO51</f>
        <v>897600</v>
      </c>
      <c r="AP9" s="81">
        <f>Revenue!AP51</f>
        <v>897600</v>
      </c>
      <c r="AQ9" s="81">
        <f>Revenue!AQ51</f>
        <v>897600</v>
      </c>
      <c r="AR9" s="81">
        <f>Revenue!AR51</f>
        <v>897600</v>
      </c>
      <c r="AS9" s="81">
        <f>Revenue!AS51</f>
        <v>897600</v>
      </c>
      <c r="AT9" s="81">
        <f>Revenue!AT51</f>
        <v>897600</v>
      </c>
      <c r="AU9" s="81">
        <f>Revenue!AU51</f>
        <v>897600</v>
      </c>
      <c r="AV9" s="81">
        <f>Revenue!AV51</f>
        <v>897600</v>
      </c>
      <c r="AW9" s="81">
        <f>Revenue!AW51</f>
        <v>897600</v>
      </c>
      <c r="AX9" s="81">
        <f>Revenue!AX51</f>
        <v>897600</v>
      </c>
      <c r="AY9" s="81">
        <f>Revenue!AY51</f>
        <v>1319472</v>
      </c>
      <c r="AZ9" s="81">
        <f>Revenue!AZ51</f>
        <v>1319472</v>
      </c>
      <c r="BA9" s="81">
        <f>Revenue!BA51</f>
        <v>1319472</v>
      </c>
      <c r="BB9" s="81">
        <f>Revenue!BB51</f>
        <v>1319472</v>
      </c>
      <c r="BC9" s="81">
        <f>Revenue!BC51</f>
        <v>1319472</v>
      </c>
      <c r="BD9" s="81">
        <f>Revenue!BD51</f>
        <v>1319472</v>
      </c>
      <c r="BE9" s="81">
        <f>Revenue!BE51</f>
        <v>1319472</v>
      </c>
      <c r="BF9" s="81">
        <f>Revenue!BF51</f>
        <v>1319472</v>
      </c>
      <c r="BG9" s="81">
        <f>Revenue!BG51</f>
        <v>1319472</v>
      </c>
      <c r="BH9" s="81">
        <f>Revenue!BH51</f>
        <v>1319472</v>
      </c>
      <c r="BI9" s="81">
        <f>Revenue!BI51</f>
        <v>1319472</v>
      </c>
      <c r="BJ9" s="81">
        <f>Revenue!BJ51</f>
        <v>1319472</v>
      </c>
      <c r="BK9" s="81">
        <f>Revenue!BK51</f>
        <v>1602216</v>
      </c>
      <c r="BL9" s="81">
        <f>Revenue!BL51</f>
        <v>1602216</v>
      </c>
      <c r="BM9" s="81">
        <f>Revenue!BM51</f>
        <v>1602216</v>
      </c>
      <c r="BN9" s="81">
        <f>Revenue!BN51</f>
        <v>1602216</v>
      </c>
      <c r="BO9" s="81">
        <f>Revenue!BO51</f>
        <v>1602216</v>
      </c>
      <c r="BP9" s="81">
        <f>Revenue!BP51</f>
        <v>1602216</v>
      </c>
      <c r="BQ9" s="81">
        <f>Revenue!BQ51</f>
        <v>1602216</v>
      </c>
      <c r="BR9" s="81">
        <f>Revenue!BR51</f>
        <v>1602216</v>
      </c>
      <c r="BS9" s="81">
        <f>Revenue!BS51</f>
        <v>1602216</v>
      </c>
      <c r="BT9" s="81">
        <f>Revenue!BT51</f>
        <v>1602216</v>
      </c>
      <c r="BU9" s="81">
        <f>Revenue!BU51</f>
        <v>1602216</v>
      </c>
      <c r="BV9" s="81">
        <f>Revenue!BV51</f>
        <v>1602216</v>
      </c>
      <c r="BW9" s="81">
        <f>Revenue!BW51</f>
        <v>1678512</v>
      </c>
      <c r="BX9" s="81">
        <f>Revenue!BX51</f>
        <v>1678512</v>
      </c>
      <c r="BY9" s="81">
        <f>Revenue!BY51</f>
        <v>1678512</v>
      </c>
      <c r="BZ9" s="81">
        <f>Revenue!BZ51</f>
        <v>1678512</v>
      </c>
      <c r="CA9" s="81">
        <f>Revenue!CA51</f>
        <v>1678512</v>
      </c>
      <c r="CB9" s="81">
        <f>Revenue!CB51</f>
        <v>1678512</v>
      </c>
      <c r="CC9" s="81">
        <f>Revenue!CC51</f>
        <v>1678512</v>
      </c>
      <c r="CD9" s="81">
        <f>Revenue!CD51</f>
        <v>1678512</v>
      </c>
      <c r="CE9" s="81">
        <f>Revenue!CE51</f>
        <v>1678512</v>
      </c>
      <c r="CF9" s="81">
        <f>Revenue!CF51</f>
        <v>1678512</v>
      </c>
      <c r="CG9" s="81">
        <f>Revenue!CG51</f>
        <v>1678512</v>
      </c>
      <c r="CH9" s="81">
        <f>Revenue!CH51</f>
        <v>1678512</v>
      </c>
      <c r="CI9" s="81">
        <f>Revenue!CI51</f>
        <v>1678512</v>
      </c>
      <c r="CJ9" s="81">
        <f>Revenue!CJ51</f>
        <v>1678512</v>
      </c>
      <c r="CK9" s="81">
        <f>Revenue!CK51</f>
        <v>1678512</v>
      </c>
      <c r="CL9" s="81">
        <f>Revenue!CL51</f>
        <v>1678512</v>
      </c>
      <c r="CM9" s="81">
        <f>Revenue!CM51</f>
        <v>1678512</v>
      </c>
      <c r="CN9" s="81">
        <f>Revenue!CN51</f>
        <v>1678512</v>
      </c>
      <c r="CO9" s="81">
        <f>Revenue!CO51</f>
        <v>1678512</v>
      </c>
      <c r="CP9" s="81">
        <f>Revenue!CP51</f>
        <v>1678512</v>
      </c>
      <c r="CQ9" s="81">
        <f>Revenue!CQ51</f>
        <v>1678512</v>
      </c>
      <c r="CR9" s="81">
        <f>Revenue!CR51</f>
        <v>1678512</v>
      </c>
      <c r="CS9" s="81">
        <f>Revenue!CS51</f>
        <v>1678512</v>
      </c>
      <c r="CT9" s="81">
        <f>Revenue!CT51</f>
        <v>1678512</v>
      </c>
      <c r="CU9" s="81">
        <f>Revenue!CU51</f>
        <v>1754808.0000000002</v>
      </c>
      <c r="CV9" s="81">
        <f>Revenue!CV51</f>
        <v>1754808.0000000002</v>
      </c>
      <c r="CW9" s="81">
        <f>Revenue!CW51</f>
        <v>1754808.0000000002</v>
      </c>
      <c r="CX9" s="81">
        <f>Revenue!CX51</f>
        <v>1754808.0000000002</v>
      </c>
      <c r="CY9" s="81">
        <f>Revenue!CY51</f>
        <v>1754808.0000000002</v>
      </c>
      <c r="CZ9" s="81">
        <f>Revenue!CZ51</f>
        <v>1754808.0000000002</v>
      </c>
      <c r="DA9" s="81">
        <f>Revenue!DA51</f>
        <v>1754808.0000000002</v>
      </c>
      <c r="DB9" s="81">
        <f>Revenue!DB51</f>
        <v>1754808.0000000002</v>
      </c>
      <c r="DC9" s="81">
        <f>Revenue!DC51</f>
        <v>1754808.0000000002</v>
      </c>
      <c r="DD9" s="81">
        <f>Revenue!DD51</f>
        <v>1754808.0000000002</v>
      </c>
      <c r="DE9" s="81">
        <f>Revenue!DE51</f>
        <v>1754808.0000000002</v>
      </c>
      <c r="DF9" s="81">
        <f>Revenue!DF51</f>
        <v>1754808.0000000002</v>
      </c>
      <c r="DG9" s="81">
        <f>Revenue!DG51</f>
        <v>1754808.0000000002</v>
      </c>
      <c r="DH9" s="81">
        <f>Revenue!DH51</f>
        <v>1754808.0000000002</v>
      </c>
      <c r="DI9" s="81">
        <f>Revenue!DI51</f>
        <v>1754808.0000000002</v>
      </c>
      <c r="DJ9" s="81">
        <f>Revenue!DJ51</f>
        <v>1754808.0000000002</v>
      </c>
      <c r="DK9" s="81">
        <f>Revenue!DK51</f>
        <v>1754808.0000000002</v>
      </c>
      <c r="DL9" s="81">
        <f>Revenue!DL51</f>
        <v>1754808.0000000002</v>
      </c>
      <c r="DM9" s="81">
        <f>Revenue!DM51</f>
        <v>1754808.0000000002</v>
      </c>
      <c r="DN9" s="81">
        <f>Revenue!DN51</f>
        <v>1754808.0000000002</v>
      </c>
      <c r="DO9" s="81">
        <f>Revenue!DO51</f>
        <v>1754808.0000000002</v>
      </c>
      <c r="DP9" s="81">
        <f>Revenue!DP51</f>
        <v>1754808.0000000002</v>
      </c>
      <c r="DQ9" s="81">
        <f>Revenue!DQ51</f>
        <v>1754808.0000000002</v>
      </c>
      <c r="DR9" s="81">
        <f>Revenue!DR51</f>
        <v>1754808.0000000002</v>
      </c>
      <c r="DS9" s="81">
        <f>Revenue!DS51</f>
        <v>1831104.0000000002</v>
      </c>
      <c r="DT9" s="81">
        <f>Revenue!DT51</f>
        <v>1831104.0000000002</v>
      </c>
      <c r="DU9" s="81">
        <f>Revenue!DU51</f>
        <v>1831104.0000000002</v>
      </c>
      <c r="DV9" s="81">
        <f>Revenue!DV51</f>
        <v>1831104.0000000002</v>
      </c>
      <c r="DW9" s="81">
        <f>Revenue!DW51</f>
        <v>1831104.0000000002</v>
      </c>
      <c r="DX9" s="81">
        <f>Revenue!DX51</f>
        <v>1831104.0000000002</v>
      </c>
      <c r="DY9" s="81">
        <f>Revenue!DY51</f>
        <v>1831104.0000000002</v>
      </c>
      <c r="DZ9" s="81">
        <f>Revenue!DZ51</f>
        <v>1831104.0000000002</v>
      </c>
      <c r="EA9" s="81">
        <f>Revenue!EA51</f>
        <v>1831104.0000000002</v>
      </c>
      <c r="EB9" s="81">
        <f>Revenue!EB51</f>
        <v>1831104.0000000002</v>
      </c>
      <c r="EC9" s="81">
        <f>Revenue!EC51</f>
        <v>1831104.0000000002</v>
      </c>
      <c r="ED9" s="81">
        <f>Revenue!ED51</f>
        <v>1831104.0000000002</v>
      </c>
      <c r="EE9" s="81">
        <f>Revenue!EE51</f>
        <v>1831104.0000000002</v>
      </c>
      <c r="EF9" s="81">
        <f>Revenue!EF51</f>
        <v>1831104.0000000002</v>
      </c>
      <c r="EG9" s="81">
        <f>Revenue!EG51</f>
        <v>1831104.0000000002</v>
      </c>
      <c r="EH9" s="81">
        <f>Revenue!EH51</f>
        <v>1831104.0000000002</v>
      </c>
      <c r="EI9" s="81">
        <f>Revenue!EI51</f>
        <v>1831104.0000000002</v>
      </c>
      <c r="EJ9" s="81">
        <f>Revenue!EJ51</f>
        <v>1831104.0000000002</v>
      </c>
      <c r="EK9" s="81">
        <f>Revenue!EK51</f>
        <v>1831104.0000000002</v>
      </c>
      <c r="EL9" s="81">
        <f>Revenue!EL51</f>
        <v>1831104.0000000002</v>
      </c>
      <c r="EM9" s="81">
        <f>Revenue!EM51</f>
        <v>1831104.0000000002</v>
      </c>
      <c r="EN9" s="81">
        <f>Revenue!EN51</f>
        <v>1831104.0000000002</v>
      </c>
      <c r="EO9" s="81">
        <f>Revenue!EO51</f>
        <v>1831104.0000000002</v>
      </c>
      <c r="EP9" s="81">
        <f>Revenue!EP51</f>
        <v>1831104.0000000002</v>
      </c>
      <c r="EQ9" s="81">
        <f>Revenue!EQ51</f>
        <v>1907400.0000000002</v>
      </c>
      <c r="ER9" s="81">
        <f>Revenue!ER51</f>
        <v>1907400.0000000002</v>
      </c>
      <c r="ES9" s="81">
        <f>Revenue!ES51</f>
        <v>1907400.0000000002</v>
      </c>
      <c r="ET9" s="81">
        <f>Revenue!ET51</f>
        <v>1907400.0000000002</v>
      </c>
      <c r="EU9" s="81">
        <f>Revenue!EU51</f>
        <v>1907400.0000000002</v>
      </c>
      <c r="EV9" s="81">
        <f>Revenue!EV51</f>
        <v>1907400.0000000002</v>
      </c>
      <c r="EW9" s="81">
        <f>Revenue!EW51</f>
        <v>1907400.0000000002</v>
      </c>
      <c r="EX9" s="81">
        <f>Revenue!EX51</f>
        <v>1907400.0000000002</v>
      </c>
      <c r="EY9" s="81">
        <f>Revenue!EY51</f>
        <v>1907400.0000000002</v>
      </c>
      <c r="EZ9" s="81">
        <f>Revenue!EZ51</f>
        <v>1907400.0000000002</v>
      </c>
      <c r="FA9" s="81">
        <f>Revenue!FA51</f>
        <v>1907400.0000000002</v>
      </c>
      <c r="FB9" s="81">
        <f>Revenue!FB51</f>
        <v>1907400.0000000002</v>
      </c>
      <c r="FC9" s="81">
        <f>Revenue!FC51</f>
        <v>1907400.0000000002</v>
      </c>
      <c r="FD9" s="81">
        <f>Revenue!FD51</f>
        <v>1907400.0000000002</v>
      </c>
      <c r="FE9" s="81">
        <f>Revenue!FE51</f>
        <v>1907400.0000000002</v>
      </c>
      <c r="FF9" s="81">
        <f>Revenue!FF51</f>
        <v>1907400.0000000002</v>
      </c>
      <c r="FG9" s="81">
        <f>Revenue!FG51</f>
        <v>1907400.0000000002</v>
      </c>
      <c r="FH9" s="81">
        <f>Revenue!FH51</f>
        <v>1907400.0000000002</v>
      </c>
      <c r="FI9" s="81">
        <f>Revenue!FI51</f>
        <v>1907400.0000000002</v>
      </c>
      <c r="FJ9" s="81">
        <f>Revenue!FJ51</f>
        <v>1907400.0000000002</v>
      </c>
      <c r="FK9" s="81">
        <f>Revenue!FK51</f>
        <v>1907400.0000000002</v>
      </c>
      <c r="FL9" s="81">
        <f>Revenue!FL51</f>
        <v>1907400.0000000002</v>
      </c>
      <c r="FM9" s="81">
        <f>Revenue!FM51</f>
        <v>1907400.0000000002</v>
      </c>
      <c r="FN9" s="81">
        <f>Revenue!FN51</f>
        <v>1907400.0000000002</v>
      </c>
      <c r="FO9" s="81">
        <f>Revenue!FO51</f>
        <v>1983696.0000000002</v>
      </c>
      <c r="FP9" s="81">
        <f>Revenue!FP51</f>
        <v>1983696.0000000002</v>
      </c>
      <c r="FQ9" s="81">
        <f>Revenue!FQ51</f>
        <v>1983696.0000000002</v>
      </c>
      <c r="FR9" s="81">
        <f>Revenue!FR51</f>
        <v>1983696.0000000002</v>
      </c>
      <c r="FS9" s="81">
        <f>Revenue!FS51</f>
        <v>1983696.0000000002</v>
      </c>
      <c r="FT9" s="81">
        <f>Revenue!FT51</f>
        <v>1983696.0000000002</v>
      </c>
      <c r="FU9" s="81">
        <f>Revenue!FU51</f>
        <v>1983696.0000000002</v>
      </c>
      <c r="FV9" s="81">
        <f>Revenue!FV51</f>
        <v>1983696.0000000002</v>
      </c>
      <c r="FW9" s="81">
        <f>Revenue!FW51</f>
        <v>1983696.0000000002</v>
      </c>
      <c r="FX9" s="81">
        <f>Revenue!FX51</f>
        <v>1983696.0000000002</v>
      </c>
      <c r="FY9" s="81">
        <f>Revenue!FY51</f>
        <v>1983696.0000000002</v>
      </c>
      <c r="FZ9" s="81">
        <f>Revenue!FZ51</f>
        <v>1983696.0000000002</v>
      </c>
      <c r="GA9" s="81">
        <f>Revenue!GA51</f>
        <v>1983696.0000000002</v>
      </c>
      <c r="GB9" s="81">
        <f>Revenue!GB51</f>
        <v>1983696.0000000002</v>
      </c>
      <c r="GC9" s="81">
        <f>Revenue!GC51</f>
        <v>1983696.0000000002</v>
      </c>
      <c r="GD9" s="81">
        <f>Revenue!GD51</f>
        <v>1983696.0000000002</v>
      </c>
      <c r="GE9" s="81">
        <f>Revenue!GE51</f>
        <v>1983696.0000000002</v>
      </c>
      <c r="GF9" s="81">
        <f>Revenue!GF51</f>
        <v>1983696.0000000002</v>
      </c>
      <c r="GG9" s="81">
        <f>Revenue!GG51</f>
        <v>1983696.0000000002</v>
      </c>
      <c r="GH9" s="81">
        <f>Revenue!GH51</f>
        <v>1983696.0000000002</v>
      </c>
      <c r="GI9" s="81">
        <f>Revenue!GI51</f>
        <v>1983696.0000000002</v>
      </c>
      <c r="GJ9" s="81">
        <f>Revenue!GJ51</f>
        <v>1983696.0000000002</v>
      </c>
      <c r="GK9" s="81">
        <f>Revenue!GK51</f>
        <v>1983696.0000000002</v>
      </c>
      <c r="GL9" s="81">
        <f>Revenue!GL51</f>
        <v>1983696.0000000002</v>
      </c>
      <c r="GM9" s="81">
        <f>Revenue!GM51</f>
        <v>2059992.0000000002</v>
      </c>
      <c r="GN9" s="81">
        <f>Revenue!GN51</f>
        <v>2059992.0000000002</v>
      </c>
      <c r="GO9" s="81">
        <f>Revenue!GO51</f>
        <v>2059992.0000000002</v>
      </c>
      <c r="GP9" s="81">
        <f>Revenue!GP51</f>
        <v>2059992.0000000002</v>
      </c>
      <c r="GQ9" s="81">
        <f>Revenue!GQ51</f>
        <v>2059992.0000000002</v>
      </c>
      <c r="GR9" s="81">
        <f>Revenue!GR51</f>
        <v>2059992.0000000002</v>
      </c>
      <c r="GS9" s="81">
        <f>Revenue!GS51</f>
        <v>2059992.0000000002</v>
      </c>
      <c r="GT9" s="81">
        <f>Revenue!GT51</f>
        <v>2059992.0000000002</v>
      </c>
      <c r="GU9" s="81">
        <f>Revenue!GU51</f>
        <v>2059992.0000000002</v>
      </c>
      <c r="GV9" s="81">
        <f>Revenue!GV51</f>
        <v>2059992.0000000002</v>
      </c>
      <c r="GW9" s="81">
        <f>Revenue!GW51</f>
        <v>2059992.0000000002</v>
      </c>
      <c r="GX9" s="81">
        <f>Revenue!GX51</f>
        <v>2059992.0000000002</v>
      </c>
      <c r="GY9" s="81">
        <f>Revenue!GY51</f>
        <v>2059992.0000000002</v>
      </c>
      <c r="GZ9" s="81">
        <f>Revenue!GZ51</f>
        <v>2059992.0000000002</v>
      </c>
      <c r="HA9" s="81">
        <f>Revenue!HA51</f>
        <v>2059992.0000000002</v>
      </c>
      <c r="HB9" s="81">
        <f>Revenue!HB51</f>
        <v>2059992.0000000002</v>
      </c>
      <c r="HC9" s="81">
        <f>Revenue!HC51</f>
        <v>2059992.0000000002</v>
      </c>
      <c r="HD9" s="81">
        <f>Revenue!HD51</f>
        <v>2059992.0000000002</v>
      </c>
      <c r="HE9" s="81">
        <f>Revenue!HE51</f>
        <v>2059992.0000000002</v>
      </c>
      <c r="HF9" s="81">
        <f>Revenue!HF51</f>
        <v>2059992.0000000002</v>
      </c>
      <c r="HG9" s="81">
        <f>Revenue!HG51</f>
        <v>2059992.0000000002</v>
      </c>
      <c r="HH9" s="81">
        <f>Revenue!HH51</f>
        <v>2059992.0000000002</v>
      </c>
      <c r="HI9" s="81">
        <f>Revenue!HI51</f>
        <v>2059992.0000000002</v>
      </c>
      <c r="HJ9" s="81">
        <f>Revenue!HJ51</f>
        <v>2059992.0000000002</v>
      </c>
      <c r="HK9" s="81">
        <f>Revenue!HK51</f>
        <v>2136288.0000000005</v>
      </c>
      <c r="HL9" s="81">
        <f>Revenue!HL51</f>
        <v>2136288.0000000005</v>
      </c>
      <c r="HM9" s="81">
        <f>Revenue!HM51</f>
        <v>2136288.0000000005</v>
      </c>
      <c r="HN9" s="81">
        <f>Revenue!HN51</f>
        <v>2136288.0000000005</v>
      </c>
      <c r="HO9" s="81">
        <f>Revenue!HO51</f>
        <v>2136288.0000000005</v>
      </c>
      <c r="HP9" s="81">
        <f>Revenue!HP51</f>
        <v>2136288.0000000005</v>
      </c>
      <c r="HQ9" s="81">
        <f>Revenue!HQ51</f>
        <v>2136288.0000000005</v>
      </c>
      <c r="HR9" s="81">
        <f>Revenue!HR51</f>
        <v>2136288.0000000005</v>
      </c>
      <c r="HS9" s="81">
        <f>Revenue!HS51</f>
        <v>2136288.0000000005</v>
      </c>
      <c r="HT9" s="81">
        <f>Revenue!HT51</f>
        <v>2136288.0000000005</v>
      </c>
      <c r="HU9" s="81">
        <f>Revenue!HU51</f>
        <v>2136288.0000000005</v>
      </c>
      <c r="HV9" s="81">
        <f>Revenue!HV51</f>
        <v>2136288.0000000005</v>
      </c>
      <c r="HW9" s="81">
        <f>Revenue!HW51</f>
        <v>2136288.0000000005</v>
      </c>
      <c r="HX9" s="81">
        <f>Revenue!HX51</f>
        <v>2136288.0000000005</v>
      </c>
      <c r="HY9" s="81">
        <f>Revenue!HY51</f>
        <v>2136288.0000000005</v>
      </c>
      <c r="HZ9" s="81">
        <f>Revenue!HZ51</f>
        <v>2136288.0000000005</v>
      </c>
      <c r="IA9" s="81">
        <f>Revenue!IA51</f>
        <v>2136288.0000000005</v>
      </c>
      <c r="IB9" s="81">
        <f>Revenue!IB51</f>
        <v>2136288.0000000005</v>
      </c>
      <c r="IC9" s="81">
        <f>Revenue!IC51</f>
        <v>2136288.0000000005</v>
      </c>
      <c r="ID9" s="81">
        <f>Revenue!ID51</f>
        <v>2136288.0000000005</v>
      </c>
      <c r="IE9" s="81">
        <f>Revenue!IE51</f>
        <v>2136288.0000000005</v>
      </c>
      <c r="IF9" s="81">
        <f>Revenue!IF51</f>
        <v>2136288.0000000005</v>
      </c>
      <c r="IG9" s="81">
        <f>Revenue!IG51</f>
        <v>2136288.0000000005</v>
      </c>
      <c r="IH9" s="81">
        <f>Revenue!IH51</f>
        <v>2136288.0000000005</v>
      </c>
    </row>
    <row r="10" spans="1:242" x14ac:dyDescent="0.45">
      <c r="A10" s="895" t="s">
        <v>169</v>
      </c>
      <c r="B10" s="896"/>
      <c r="C10" s="81">
        <f>Revenue!C52</f>
        <v>0</v>
      </c>
      <c r="D10" s="81">
        <f>Revenue!D52</f>
        <v>0</v>
      </c>
      <c r="E10" s="81">
        <f>Revenue!E52</f>
        <v>0</v>
      </c>
      <c r="F10" s="81">
        <f>Revenue!F52</f>
        <v>0</v>
      </c>
      <c r="G10" s="81">
        <f>Revenue!G52</f>
        <v>0</v>
      </c>
      <c r="H10" s="81">
        <f>Revenue!H52</f>
        <v>0</v>
      </c>
      <c r="I10" s="81">
        <f>Revenue!I52</f>
        <v>0</v>
      </c>
      <c r="J10" s="81">
        <f>Revenue!J52</f>
        <v>0</v>
      </c>
      <c r="K10" s="81">
        <f>Revenue!K52</f>
        <v>0</v>
      </c>
      <c r="L10" s="81">
        <f>Revenue!L52</f>
        <v>0</v>
      </c>
      <c r="M10" s="81">
        <f>Revenue!M52</f>
        <v>0</v>
      </c>
      <c r="N10" s="81">
        <f>Revenue!N52</f>
        <v>0</v>
      </c>
      <c r="O10" s="81">
        <f>Revenue!O52</f>
        <v>0</v>
      </c>
      <c r="P10" s="81">
        <f>Revenue!P52</f>
        <v>0</v>
      </c>
      <c r="Q10" s="81">
        <f>Revenue!Q52</f>
        <v>0</v>
      </c>
      <c r="R10" s="81">
        <f>Revenue!R52</f>
        <v>0</v>
      </c>
      <c r="S10" s="81">
        <f>Revenue!S52</f>
        <v>0</v>
      </c>
      <c r="T10" s="81">
        <f>Revenue!T52</f>
        <v>0</v>
      </c>
      <c r="U10" s="81">
        <f>Revenue!U52</f>
        <v>0</v>
      </c>
      <c r="V10" s="81">
        <f>Revenue!V52</f>
        <v>0</v>
      </c>
      <c r="W10" s="81">
        <f>Revenue!W52</f>
        <v>0</v>
      </c>
      <c r="X10" s="81">
        <f>Revenue!X52</f>
        <v>0</v>
      </c>
      <c r="Y10" s="81">
        <f>Revenue!Y52</f>
        <v>0</v>
      </c>
      <c r="Z10" s="81">
        <f>Revenue!Z52</f>
        <v>0</v>
      </c>
      <c r="AA10" s="81">
        <f>Revenue!AA52</f>
        <v>102600</v>
      </c>
      <c r="AB10" s="81">
        <f>Revenue!AB52</f>
        <v>102600</v>
      </c>
      <c r="AC10" s="81">
        <f>Revenue!AC52</f>
        <v>102600</v>
      </c>
      <c r="AD10" s="81">
        <f>Revenue!AD52</f>
        <v>102600</v>
      </c>
      <c r="AE10" s="81">
        <f>Revenue!AE52</f>
        <v>102600</v>
      </c>
      <c r="AF10" s="81">
        <f>Revenue!AF52</f>
        <v>102600</v>
      </c>
      <c r="AG10" s="81">
        <f>Revenue!AG52</f>
        <v>102600</v>
      </c>
      <c r="AH10" s="81">
        <f>Revenue!AH52</f>
        <v>102600</v>
      </c>
      <c r="AI10" s="81">
        <f>Revenue!AI52</f>
        <v>102600</v>
      </c>
      <c r="AJ10" s="81">
        <f>Revenue!AJ52</f>
        <v>102600</v>
      </c>
      <c r="AK10" s="81">
        <f>Revenue!AK52</f>
        <v>102600</v>
      </c>
      <c r="AL10" s="81">
        <f>Revenue!AL52</f>
        <v>102600</v>
      </c>
      <c r="AM10" s="81">
        <f>Revenue!AM52</f>
        <v>102600</v>
      </c>
      <c r="AN10" s="81">
        <f>Revenue!AN52</f>
        <v>102600</v>
      </c>
      <c r="AO10" s="81">
        <f>Revenue!AO52</f>
        <v>102600</v>
      </c>
      <c r="AP10" s="81">
        <f>Revenue!AP52</f>
        <v>102600</v>
      </c>
      <c r="AQ10" s="81">
        <f>Revenue!AQ52</f>
        <v>102600</v>
      </c>
      <c r="AR10" s="81">
        <f>Revenue!AR52</f>
        <v>102600</v>
      </c>
      <c r="AS10" s="81">
        <f>Revenue!AS52</f>
        <v>102600</v>
      </c>
      <c r="AT10" s="81">
        <f>Revenue!AT52</f>
        <v>102600</v>
      </c>
      <c r="AU10" s="81">
        <f>Revenue!AU52</f>
        <v>102600</v>
      </c>
      <c r="AV10" s="81">
        <f>Revenue!AV52</f>
        <v>102600</v>
      </c>
      <c r="AW10" s="81">
        <f>Revenue!AW52</f>
        <v>102600</v>
      </c>
      <c r="AX10" s="81">
        <f>Revenue!AX52</f>
        <v>102600</v>
      </c>
      <c r="AY10" s="81">
        <f>Revenue!AY52</f>
        <v>107730</v>
      </c>
      <c r="AZ10" s="81">
        <f>Revenue!AZ52</f>
        <v>107730</v>
      </c>
      <c r="BA10" s="81">
        <f>Revenue!BA52</f>
        <v>107730</v>
      </c>
      <c r="BB10" s="81">
        <f>Revenue!BB52</f>
        <v>107730</v>
      </c>
      <c r="BC10" s="81">
        <f>Revenue!BC52</f>
        <v>107730</v>
      </c>
      <c r="BD10" s="81">
        <f>Revenue!BD52</f>
        <v>107730</v>
      </c>
      <c r="BE10" s="81">
        <f>Revenue!BE52</f>
        <v>107730</v>
      </c>
      <c r="BF10" s="81">
        <f>Revenue!BF52</f>
        <v>107730</v>
      </c>
      <c r="BG10" s="81">
        <f>Revenue!BG52</f>
        <v>107730</v>
      </c>
      <c r="BH10" s="81">
        <f>Revenue!BH52</f>
        <v>107730</v>
      </c>
      <c r="BI10" s="81">
        <f>Revenue!BI52</f>
        <v>107730</v>
      </c>
      <c r="BJ10" s="81">
        <f>Revenue!BJ52</f>
        <v>107730</v>
      </c>
      <c r="BK10" s="81">
        <f>Revenue!BK52</f>
        <v>107730</v>
      </c>
      <c r="BL10" s="81">
        <f>Revenue!BL52</f>
        <v>107730</v>
      </c>
      <c r="BM10" s="81">
        <f>Revenue!BM52</f>
        <v>107730</v>
      </c>
      <c r="BN10" s="81">
        <f>Revenue!BN52</f>
        <v>107730</v>
      </c>
      <c r="BO10" s="81">
        <f>Revenue!BO52</f>
        <v>107730</v>
      </c>
      <c r="BP10" s="81">
        <f>Revenue!BP52</f>
        <v>107730</v>
      </c>
      <c r="BQ10" s="81">
        <f>Revenue!BQ52</f>
        <v>107730</v>
      </c>
      <c r="BR10" s="81">
        <f>Revenue!BR52</f>
        <v>107730</v>
      </c>
      <c r="BS10" s="81">
        <f>Revenue!BS52</f>
        <v>107730</v>
      </c>
      <c r="BT10" s="81">
        <f>Revenue!BT52</f>
        <v>107730</v>
      </c>
      <c r="BU10" s="81">
        <f>Revenue!BU52</f>
        <v>107730</v>
      </c>
      <c r="BV10" s="81">
        <f>Revenue!BV52</f>
        <v>107730</v>
      </c>
      <c r="BW10" s="81">
        <f>Revenue!BW52</f>
        <v>112860.00000000001</v>
      </c>
      <c r="BX10" s="81">
        <f>Revenue!BX52</f>
        <v>112860.00000000001</v>
      </c>
      <c r="BY10" s="81">
        <f>Revenue!BY52</f>
        <v>112860.00000000001</v>
      </c>
      <c r="BZ10" s="81">
        <f>Revenue!BZ52</f>
        <v>112860.00000000001</v>
      </c>
      <c r="CA10" s="81">
        <f>Revenue!CA52</f>
        <v>112860.00000000001</v>
      </c>
      <c r="CB10" s="81">
        <f>Revenue!CB52</f>
        <v>112860.00000000001</v>
      </c>
      <c r="CC10" s="81">
        <f>Revenue!CC52</f>
        <v>112860.00000000001</v>
      </c>
      <c r="CD10" s="81">
        <f>Revenue!CD52</f>
        <v>112860.00000000001</v>
      </c>
      <c r="CE10" s="81">
        <f>Revenue!CE52</f>
        <v>112860.00000000001</v>
      </c>
      <c r="CF10" s="81">
        <f>Revenue!CF52</f>
        <v>112860.00000000001</v>
      </c>
      <c r="CG10" s="81">
        <f>Revenue!CG52</f>
        <v>112860.00000000001</v>
      </c>
      <c r="CH10" s="81">
        <f>Revenue!CH52</f>
        <v>112860.00000000001</v>
      </c>
      <c r="CI10" s="81">
        <f>Revenue!CI52</f>
        <v>112860.00000000001</v>
      </c>
      <c r="CJ10" s="81">
        <f>Revenue!CJ52</f>
        <v>112860.00000000001</v>
      </c>
      <c r="CK10" s="81">
        <f>Revenue!CK52</f>
        <v>112860.00000000001</v>
      </c>
      <c r="CL10" s="81">
        <f>Revenue!CL52</f>
        <v>112860.00000000001</v>
      </c>
      <c r="CM10" s="81">
        <f>Revenue!CM52</f>
        <v>112860.00000000001</v>
      </c>
      <c r="CN10" s="81">
        <f>Revenue!CN52</f>
        <v>112860.00000000001</v>
      </c>
      <c r="CO10" s="81">
        <f>Revenue!CO52</f>
        <v>112860.00000000001</v>
      </c>
      <c r="CP10" s="81">
        <f>Revenue!CP52</f>
        <v>112860.00000000001</v>
      </c>
      <c r="CQ10" s="81">
        <f>Revenue!CQ52</f>
        <v>112860.00000000001</v>
      </c>
      <c r="CR10" s="81">
        <f>Revenue!CR52</f>
        <v>112860.00000000001</v>
      </c>
      <c r="CS10" s="81">
        <f>Revenue!CS52</f>
        <v>112860.00000000001</v>
      </c>
      <c r="CT10" s="81">
        <f>Revenue!CT52</f>
        <v>112860.00000000001</v>
      </c>
      <c r="CU10" s="81">
        <f>Revenue!CU52</f>
        <v>117990.00000000001</v>
      </c>
      <c r="CV10" s="81">
        <f>Revenue!CV52</f>
        <v>117990.00000000001</v>
      </c>
      <c r="CW10" s="81">
        <f>Revenue!CW52</f>
        <v>117990.00000000001</v>
      </c>
      <c r="CX10" s="81">
        <f>Revenue!CX52</f>
        <v>117990.00000000001</v>
      </c>
      <c r="CY10" s="81">
        <f>Revenue!CY52</f>
        <v>117990.00000000001</v>
      </c>
      <c r="CZ10" s="81">
        <f>Revenue!CZ52</f>
        <v>117990.00000000001</v>
      </c>
      <c r="DA10" s="81">
        <f>Revenue!DA52</f>
        <v>117990.00000000001</v>
      </c>
      <c r="DB10" s="81">
        <f>Revenue!DB52</f>
        <v>117990.00000000001</v>
      </c>
      <c r="DC10" s="81">
        <f>Revenue!DC52</f>
        <v>117990.00000000001</v>
      </c>
      <c r="DD10" s="81">
        <f>Revenue!DD52</f>
        <v>117990.00000000001</v>
      </c>
      <c r="DE10" s="81">
        <f>Revenue!DE52</f>
        <v>117990.00000000001</v>
      </c>
      <c r="DF10" s="81">
        <f>Revenue!DF52</f>
        <v>117990.00000000001</v>
      </c>
      <c r="DG10" s="81">
        <f>Revenue!DG52</f>
        <v>117990.00000000001</v>
      </c>
      <c r="DH10" s="81">
        <f>Revenue!DH52</f>
        <v>117990.00000000001</v>
      </c>
      <c r="DI10" s="81">
        <f>Revenue!DI52</f>
        <v>117990.00000000001</v>
      </c>
      <c r="DJ10" s="81">
        <f>Revenue!DJ52</f>
        <v>117990.00000000001</v>
      </c>
      <c r="DK10" s="81">
        <f>Revenue!DK52</f>
        <v>117990.00000000001</v>
      </c>
      <c r="DL10" s="81">
        <f>Revenue!DL52</f>
        <v>117990.00000000001</v>
      </c>
      <c r="DM10" s="81">
        <f>Revenue!DM52</f>
        <v>117990.00000000001</v>
      </c>
      <c r="DN10" s="81">
        <f>Revenue!DN52</f>
        <v>117990.00000000001</v>
      </c>
      <c r="DO10" s="81">
        <f>Revenue!DO52</f>
        <v>117990.00000000001</v>
      </c>
      <c r="DP10" s="81">
        <f>Revenue!DP52</f>
        <v>117990.00000000001</v>
      </c>
      <c r="DQ10" s="81">
        <f>Revenue!DQ52</f>
        <v>117990.00000000001</v>
      </c>
      <c r="DR10" s="81">
        <f>Revenue!DR52</f>
        <v>117990.00000000001</v>
      </c>
      <c r="DS10" s="81">
        <f>Revenue!DS52</f>
        <v>123120.00000000001</v>
      </c>
      <c r="DT10" s="81">
        <f>Revenue!DT52</f>
        <v>123120.00000000001</v>
      </c>
      <c r="DU10" s="81">
        <f>Revenue!DU52</f>
        <v>123120.00000000001</v>
      </c>
      <c r="DV10" s="81">
        <f>Revenue!DV52</f>
        <v>123120.00000000001</v>
      </c>
      <c r="DW10" s="81">
        <f>Revenue!DW52</f>
        <v>123120.00000000001</v>
      </c>
      <c r="DX10" s="81">
        <f>Revenue!DX52</f>
        <v>123120.00000000001</v>
      </c>
      <c r="DY10" s="81">
        <f>Revenue!DY52</f>
        <v>123120.00000000001</v>
      </c>
      <c r="DZ10" s="81">
        <f>Revenue!DZ52</f>
        <v>123120.00000000001</v>
      </c>
      <c r="EA10" s="81">
        <f>Revenue!EA52</f>
        <v>123120.00000000001</v>
      </c>
      <c r="EB10" s="81">
        <f>Revenue!EB52</f>
        <v>123120.00000000001</v>
      </c>
      <c r="EC10" s="81">
        <f>Revenue!EC52</f>
        <v>123120.00000000001</v>
      </c>
      <c r="ED10" s="81">
        <f>Revenue!ED52</f>
        <v>123120.00000000001</v>
      </c>
      <c r="EE10" s="81">
        <f>Revenue!EE52</f>
        <v>123120.00000000001</v>
      </c>
      <c r="EF10" s="81">
        <f>Revenue!EF52</f>
        <v>123120.00000000001</v>
      </c>
      <c r="EG10" s="81">
        <f>Revenue!EG52</f>
        <v>123120.00000000001</v>
      </c>
      <c r="EH10" s="81">
        <f>Revenue!EH52</f>
        <v>123120.00000000001</v>
      </c>
      <c r="EI10" s="81">
        <f>Revenue!EI52</f>
        <v>123120.00000000001</v>
      </c>
      <c r="EJ10" s="81">
        <f>Revenue!EJ52</f>
        <v>123120.00000000001</v>
      </c>
      <c r="EK10" s="81">
        <f>Revenue!EK52</f>
        <v>123120.00000000001</v>
      </c>
      <c r="EL10" s="81">
        <f>Revenue!EL52</f>
        <v>123120.00000000001</v>
      </c>
      <c r="EM10" s="81">
        <f>Revenue!EM52</f>
        <v>123120.00000000001</v>
      </c>
      <c r="EN10" s="81">
        <f>Revenue!EN52</f>
        <v>123120.00000000001</v>
      </c>
      <c r="EO10" s="81">
        <f>Revenue!EO52</f>
        <v>123120.00000000001</v>
      </c>
      <c r="EP10" s="81">
        <f>Revenue!EP52</f>
        <v>123120.00000000001</v>
      </c>
      <c r="EQ10" s="81">
        <f>Revenue!EQ52</f>
        <v>128250.00000000001</v>
      </c>
      <c r="ER10" s="81">
        <f>Revenue!ER52</f>
        <v>128250.00000000001</v>
      </c>
      <c r="ES10" s="81">
        <f>Revenue!ES52</f>
        <v>128250.00000000001</v>
      </c>
      <c r="ET10" s="81">
        <f>Revenue!ET52</f>
        <v>128250.00000000001</v>
      </c>
      <c r="EU10" s="81">
        <f>Revenue!EU52</f>
        <v>128250.00000000001</v>
      </c>
      <c r="EV10" s="81">
        <f>Revenue!EV52</f>
        <v>128250.00000000001</v>
      </c>
      <c r="EW10" s="81">
        <f>Revenue!EW52</f>
        <v>128250.00000000001</v>
      </c>
      <c r="EX10" s="81">
        <f>Revenue!EX52</f>
        <v>128250.00000000001</v>
      </c>
      <c r="EY10" s="81">
        <f>Revenue!EY52</f>
        <v>128250.00000000001</v>
      </c>
      <c r="EZ10" s="81">
        <f>Revenue!EZ52</f>
        <v>128250.00000000001</v>
      </c>
      <c r="FA10" s="81">
        <f>Revenue!FA52</f>
        <v>128250.00000000001</v>
      </c>
      <c r="FB10" s="81">
        <f>Revenue!FB52</f>
        <v>128250.00000000001</v>
      </c>
      <c r="FC10" s="81">
        <f>Revenue!FC52</f>
        <v>128250.00000000001</v>
      </c>
      <c r="FD10" s="81">
        <f>Revenue!FD52</f>
        <v>128250.00000000001</v>
      </c>
      <c r="FE10" s="81">
        <f>Revenue!FE52</f>
        <v>128250.00000000001</v>
      </c>
      <c r="FF10" s="81">
        <f>Revenue!FF52</f>
        <v>128250.00000000001</v>
      </c>
      <c r="FG10" s="81">
        <f>Revenue!FG52</f>
        <v>128250.00000000001</v>
      </c>
      <c r="FH10" s="81">
        <f>Revenue!FH52</f>
        <v>128250.00000000001</v>
      </c>
      <c r="FI10" s="81">
        <f>Revenue!FI52</f>
        <v>128250.00000000001</v>
      </c>
      <c r="FJ10" s="81">
        <f>Revenue!FJ52</f>
        <v>128250.00000000001</v>
      </c>
      <c r="FK10" s="81">
        <f>Revenue!FK52</f>
        <v>128250.00000000001</v>
      </c>
      <c r="FL10" s="81">
        <f>Revenue!FL52</f>
        <v>128250.00000000001</v>
      </c>
      <c r="FM10" s="81">
        <f>Revenue!FM52</f>
        <v>128250.00000000001</v>
      </c>
      <c r="FN10" s="81">
        <f>Revenue!FN52</f>
        <v>128250.00000000001</v>
      </c>
      <c r="FO10" s="81">
        <f>Revenue!FO52</f>
        <v>133380.00000000003</v>
      </c>
      <c r="FP10" s="81">
        <f>Revenue!FP52</f>
        <v>133380.00000000003</v>
      </c>
      <c r="FQ10" s="81">
        <f>Revenue!FQ52</f>
        <v>133380.00000000003</v>
      </c>
      <c r="FR10" s="81">
        <f>Revenue!FR52</f>
        <v>133380.00000000003</v>
      </c>
      <c r="FS10" s="81">
        <f>Revenue!FS52</f>
        <v>133380.00000000003</v>
      </c>
      <c r="FT10" s="81">
        <f>Revenue!FT52</f>
        <v>133380.00000000003</v>
      </c>
      <c r="FU10" s="81">
        <f>Revenue!FU52</f>
        <v>133380.00000000003</v>
      </c>
      <c r="FV10" s="81">
        <f>Revenue!FV52</f>
        <v>133380.00000000003</v>
      </c>
      <c r="FW10" s="81">
        <f>Revenue!FW52</f>
        <v>133380.00000000003</v>
      </c>
      <c r="FX10" s="81">
        <f>Revenue!FX52</f>
        <v>133380.00000000003</v>
      </c>
      <c r="FY10" s="81">
        <f>Revenue!FY52</f>
        <v>133380.00000000003</v>
      </c>
      <c r="FZ10" s="81">
        <f>Revenue!FZ52</f>
        <v>133380.00000000003</v>
      </c>
      <c r="GA10" s="81">
        <f>Revenue!GA52</f>
        <v>133380.00000000003</v>
      </c>
      <c r="GB10" s="81">
        <f>Revenue!GB52</f>
        <v>133380.00000000003</v>
      </c>
      <c r="GC10" s="81">
        <f>Revenue!GC52</f>
        <v>133380.00000000003</v>
      </c>
      <c r="GD10" s="81">
        <f>Revenue!GD52</f>
        <v>133380.00000000003</v>
      </c>
      <c r="GE10" s="81">
        <f>Revenue!GE52</f>
        <v>133380.00000000003</v>
      </c>
      <c r="GF10" s="81">
        <f>Revenue!GF52</f>
        <v>133380.00000000003</v>
      </c>
      <c r="GG10" s="81">
        <f>Revenue!GG52</f>
        <v>133380.00000000003</v>
      </c>
      <c r="GH10" s="81">
        <f>Revenue!GH52</f>
        <v>133380.00000000003</v>
      </c>
      <c r="GI10" s="81">
        <f>Revenue!GI52</f>
        <v>133380.00000000003</v>
      </c>
      <c r="GJ10" s="81">
        <f>Revenue!GJ52</f>
        <v>133380.00000000003</v>
      </c>
      <c r="GK10" s="81">
        <f>Revenue!GK52</f>
        <v>133380.00000000003</v>
      </c>
      <c r="GL10" s="81">
        <f>Revenue!GL52</f>
        <v>133380.00000000003</v>
      </c>
      <c r="GM10" s="81">
        <f>Revenue!GM52</f>
        <v>138510.00000000003</v>
      </c>
      <c r="GN10" s="81">
        <f>Revenue!GN52</f>
        <v>138510.00000000003</v>
      </c>
      <c r="GO10" s="81">
        <f>Revenue!GO52</f>
        <v>138510.00000000003</v>
      </c>
      <c r="GP10" s="81">
        <f>Revenue!GP52</f>
        <v>138510.00000000003</v>
      </c>
      <c r="GQ10" s="81">
        <f>Revenue!GQ52</f>
        <v>138510.00000000003</v>
      </c>
      <c r="GR10" s="81">
        <f>Revenue!GR52</f>
        <v>138510.00000000003</v>
      </c>
      <c r="GS10" s="81">
        <f>Revenue!GS52</f>
        <v>138510.00000000003</v>
      </c>
      <c r="GT10" s="81">
        <f>Revenue!GT52</f>
        <v>138510.00000000003</v>
      </c>
      <c r="GU10" s="81">
        <f>Revenue!GU52</f>
        <v>138510.00000000003</v>
      </c>
      <c r="GV10" s="81">
        <f>Revenue!GV52</f>
        <v>138510.00000000003</v>
      </c>
      <c r="GW10" s="81">
        <f>Revenue!GW52</f>
        <v>138510.00000000003</v>
      </c>
      <c r="GX10" s="81">
        <f>Revenue!GX52</f>
        <v>138510.00000000003</v>
      </c>
      <c r="GY10" s="81">
        <f>Revenue!GY52</f>
        <v>138510.00000000003</v>
      </c>
      <c r="GZ10" s="81">
        <f>Revenue!GZ52</f>
        <v>138510.00000000003</v>
      </c>
      <c r="HA10" s="81">
        <f>Revenue!HA52</f>
        <v>138510.00000000003</v>
      </c>
      <c r="HB10" s="81">
        <f>Revenue!HB52</f>
        <v>138510.00000000003</v>
      </c>
      <c r="HC10" s="81">
        <f>Revenue!HC52</f>
        <v>138510.00000000003</v>
      </c>
      <c r="HD10" s="81">
        <f>Revenue!HD52</f>
        <v>138510.00000000003</v>
      </c>
      <c r="HE10" s="81">
        <f>Revenue!HE52</f>
        <v>138510.00000000003</v>
      </c>
      <c r="HF10" s="81">
        <f>Revenue!HF52</f>
        <v>138510.00000000003</v>
      </c>
      <c r="HG10" s="81">
        <f>Revenue!HG52</f>
        <v>138510.00000000003</v>
      </c>
      <c r="HH10" s="81">
        <f>Revenue!HH52</f>
        <v>138510.00000000003</v>
      </c>
      <c r="HI10" s="81">
        <f>Revenue!HI52</f>
        <v>138510.00000000003</v>
      </c>
      <c r="HJ10" s="81">
        <f>Revenue!HJ52</f>
        <v>138510.00000000003</v>
      </c>
      <c r="HK10" s="81">
        <f>Revenue!HK52</f>
        <v>143640.00000000003</v>
      </c>
      <c r="HL10" s="81">
        <f>Revenue!HL52</f>
        <v>143640.00000000003</v>
      </c>
      <c r="HM10" s="81">
        <f>Revenue!HM52</f>
        <v>143640.00000000003</v>
      </c>
      <c r="HN10" s="81">
        <f>Revenue!HN52</f>
        <v>143640.00000000003</v>
      </c>
      <c r="HO10" s="81">
        <f>Revenue!HO52</f>
        <v>143640.00000000003</v>
      </c>
      <c r="HP10" s="81">
        <f>Revenue!HP52</f>
        <v>143640.00000000003</v>
      </c>
      <c r="HQ10" s="81">
        <f>Revenue!HQ52</f>
        <v>143640.00000000003</v>
      </c>
      <c r="HR10" s="81">
        <f>Revenue!HR52</f>
        <v>143640.00000000003</v>
      </c>
      <c r="HS10" s="81">
        <f>Revenue!HS52</f>
        <v>143640.00000000003</v>
      </c>
      <c r="HT10" s="81">
        <f>Revenue!HT52</f>
        <v>143640.00000000003</v>
      </c>
      <c r="HU10" s="81">
        <f>Revenue!HU52</f>
        <v>143640.00000000003</v>
      </c>
      <c r="HV10" s="81">
        <f>Revenue!HV52</f>
        <v>143640.00000000003</v>
      </c>
      <c r="HW10" s="81">
        <f>Revenue!HW52</f>
        <v>143640.00000000003</v>
      </c>
      <c r="HX10" s="81">
        <f>Revenue!HX52</f>
        <v>143640.00000000003</v>
      </c>
      <c r="HY10" s="81">
        <f>Revenue!HY52</f>
        <v>143640.00000000003</v>
      </c>
      <c r="HZ10" s="81">
        <f>Revenue!HZ52</f>
        <v>143640.00000000003</v>
      </c>
      <c r="IA10" s="81">
        <f>Revenue!IA52</f>
        <v>143640.00000000003</v>
      </c>
      <c r="IB10" s="81">
        <f>Revenue!IB52</f>
        <v>143640.00000000003</v>
      </c>
      <c r="IC10" s="81">
        <f>Revenue!IC52</f>
        <v>143640.00000000003</v>
      </c>
      <c r="ID10" s="81">
        <f>Revenue!ID52</f>
        <v>143640.00000000003</v>
      </c>
      <c r="IE10" s="81">
        <f>Revenue!IE52</f>
        <v>143640.00000000003</v>
      </c>
      <c r="IF10" s="81">
        <f>Revenue!IF52</f>
        <v>143640.00000000003</v>
      </c>
      <c r="IG10" s="81">
        <f>Revenue!IG52</f>
        <v>143640.00000000003</v>
      </c>
      <c r="IH10" s="81">
        <f>Revenue!IH52</f>
        <v>143640.00000000003</v>
      </c>
    </row>
    <row r="11" spans="1:242" x14ac:dyDescent="0.45">
      <c r="A11" s="895" t="s">
        <v>262</v>
      </c>
      <c r="B11" s="896"/>
      <c r="C11" s="81">
        <f>Revenue!C53</f>
        <v>0</v>
      </c>
      <c r="D11" s="81">
        <f>Revenue!D53</f>
        <v>0</v>
      </c>
      <c r="E11" s="81">
        <f>Revenue!E53</f>
        <v>0</v>
      </c>
      <c r="F11" s="81">
        <f>Revenue!F53</f>
        <v>0</v>
      </c>
      <c r="G11" s="81">
        <f>Revenue!G53</f>
        <v>0</v>
      </c>
      <c r="H11" s="81">
        <f>Revenue!H53</f>
        <v>0</v>
      </c>
      <c r="I11" s="81">
        <f>Revenue!I53</f>
        <v>0</v>
      </c>
      <c r="J11" s="81">
        <f>Revenue!J53</f>
        <v>0</v>
      </c>
      <c r="K11" s="81">
        <f>Revenue!K53</f>
        <v>0</v>
      </c>
      <c r="L11" s="81">
        <f>Revenue!L53</f>
        <v>0</v>
      </c>
      <c r="M11" s="81">
        <f>Revenue!M53</f>
        <v>0</v>
      </c>
      <c r="N11" s="81">
        <f>Revenue!N53</f>
        <v>0</v>
      </c>
      <c r="O11" s="81">
        <f>Revenue!O53</f>
        <v>0</v>
      </c>
      <c r="P11" s="81">
        <f>Revenue!P53</f>
        <v>0</v>
      </c>
      <c r="Q11" s="81">
        <f>Revenue!Q53</f>
        <v>0</v>
      </c>
      <c r="R11" s="81">
        <f>Revenue!R53</f>
        <v>0</v>
      </c>
      <c r="S11" s="81">
        <f>Revenue!S53</f>
        <v>0</v>
      </c>
      <c r="T11" s="81">
        <f>Revenue!T53</f>
        <v>0</v>
      </c>
      <c r="U11" s="81">
        <f>Revenue!U53</f>
        <v>0</v>
      </c>
      <c r="V11" s="81">
        <f>Revenue!V53</f>
        <v>0</v>
      </c>
      <c r="W11" s="81">
        <f>Revenue!W53</f>
        <v>0</v>
      </c>
      <c r="X11" s="81">
        <f>Revenue!X53</f>
        <v>0</v>
      </c>
      <c r="Y11" s="81">
        <f>Revenue!Y53</f>
        <v>0</v>
      </c>
      <c r="Z11" s="81">
        <f>Revenue!Z53</f>
        <v>0</v>
      </c>
      <c r="AA11" s="81">
        <f>Revenue!AA53</f>
        <v>110731.13513513513</v>
      </c>
      <c r="AB11" s="81">
        <f>Revenue!AB53</f>
        <v>110731.13513513513</v>
      </c>
      <c r="AC11" s="81">
        <f>Revenue!AC53</f>
        <v>110731.13513513513</v>
      </c>
      <c r="AD11" s="81">
        <f>Revenue!AD53</f>
        <v>110731.13513513513</v>
      </c>
      <c r="AE11" s="81">
        <f>Revenue!AE53</f>
        <v>110731.13513513513</v>
      </c>
      <c r="AF11" s="81">
        <f>Revenue!AF53</f>
        <v>110731.13513513513</v>
      </c>
      <c r="AG11" s="81">
        <f>Revenue!AG53</f>
        <v>110731.13513513513</v>
      </c>
      <c r="AH11" s="81">
        <f>Revenue!AH53</f>
        <v>110731.13513513513</v>
      </c>
      <c r="AI11" s="81">
        <f>Revenue!AI53</f>
        <v>110731.13513513513</v>
      </c>
      <c r="AJ11" s="81">
        <f>Revenue!AJ53</f>
        <v>110731.13513513513</v>
      </c>
      <c r="AK11" s="81">
        <f>Revenue!AK53</f>
        <v>110731.13513513513</v>
      </c>
      <c r="AL11" s="81">
        <f>Revenue!AL53</f>
        <v>110731.13513513513</v>
      </c>
      <c r="AM11" s="81">
        <f>Revenue!AM53</f>
        <v>184551.89189189189</v>
      </c>
      <c r="AN11" s="81">
        <f>Revenue!AN53</f>
        <v>184551.89189189189</v>
      </c>
      <c r="AO11" s="81">
        <f>Revenue!AO53</f>
        <v>184551.89189189189</v>
      </c>
      <c r="AP11" s="81">
        <f>Revenue!AP53</f>
        <v>184551.89189189189</v>
      </c>
      <c r="AQ11" s="81">
        <f>Revenue!AQ53</f>
        <v>184551.89189189189</v>
      </c>
      <c r="AR11" s="81">
        <f>Revenue!AR53</f>
        <v>184551.89189189189</v>
      </c>
      <c r="AS11" s="81">
        <f>Revenue!AS53</f>
        <v>184551.89189189189</v>
      </c>
      <c r="AT11" s="81">
        <f>Revenue!AT53</f>
        <v>184551.89189189189</v>
      </c>
      <c r="AU11" s="81">
        <f>Revenue!AU53</f>
        <v>184551.89189189189</v>
      </c>
      <c r="AV11" s="81">
        <f>Revenue!AV53</f>
        <v>184551.89189189189</v>
      </c>
      <c r="AW11" s="81">
        <f>Revenue!AW53</f>
        <v>184551.89189189189</v>
      </c>
      <c r="AX11" s="81">
        <f>Revenue!AX53</f>
        <v>184551.89189189189</v>
      </c>
      <c r="AY11" s="81">
        <f>Revenue!AY53</f>
        <v>271291.28108108108</v>
      </c>
      <c r="AZ11" s="81">
        <f>Revenue!AZ53</f>
        <v>271291.28108108108</v>
      </c>
      <c r="BA11" s="81">
        <f>Revenue!BA53</f>
        <v>271291.28108108108</v>
      </c>
      <c r="BB11" s="81">
        <f>Revenue!BB53</f>
        <v>271291.28108108108</v>
      </c>
      <c r="BC11" s="81">
        <f>Revenue!BC53</f>
        <v>271291.28108108108</v>
      </c>
      <c r="BD11" s="81">
        <f>Revenue!BD53</f>
        <v>271291.28108108108</v>
      </c>
      <c r="BE11" s="81">
        <f>Revenue!BE53</f>
        <v>271291.28108108108</v>
      </c>
      <c r="BF11" s="81">
        <f>Revenue!BF53</f>
        <v>271291.28108108108</v>
      </c>
      <c r="BG11" s="81">
        <f>Revenue!BG53</f>
        <v>271291.28108108108</v>
      </c>
      <c r="BH11" s="81">
        <f>Revenue!BH53</f>
        <v>271291.28108108108</v>
      </c>
      <c r="BI11" s="81">
        <f>Revenue!BI53</f>
        <v>271291.28108108108</v>
      </c>
      <c r="BJ11" s="81">
        <f>Revenue!BJ53</f>
        <v>271291.28108108108</v>
      </c>
      <c r="BK11" s="81">
        <f>Revenue!BK53</f>
        <v>329425.12702702708</v>
      </c>
      <c r="BL11" s="81">
        <f>Revenue!BL53</f>
        <v>329425.12702702708</v>
      </c>
      <c r="BM11" s="81">
        <f>Revenue!BM53</f>
        <v>329425.12702702708</v>
      </c>
      <c r="BN11" s="81">
        <f>Revenue!BN53</f>
        <v>329425.12702702708</v>
      </c>
      <c r="BO11" s="81">
        <f>Revenue!BO53</f>
        <v>329425.12702702708</v>
      </c>
      <c r="BP11" s="81">
        <f>Revenue!BP53</f>
        <v>329425.12702702708</v>
      </c>
      <c r="BQ11" s="81">
        <f>Revenue!BQ53</f>
        <v>329425.12702702708</v>
      </c>
      <c r="BR11" s="81">
        <f>Revenue!BR53</f>
        <v>329425.12702702708</v>
      </c>
      <c r="BS11" s="81">
        <f>Revenue!BS53</f>
        <v>329425.12702702708</v>
      </c>
      <c r="BT11" s="81">
        <f>Revenue!BT53</f>
        <v>329425.12702702708</v>
      </c>
      <c r="BU11" s="81">
        <f>Revenue!BU53</f>
        <v>329425.12702702708</v>
      </c>
      <c r="BV11" s="81">
        <f>Revenue!BV53</f>
        <v>329425.12702702708</v>
      </c>
      <c r="BW11" s="81">
        <f>Revenue!BW53</f>
        <v>345112.03783783782</v>
      </c>
      <c r="BX11" s="81">
        <f>Revenue!BX53</f>
        <v>345112.03783783782</v>
      </c>
      <c r="BY11" s="81">
        <f>Revenue!BY53</f>
        <v>345112.03783783782</v>
      </c>
      <c r="BZ11" s="81">
        <f>Revenue!BZ53</f>
        <v>345112.03783783782</v>
      </c>
      <c r="CA11" s="81">
        <f>Revenue!CA53</f>
        <v>345112.03783783782</v>
      </c>
      <c r="CB11" s="81">
        <f>Revenue!CB53</f>
        <v>345112.03783783782</v>
      </c>
      <c r="CC11" s="81">
        <f>Revenue!CC53</f>
        <v>345112.03783783782</v>
      </c>
      <c r="CD11" s="81">
        <f>Revenue!CD53</f>
        <v>345112.03783783782</v>
      </c>
      <c r="CE11" s="81">
        <f>Revenue!CE53</f>
        <v>345112.03783783782</v>
      </c>
      <c r="CF11" s="81">
        <f>Revenue!CF53</f>
        <v>345112.03783783782</v>
      </c>
      <c r="CG11" s="81">
        <f>Revenue!CG53</f>
        <v>345112.03783783782</v>
      </c>
      <c r="CH11" s="81">
        <f>Revenue!CH53</f>
        <v>345112.03783783782</v>
      </c>
      <c r="CI11" s="81">
        <f>Revenue!CI53</f>
        <v>345112.03783783782</v>
      </c>
      <c r="CJ11" s="81">
        <f>Revenue!CJ53</f>
        <v>345112.03783783782</v>
      </c>
      <c r="CK11" s="81">
        <f>Revenue!CK53</f>
        <v>345112.03783783782</v>
      </c>
      <c r="CL11" s="81">
        <f>Revenue!CL53</f>
        <v>345112.03783783782</v>
      </c>
      <c r="CM11" s="81">
        <f>Revenue!CM53</f>
        <v>345112.03783783782</v>
      </c>
      <c r="CN11" s="81">
        <f>Revenue!CN53</f>
        <v>345112.03783783782</v>
      </c>
      <c r="CO11" s="81">
        <f>Revenue!CO53</f>
        <v>345112.03783783782</v>
      </c>
      <c r="CP11" s="81">
        <f>Revenue!CP53</f>
        <v>345112.03783783782</v>
      </c>
      <c r="CQ11" s="81">
        <f>Revenue!CQ53</f>
        <v>345112.03783783782</v>
      </c>
      <c r="CR11" s="81">
        <f>Revenue!CR53</f>
        <v>345112.03783783782</v>
      </c>
      <c r="CS11" s="81">
        <f>Revenue!CS53</f>
        <v>345112.03783783782</v>
      </c>
      <c r="CT11" s="81">
        <f>Revenue!CT53</f>
        <v>345112.03783783782</v>
      </c>
      <c r="CU11" s="81">
        <f>Revenue!CU53</f>
        <v>360798.94864864869</v>
      </c>
      <c r="CV11" s="81">
        <f>Revenue!CV53</f>
        <v>360798.94864864869</v>
      </c>
      <c r="CW11" s="81">
        <f>Revenue!CW53</f>
        <v>360798.94864864869</v>
      </c>
      <c r="CX11" s="81">
        <f>Revenue!CX53</f>
        <v>360798.94864864869</v>
      </c>
      <c r="CY11" s="81">
        <f>Revenue!CY53</f>
        <v>360798.94864864869</v>
      </c>
      <c r="CZ11" s="81">
        <f>Revenue!CZ53</f>
        <v>360798.94864864869</v>
      </c>
      <c r="DA11" s="81">
        <f>Revenue!DA53</f>
        <v>360798.94864864869</v>
      </c>
      <c r="DB11" s="81">
        <f>Revenue!DB53</f>
        <v>360798.94864864869</v>
      </c>
      <c r="DC11" s="81">
        <f>Revenue!DC53</f>
        <v>360798.94864864869</v>
      </c>
      <c r="DD11" s="81">
        <f>Revenue!DD53</f>
        <v>360798.94864864869</v>
      </c>
      <c r="DE11" s="81">
        <f>Revenue!DE53</f>
        <v>360798.94864864869</v>
      </c>
      <c r="DF11" s="81">
        <f>Revenue!DF53</f>
        <v>360798.94864864869</v>
      </c>
      <c r="DG11" s="81">
        <f>Revenue!DG53</f>
        <v>360798.94864864869</v>
      </c>
      <c r="DH11" s="81">
        <f>Revenue!DH53</f>
        <v>360798.94864864869</v>
      </c>
      <c r="DI11" s="81">
        <f>Revenue!DI53</f>
        <v>360798.94864864869</v>
      </c>
      <c r="DJ11" s="81">
        <f>Revenue!DJ53</f>
        <v>360798.94864864869</v>
      </c>
      <c r="DK11" s="81">
        <f>Revenue!DK53</f>
        <v>360798.94864864869</v>
      </c>
      <c r="DL11" s="81">
        <f>Revenue!DL53</f>
        <v>360798.94864864869</v>
      </c>
      <c r="DM11" s="81">
        <f>Revenue!DM53</f>
        <v>360798.94864864869</v>
      </c>
      <c r="DN11" s="81">
        <f>Revenue!DN53</f>
        <v>360798.94864864869</v>
      </c>
      <c r="DO11" s="81">
        <f>Revenue!DO53</f>
        <v>360798.94864864869</v>
      </c>
      <c r="DP11" s="81">
        <f>Revenue!DP53</f>
        <v>360798.94864864869</v>
      </c>
      <c r="DQ11" s="81">
        <f>Revenue!DQ53</f>
        <v>360798.94864864869</v>
      </c>
      <c r="DR11" s="81">
        <f>Revenue!DR53</f>
        <v>360798.94864864869</v>
      </c>
      <c r="DS11" s="81">
        <f>Revenue!DS53</f>
        <v>376485.85945945955</v>
      </c>
      <c r="DT11" s="81">
        <f>Revenue!DT53</f>
        <v>376485.85945945955</v>
      </c>
      <c r="DU11" s="81">
        <f>Revenue!DU53</f>
        <v>376485.85945945955</v>
      </c>
      <c r="DV11" s="81">
        <f>Revenue!DV53</f>
        <v>376485.85945945955</v>
      </c>
      <c r="DW11" s="81">
        <f>Revenue!DW53</f>
        <v>376485.85945945955</v>
      </c>
      <c r="DX11" s="81">
        <f>Revenue!DX53</f>
        <v>376485.85945945955</v>
      </c>
      <c r="DY11" s="81">
        <f>Revenue!DY53</f>
        <v>376485.85945945955</v>
      </c>
      <c r="DZ11" s="81">
        <f>Revenue!DZ53</f>
        <v>376485.85945945955</v>
      </c>
      <c r="EA11" s="81">
        <f>Revenue!EA53</f>
        <v>376485.85945945955</v>
      </c>
      <c r="EB11" s="81">
        <f>Revenue!EB53</f>
        <v>376485.85945945955</v>
      </c>
      <c r="EC11" s="81">
        <f>Revenue!EC53</f>
        <v>376485.85945945955</v>
      </c>
      <c r="ED11" s="81">
        <f>Revenue!ED53</f>
        <v>376485.85945945955</v>
      </c>
      <c r="EE11" s="81">
        <f>Revenue!EE53</f>
        <v>376485.85945945955</v>
      </c>
      <c r="EF11" s="81">
        <f>Revenue!EF53</f>
        <v>376485.85945945955</v>
      </c>
      <c r="EG11" s="81">
        <f>Revenue!EG53</f>
        <v>376485.85945945955</v>
      </c>
      <c r="EH11" s="81">
        <f>Revenue!EH53</f>
        <v>376485.85945945955</v>
      </c>
      <c r="EI11" s="81">
        <f>Revenue!EI53</f>
        <v>376485.85945945955</v>
      </c>
      <c r="EJ11" s="81">
        <f>Revenue!EJ53</f>
        <v>376485.85945945955</v>
      </c>
      <c r="EK11" s="81">
        <f>Revenue!EK53</f>
        <v>376485.85945945955</v>
      </c>
      <c r="EL11" s="81">
        <f>Revenue!EL53</f>
        <v>376485.85945945955</v>
      </c>
      <c r="EM11" s="81">
        <f>Revenue!EM53</f>
        <v>376485.85945945955</v>
      </c>
      <c r="EN11" s="81">
        <f>Revenue!EN53</f>
        <v>376485.85945945955</v>
      </c>
      <c r="EO11" s="81">
        <f>Revenue!EO53</f>
        <v>376485.85945945955</v>
      </c>
      <c r="EP11" s="81">
        <f>Revenue!EP53</f>
        <v>376485.85945945955</v>
      </c>
      <c r="EQ11" s="81">
        <f>Revenue!EQ53</f>
        <v>392172.7702702703</v>
      </c>
      <c r="ER11" s="81">
        <f>Revenue!ER53</f>
        <v>392172.7702702703</v>
      </c>
      <c r="ES11" s="81">
        <f>Revenue!ES53</f>
        <v>392172.7702702703</v>
      </c>
      <c r="ET11" s="81">
        <f>Revenue!ET53</f>
        <v>392172.7702702703</v>
      </c>
      <c r="EU11" s="81">
        <f>Revenue!EU53</f>
        <v>392172.7702702703</v>
      </c>
      <c r="EV11" s="81">
        <f>Revenue!EV53</f>
        <v>392172.7702702703</v>
      </c>
      <c r="EW11" s="81">
        <f>Revenue!EW53</f>
        <v>392172.7702702703</v>
      </c>
      <c r="EX11" s="81">
        <f>Revenue!EX53</f>
        <v>392172.7702702703</v>
      </c>
      <c r="EY11" s="81">
        <f>Revenue!EY53</f>
        <v>392172.7702702703</v>
      </c>
      <c r="EZ11" s="81">
        <f>Revenue!EZ53</f>
        <v>392172.7702702703</v>
      </c>
      <c r="FA11" s="81">
        <f>Revenue!FA53</f>
        <v>392172.7702702703</v>
      </c>
      <c r="FB11" s="81">
        <f>Revenue!FB53</f>
        <v>392172.7702702703</v>
      </c>
      <c r="FC11" s="81">
        <f>Revenue!FC53</f>
        <v>392172.7702702703</v>
      </c>
      <c r="FD11" s="81">
        <f>Revenue!FD53</f>
        <v>392172.7702702703</v>
      </c>
      <c r="FE11" s="81">
        <f>Revenue!FE53</f>
        <v>392172.7702702703</v>
      </c>
      <c r="FF11" s="81">
        <f>Revenue!FF53</f>
        <v>392172.7702702703</v>
      </c>
      <c r="FG11" s="81">
        <f>Revenue!FG53</f>
        <v>392172.7702702703</v>
      </c>
      <c r="FH11" s="81">
        <f>Revenue!FH53</f>
        <v>392172.7702702703</v>
      </c>
      <c r="FI11" s="81">
        <f>Revenue!FI53</f>
        <v>392172.7702702703</v>
      </c>
      <c r="FJ11" s="81">
        <f>Revenue!FJ53</f>
        <v>392172.7702702703</v>
      </c>
      <c r="FK11" s="81">
        <f>Revenue!FK53</f>
        <v>392172.7702702703</v>
      </c>
      <c r="FL11" s="81">
        <f>Revenue!FL53</f>
        <v>392172.7702702703</v>
      </c>
      <c r="FM11" s="81">
        <f>Revenue!FM53</f>
        <v>392172.7702702703</v>
      </c>
      <c r="FN11" s="81">
        <f>Revenue!FN53</f>
        <v>392172.7702702703</v>
      </c>
      <c r="FO11" s="81">
        <f>Revenue!FO53</f>
        <v>407859.68108108116</v>
      </c>
      <c r="FP11" s="81">
        <f>Revenue!FP53</f>
        <v>407859.68108108116</v>
      </c>
      <c r="FQ11" s="81">
        <f>Revenue!FQ53</f>
        <v>407859.68108108116</v>
      </c>
      <c r="FR11" s="81">
        <f>Revenue!FR53</f>
        <v>407859.68108108116</v>
      </c>
      <c r="FS11" s="81">
        <f>Revenue!FS53</f>
        <v>407859.68108108116</v>
      </c>
      <c r="FT11" s="81">
        <f>Revenue!FT53</f>
        <v>407859.68108108116</v>
      </c>
      <c r="FU11" s="81">
        <f>Revenue!FU53</f>
        <v>407859.68108108116</v>
      </c>
      <c r="FV11" s="81">
        <f>Revenue!FV53</f>
        <v>407859.68108108116</v>
      </c>
      <c r="FW11" s="81">
        <f>Revenue!FW53</f>
        <v>407859.68108108116</v>
      </c>
      <c r="FX11" s="81">
        <f>Revenue!FX53</f>
        <v>407859.68108108116</v>
      </c>
      <c r="FY11" s="81">
        <f>Revenue!FY53</f>
        <v>407859.68108108116</v>
      </c>
      <c r="FZ11" s="81">
        <f>Revenue!FZ53</f>
        <v>407859.68108108116</v>
      </c>
      <c r="GA11" s="81">
        <f>Revenue!GA53</f>
        <v>407859.68108108116</v>
      </c>
      <c r="GB11" s="81">
        <f>Revenue!GB53</f>
        <v>407859.68108108116</v>
      </c>
      <c r="GC11" s="81">
        <f>Revenue!GC53</f>
        <v>407859.68108108116</v>
      </c>
      <c r="GD11" s="81">
        <f>Revenue!GD53</f>
        <v>407859.68108108116</v>
      </c>
      <c r="GE11" s="81">
        <f>Revenue!GE53</f>
        <v>407859.68108108116</v>
      </c>
      <c r="GF11" s="81">
        <f>Revenue!GF53</f>
        <v>407859.68108108116</v>
      </c>
      <c r="GG11" s="81">
        <f>Revenue!GG53</f>
        <v>407859.68108108116</v>
      </c>
      <c r="GH11" s="81">
        <f>Revenue!GH53</f>
        <v>407859.68108108116</v>
      </c>
      <c r="GI11" s="81">
        <f>Revenue!GI53</f>
        <v>407859.68108108116</v>
      </c>
      <c r="GJ11" s="81">
        <f>Revenue!GJ53</f>
        <v>407859.68108108116</v>
      </c>
      <c r="GK11" s="81">
        <f>Revenue!GK53</f>
        <v>407859.68108108116</v>
      </c>
      <c r="GL11" s="81">
        <f>Revenue!GL53</f>
        <v>407859.68108108116</v>
      </c>
      <c r="GM11" s="81">
        <f>Revenue!GM53</f>
        <v>423546.59189189196</v>
      </c>
      <c r="GN11" s="81">
        <f>Revenue!GN53</f>
        <v>423546.59189189196</v>
      </c>
      <c r="GO11" s="81">
        <f>Revenue!GO53</f>
        <v>423546.59189189196</v>
      </c>
      <c r="GP11" s="81">
        <f>Revenue!GP53</f>
        <v>423546.59189189196</v>
      </c>
      <c r="GQ11" s="81">
        <f>Revenue!GQ53</f>
        <v>423546.59189189196</v>
      </c>
      <c r="GR11" s="81">
        <f>Revenue!GR53</f>
        <v>423546.59189189196</v>
      </c>
      <c r="GS11" s="81">
        <f>Revenue!GS53</f>
        <v>423546.59189189196</v>
      </c>
      <c r="GT11" s="81">
        <f>Revenue!GT53</f>
        <v>423546.59189189196</v>
      </c>
      <c r="GU11" s="81">
        <f>Revenue!GU53</f>
        <v>423546.59189189196</v>
      </c>
      <c r="GV11" s="81">
        <f>Revenue!GV53</f>
        <v>423546.59189189196</v>
      </c>
      <c r="GW11" s="81">
        <f>Revenue!GW53</f>
        <v>423546.59189189196</v>
      </c>
      <c r="GX11" s="81">
        <f>Revenue!GX53</f>
        <v>423546.59189189196</v>
      </c>
      <c r="GY11" s="81">
        <f>Revenue!GY53</f>
        <v>423546.59189189196</v>
      </c>
      <c r="GZ11" s="81">
        <f>Revenue!GZ53</f>
        <v>423546.59189189196</v>
      </c>
      <c r="HA11" s="81">
        <f>Revenue!HA53</f>
        <v>423546.59189189196</v>
      </c>
      <c r="HB11" s="81">
        <f>Revenue!HB53</f>
        <v>423546.59189189196</v>
      </c>
      <c r="HC11" s="81">
        <f>Revenue!HC53</f>
        <v>423546.59189189196</v>
      </c>
      <c r="HD11" s="81">
        <f>Revenue!HD53</f>
        <v>423546.59189189196</v>
      </c>
      <c r="HE11" s="81">
        <f>Revenue!HE53</f>
        <v>423546.59189189196</v>
      </c>
      <c r="HF11" s="81">
        <f>Revenue!HF53</f>
        <v>423546.59189189196</v>
      </c>
      <c r="HG11" s="81">
        <f>Revenue!HG53</f>
        <v>423546.59189189196</v>
      </c>
      <c r="HH11" s="81">
        <f>Revenue!HH53</f>
        <v>423546.59189189196</v>
      </c>
      <c r="HI11" s="81">
        <f>Revenue!HI53</f>
        <v>423546.59189189196</v>
      </c>
      <c r="HJ11" s="81">
        <f>Revenue!HJ53</f>
        <v>423546.59189189196</v>
      </c>
      <c r="HK11" s="81">
        <f>Revenue!HK53</f>
        <v>439233.50270270277</v>
      </c>
      <c r="HL11" s="81">
        <f>Revenue!HL53</f>
        <v>439233.50270270277</v>
      </c>
      <c r="HM11" s="81">
        <f>Revenue!HM53</f>
        <v>439233.50270270277</v>
      </c>
      <c r="HN11" s="81">
        <f>Revenue!HN53</f>
        <v>439233.50270270277</v>
      </c>
      <c r="HO11" s="81">
        <f>Revenue!HO53</f>
        <v>439233.50270270277</v>
      </c>
      <c r="HP11" s="81">
        <f>Revenue!HP53</f>
        <v>439233.50270270277</v>
      </c>
      <c r="HQ11" s="81">
        <f>Revenue!HQ53</f>
        <v>439233.50270270277</v>
      </c>
      <c r="HR11" s="81">
        <f>Revenue!HR53</f>
        <v>439233.50270270277</v>
      </c>
      <c r="HS11" s="81">
        <f>Revenue!HS53</f>
        <v>439233.50270270277</v>
      </c>
      <c r="HT11" s="81">
        <f>Revenue!HT53</f>
        <v>439233.50270270277</v>
      </c>
      <c r="HU11" s="81">
        <f>Revenue!HU53</f>
        <v>439233.50270270277</v>
      </c>
      <c r="HV11" s="81">
        <f>Revenue!HV53</f>
        <v>439233.50270270277</v>
      </c>
      <c r="HW11" s="81">
        <f>Revenue!HW53</f>
        <v>439233.50270270277</v>
      </c>
      <c r="HX11" s="81">
        <f>Revenue!HX53</f>
        <v>439233.50270270277</v>
      </c>
      <c r="HY11" s="81">
        <f>Revenue!HY53</f>
        <v>439233.50270270277</v>
      </c>
      <c r="HZ11" s="81">
        <f>Revenue!HZ53</f>
        <v>439233.50270270277</v>
      </c>
      <c r="IA11" s="81">
        <f>Revenue!IA53</f>
        <v>439233.50270270277</v>
      </c>
      <c r="IB11" s="81">
        <f>Revenue!IB53</f>
        <v>439233.50270270277</v>
      </c>
      <c r="IC11" s="81">
        <f>Revenue!IC53</f>
        <v>439233.50270270277</v>
      </c>
      <c r="ID11" s="81">
        <f>Revenue!ID53</f>
        <v>439233.50270270277</v>
      </c>
      <c r="IE11" s="81">
        <f>Revenue!IE53</f>
        <v>439233.50270270277</v>
      </c>
      <c r="IF11" s="81">
        <f>Revenue!IF53</f>
        <v>439233.50270270277</v>
      </c>
      <c r="IG11" s="81">
        <f>Revenue!IG53</f>
        <v>439233.50270270277</v>
      </c>
      <c r="IH11" s="81">
        <f>Revenue!IH53</f>
        <v>439233.50270270277</v>
      </c>
    </row>
    <row r="12" spans="1:242" ht="14.65" thickBot="1" x14ac:dyDescent="0.5">
      <c r="A12" s="895" t="s">
        <v>263</v>
      </c>
      <c r="B12" s="896"/>
      <c r="C12" s="82">
        <f>Revenue!C54</f>
        <v>0</v>
      </c>
      <c r="D12" s="82">
        <f>Revenue!D54</f>
        <v>0</v>
      </c>
      <c r="E12" s="82">
        <f>Revenue!E54</f>
        <v>0</v>
      </c>
      <c r="F12" s="82">
        <f>Revenue!F54</f>
        <v>0</v>
      </c>
      <c r="G12" s="82">
        <f>Revenue!G54</f>
        <v>0</v>
      </c>
      <c r="H12" s="82">
        <f>Revenue!H54</f>
        <v>0</v>
      </c>
      <c r="I12" s="82">
        <f>Revenue!I54</f>
        <v>0</v>
      </c>
      <c r="J12" s="82">
        <f>Revenue!J54</f>
        <v>0</v>
      </c>
      <c r="K12" s="82">
        <f>Revenue!K54</f>
        <v>0</v>
      </c>
      <c r="L12" s="82">
        <f>Revenue!L54</f>
        <v>0</v>
      </c>
      <c r="M12" s="82">
        <f>Revenue!M54</f>
        <v>0</v>
      </c>
      <c r="N12" s="82">
        <f>Revenue!N54</f>
        <v>0</v>
      </c>
      <c r="O12" s="82">
        <f>Revenue!O54</f>
        <v>0</v>
      </c>
      <c r="P12" s="82">
        <f>Revenue!P54</f>
        <v>0</v>
      </c>
      <c r="Q12" s="82">
        <f>Revenue!Q54</f>
        <v>0</v>
      </c>
      <c r="R12" s="82">
        <f>Revenue!R54</f>
        <v>0</v>
      </c>
      <c r="S12" s="82">
        <f>Revenue!S54</f>
        <v>0</v>
      </c>
      <c r="T12" s="82">
        <f>Revenue!T54</f>
        <v>0</v>
      </c>
      <c r="U12" s="82">
        <f>Revenue!U54</f>
        <v>0</v>
      </c>
      <c r="V12" s="82">
        <f>Revenue!V54</f>
        <v>0</v>
      </c>
      <c r="W12" s="82">
        <f>Revenue!W54</f>
        <v>0</v>
      </c>
      <c r="X12" s="82">
        <f>Revenue!X54</f>
        <v>0</v>
      </c>
      <c r="Y12" s="82">
        <f>Revenue!Y54</f>
        <v>0</v>
      </c>
      <c r="Z12" s="82">
        <f>Revenue!Z54</f>
        <v>0</v>
      </c>
      <c r="AA12" s="82">
        <f>Revenue!AA54</f>
        <v>226800</v>
      </c>
      <c r="AB12" s="82">
        <f>Revenue!AB54</f>
        <v>226800</v>
      </c>
      <c r="AC12" s="82">
        <f>Revenue!AC54</f>
        <v>226800</v>
      </c>
      <c r="AD12" s="82">
        <f>Revenue!AD54</f>
        <v>226800</v>
      </c>
      <c r="AE12" s="82">
        <f>Revenue!AE54</f>
        <v>226800</v>
      </c>
      <c r="AF12" s="82">
        <f>Revenue!AF54</f>
        <v>226800</v>
      </c>
      <c r="AG12" s="82">
        <f>Revenue!AG54</f>
        <v>226800</v>
      </c>
      <c r="AH12" s="82">
        <f>Revenue!AH54</f>
        <v>226800</v>
      </c>
      <c r="AI12" s="82">
        <f>Revenue!AI54</f>
        <v>226800</v>
      </c>
      <c r="AJ12" s="82">
        <f>Revenue!AJ54</f>
        <v>226800</v>
      </c>
      <c r="AK12" s="82">
        <f>Revenue!AK54</f>
        <v>226800</v>
      </c>
      <c r="AL12" s="82">
        <f>Revenue!AL54</f>
        <v>226800</v>
      </c>
      <c r="AM12" s="82">
        <f>Revenue!AM54</f>
        <v>378000</v>
      </c>
      <c r="AN12" s="82">
        <f>Revenue!AN54</f>
        <v>378000</v>
      </c>
      <c r="AO12" s="82">
        <f>Revenue!AO54</f>
        <v>378000</v>
      </c>
      <c r="AP12" s="82">
        <f>Revenue!AP54</f>
        <v>378000</v>
      </c>
      <c r="AQ12" s="82">
        <f>Revenue!AQ54</f>
        <v>378000</v>
      </c>
      <c r="AR12" s="82">
        <f>Revenue!AR54</f>
        <v>378000</v>
      </c>
      <c r="AS12" s="82">
        <f>Revenue!AS54</f>
        <v>378000</v>
      </c>
      <c r="AT12" s="82">
        <f>Revenue!AT54</f>
        <v>378000</v>
      </c>
      <c r="AU12" s="82">
        <f>Revenue!AU54</f>
        <v>378000</v>
      </c>
      <c r="AV12" s="82">
        <f>Revenue!AV54</f>
        <v>378000</v>
      </c>
      <c r="AW12" s="82">
        <f>Revenue!AW54</f>
        <v>378000</v>
      </c>
      <c r="AX12" s="82">
        <f>Revenue!AX54</f>
        <v>378000</v>
      </c>
      <c r="AY12" s="82">
        <f>Revenue!AY54</f>
        <v>555660</v>
      </c>
      <c r="AZ12" s="82">
        <f>Revenue!AZ54</f>
        <v>555660</v>
      </c>
      <c r="BA12" s="82">
        <f>Revenue!BA54</f>
        <v>555660</v>
      </c>
      <c r="BB12" s="82">
        <f>Revenue!BB54</f>
        <v>555660</v>
      </c>
      <c r="BC12" s="82">
        <f>Revenue!BC54</f>
        <v>555660</v>
      </c>
      <c r="BD12" s="82">
        <f>Revenue!BD54</f>
        <v>555660</v>
      </c>
      <c r="BE12" s="82">
        <f>Revenue!BE54</f>
        <v>555660</v>
      </c>
      <c r="BF12" s="82">
        <f>Revenue!BF54</f>
        <v>555660</v>
      </c>
      <c r="BG12" s="82">
        <f>Revenue!BG54</f>
        <v>555660</v>
      </c>
      <c r="BH12" s="82">
        <f>Revenue!BH54</f>
        <v>555660</v>
      </c>
      <c r="BI12" s="82">
        <f>Revenue!BI54</f>
        <v>555660</v>
      </c>
      <c r="BJ12" s="82">
        <f>Revenue!BJ54</f>
        <v>555660</v>
      </c>
      <c r="BK12" s="82">
        <f>Revenue!BK54</f>
        <v>674730</v>
      </c>
      <c r="BL12" s="82">
        <f>Revenue!BL54</f>
        <v>674730</v>
      </c>
      <c r="BM12" s="82">
        <f>Revenue!BM54</f>
        <v>674730</v>
      </c>
      <c r="BN12" s="82">
        <f>Revenue!BN54</f>
        <v>674730</v>
      </c>
      <c r="BO12" s="82">
        <f>Revenue!BO54</f>
        <v>674730</v>
      </c>
      <c r="BP12" s="82">
        <f>Revenue!BP54</f>
        <v>674730</v>
      </c>
      <c r="BQ12" s="82">
        <f>Revenue!BQ54</f>
        <v>674730</v>
      </c>
      <c r="BR12" s="82">
        <f>Revenue!BR54</f>
        <v>674730</v>
      </c>
      <c r="BS12" s="82">
        <f>Revenue!BS54</f>
        <v>674730</v>
      </c>
      <c r="BT12" s="82">
        <f>Revenue!BT54</f>
        <v>674730</v>
      </c>
      <c r="BU12" s="82">
        <f>Revenue!BU54</f>
        <v>674730</v>
      </c>
      <c r="BV12" s="82">
        <f>Revenue!BV54</f>
        <v>674730</v>
      </c>
      <c r="BW12" s="82">
        <f>Revenue!BW54</f>
        <v>706860</v>
      </c>
      <c r="BX12" s="82">
        <f>Revenue!BX54</f>
        <v>706860</v>
      </c>
      <c r="BY12" s="82">
        <f>Revenue!BY54</f>
        <v>706860</v>
      </c>
      <c r="BZ12" s="82">
        <f>Revenue!BZ54</f>
        <v>706860</v>
      </c>
      <c r="CA12" s="82">
        <f>Revenue!CA54</f>
        <v>706860</v>
      </c>
      <c r="CB12" s="82">
        <f>Revenue!CB54</f>
        <v>706860</v>
      </c>
      <c r="CC12" s="82">
        <f>Revenue!CC54</f>
        <v>706860</v>
      </c>
      <c r="CD12" s="82">
        <f>Revenue!CD54</f>
        <v>706860</v>
      </c>
      <c r="CE12" s="82">
        <f>Revenue!CE54</f>
        <v>706860</v>
      </c>
      <c r="CF12" s="82">
        <f>Revenue!CF54</f>
        <v>706860</v>
      </c>
      <c r="CG12" s="82">
        <f>Revenue!CG54</f>
        <v>706860</v>
      </c>
      <c r="CH12" s="82">
        <f>Revenue!CH54</f>
        <v>706860</v>
      </c>
      <c r="CI12" s="82">
        <f>Revenue!CI54</f>
        <v>706860</v>
      </c>
      <c r="CJ12" s="82">
        <f>Revenue!CJ54</f>
        <v>706860</v>
      </c>
      <c r="CK12" s="82">
        <f>Revenue!CK54</f>
        <v>706860</v>
      </c>
      <c r="CL12" s="82">
        <f>Revenue!CL54</f>
        <v>706860</v>
      </c>
      <c r="CM12" s="82">
        <f>Revenue!CM54</f>
        <v>706860</v>
      </c>
      <c r="CN12" s="82">
        <f>Revenue!CN54</f>
        <v>706860</v>
      </c>
      <c r="CO12" s="82">
        <f>Revenue!CO54</f>
        <v>706860</v>
      </c>
      <c r="CP12" s="82">
        <f>Revenue!CP54</f>
        <v>706860</v>
      </c>
      <c r="CQ12" s="82">
        <f>Revenue!CQ54</f>
        <v>706860</v>
      </c>
      <c r="CR12" s="82">
        <f>Revenue!CR54</f>
        <v>706860</v>
      </c>
      <c r="CS12" s="82">
        <f>Revenue!CS54</f>
        <v>706860</v>
      </c>
      <c r="CT12" s="82">
        <f>Revenue!CT54</f>
        <v>706860</v>
      </c>
      <c r="CU12" s="82">
        <f>Revenue!CU54</f>
        <v>738990.00000000012</v>
      </c>
      <c r="CV12" s="82">
        <f>Revenue!CV54</f>
        <v>738990.00000000012</v>
      </c>
      <c r="CW12" s="82">
        <f>Revenue!CW54</f>
        <v>738990.00000000012</v>
      </c>
      <c r="CX12" s="82">
        <f>Revenue!CX54</f>
        <v>738990.00000000012</v>
      </c>
      <c r="CY12" s="82">
        <f>Revenue!CY54</f>
        <v>738990.00000000012</v>
      </c>
      <c r="CZ12" s="82">
        <f>Revenue!CZ54</f>
        <v>738990.00000000012</v>
      </c>
      <c r="DA12" s="82">
        <f>Revenue!DA54</f>
        <v>738990.00000000012</v>
      </c>
      <c r="DB12" s="82">
        <f>Revenue!DB54</f>
        <v>738990.00000000012</v>
      </c>
      <c r="DC12" s="82">
        <f>Revenue!DC54</f>
        <v>738990.00000000012</v>
      </c>
      <c r="DD12" s="82">
        <f>Revenue!DD54</f>
        <v>738990.00000000012</v>
      </c>
      <c r="DE12" s="82">
        <f>Revenue!DE54</f>
        <v>738990.00000000012</v>
      </c>
      <c r="DF12" s="82">
        <f>Revenue!DF54</f>
        <v>738990.00000000012</v>
      </c>
      <c r="DG12" s="82">
        <f>Revenue!DG54</f>
        <v>738990.00000000012</v>
      </c>
      <c r="DH12" s="82">
        <f>Revenue!DH54</f>
        <v>738990.00000000012</v>
      </c>
      <c r="DI12" s="82">
        <f>Revenue!DI54</f>
        <v>738990.00000000012</v>
      </c>
      <c r="DJ12" s="82">
        <f>Revenue!DJ54</f>
        <v>738990.00000000012</v>
      </c>
      <c r="DK12" s="82">
        <f>Revenue!DK54</f>
        <v>738990.00000000012</v>
      </c>
      <c r="DL12" s="82">
        <f>Revenue!DL54</f>
        <v>738990.00000000012</v>
      </c>
      <c r="DM12" s="82">
        <f>Revenue!DM54</f>
        <v>738990.00000000012</v>
      </c>
      <c r="DN12" s="82">
        <f>Revenue!DN54</f>
        <v>738990.00000000012</v>
      </c>
      <c r="DO12" s="82">
        <f>Revenue!DO54</f>
        <v>738990.00000000012</v>
      </c>
      <c r="DP12" s="82">
        <f>Revenue!DP54</f>
        <v>738990.00000000012</v>
      </c>
      <c r="DQ12" s="82">
        <f>Revenue!DQ54</f>
        <v>738990.00000000012</v>
      </c>
      <c r="DR12" s="82">
        <f>Revenue!DR54</f>
        <v>738990.00000000012</v>
      </c>
      <c r="DS12" s="82">
        <f>Revenue!DS54</f>
        <v>771120.00000000012</v>
      </c>
      <c r="DT12" s="82">
        <f>Revenue!DT54</f>
        <v>771120.00000000012</v>
      </c>
      <c r="DU12" s="82">
        <f>Revenue!DU54</f>
        <v>771120.00000000012</v>
      </c>
      <c r="DV12" s="82">
        <f>Revenue!DV54</f>
        <v>771120.00000000012</v>
      </c>
      <c r="DW12" s="82">
        <f>Revenue!DW54</f>
        <v>771120.00000000012</v>
      </c>
      <c r="DX12" s="82">
        <f>Revenue!DX54</f>
        <v>771120.00000000012</v>
      </c>
      <c r="DY12" s="82">
        <f>Revenue!DY54</f>
        <v>771120.00000000012</v>
      </c>
      <c r="DZ12" s="82">
        <f>Revenue!DZ54</f>
        <v>771120.00000000012</v>
      </c>
      <c r="EA12" s="82">
        <f>Revenue!EA54</f>
        <v>771120.00000000012</v>
      </c>
      <c r="EB12" s="82">
        <f>Revenue!EB54</f>
        <v>771120.00000000012</v>
      </c>
      <c r="EC12" s="82">
        <f>Revenue!EC54</f>
        <v>771120.00000000012</v>
      </c>
      <c r="ED12" s="82">
        <f>Revenue!ED54</f>
        <v>771120.00000000012</v>
      </c>
      <c r="EE12" s="82">
        <f>Revenue!EE54</f>
        <v>771120.00000000012</v>
      </c>
      <c r="EF12" s="82">
        <f>Revenue!EF54</f>
        <v>771120.00000000012</v>
      </c>
      <c r="EG12" s="82">
        <f>Revenue!EG54</f>
        <v>771120.00000000012</v>
      </c>
      <c r="EH12" s="82">
        <f>Revenue!EH54</f>
        <v>771120.00000000012</v>
      </c>
      <c r="EI12" s="82">
        <f>Revenue!EI54</f>
        <v>771120.00000000012</v>
      </c>
      <c r="EJ12" s="82">
        <f>Revenue!EJ54</f>
        <v>771120.00000000012</v>
      </c>
      <c r="EK12" s="82">
        <f>Revenue!EK54</f>
        <v>771120.00000000012</v>
      </c>
      <c r="EL12" s="82">
        <f>Revenue!EL54</f>
        <v>771120.00000000012</v>
      </c>
      <c r="EM12" s="82">
        <f>Revenue!EM54</f>
        <v>771120.00000000012</v>
      </c>
      <c r="EN12" s="82">
        <f>Revenue!EN54</f>
        <v>771120.00000000012</v>
      </c>
      <c r="EO12" s="82">
        <f>Revenue!EO54</f>
        <v>771120.00000000012</v>
      </c>
      <c r="EP12" s="82">
        <f>Revenue!EP54</f>
        <v>771120.00000000012</v>
      </c>
      <c r="EQ12" s="82">
        <f>Revenue!EQ54</f>
        <v>803250.00000000012</v>
      </c>
      <c r="ER12" s="82">
        <f>Revenue!ER54</f>
        <v>803250.00000000012</v>
      </c>
      <c r="ES12" s="82">
        <f>Revenue!ES54</f>
        <v>803250.00000000012</v>
      </c>
      <c r="ET12" s="82">
        <f>Revenue!ET54</f>
        <v>803250.00000000012</v>
      </c>
      <c r="EU12" s="82">
        <f>Revenue!EU54</f>
        <v>803250.00000000012</v>
      </c>
      <c r="EV12" s="82">
        <f>Revenue!EV54</f>
        <v>803250.00000000012</v>
      </c>
      <c r="EW12" s="82">
        <f>Revenue!EW54</f>
        <v>803250.00000000012</v>
      </c>
      <c r="EX12" s="82">
        <f>Revenue!EX54</f>
        <v>803250.00000000012</v>
      </c>
      <c r="EY12" s="82">
        <f>Revenue!EY54</f>
        <v>803250.00000000012</v>
      </c>
      <c r="EZ12" s="82">
        <f>Revenue!EZ54</f>
        <v>803250.00000000012</v>
      </c>
      <c r="FA12" s="82">
        <f>Revenue!FA54</f>
        <v>803250.00000000012</v>
      </c>
      <c r="FB12" s="82">
        <f>Revenue!FB54</f>
        <v>803250.00000000012</v>
      </c>
      <c r="FC12" s="82">
        <f>Revenue!FC54</f>
        <v>803250.00000000012</v>
      </c>
      <c r="FD12" s="82">
        <f>Revenue!FD54</f>
        <v>803250.00000000012</v>
      </c>
      <c r="FE12" s="82">
        <f>Revenue!FE54</f>
        <v>803250.00000000012</v>
      </c>
      <c r="FF12" s="82">
        <f>Revenue!FF54</f>
        <v>803250.00000000012</v>
      </c>
      <c r="FG12" s="82">
        <f>Revenue!FG54</f>
        <v>803250.00000000012</v>
      </c>
      <c r="FH12" s="82">
        <f>Revenue!FH54</f>
        <v>803250.00000000012</v>
      </c>
      <c r="FI12" s="82">
        <f>Revenue!FI54</f>
        <v>803250.00000000012</v>
      </c>
      <c r="FJ12" s="82">
        <f>Revenue!FJ54</f>
        <v>803250.00000000012</v>
      </c>
      <c r="FK12" s="82">
        <f>Revenue!FK54</f>
        <v>803250.00000000012</v>
      </c>
      <c r="FL12" s="82">
        <f>Revenue!FL54</f>
        <v>803250.00000000012</v>
      </c>
      <c r="FM12" s="82">
        <f>Revenue!FM54</f>
        <v>803250.00000000012</v>
      </c>
      <c r="FN12" s="82">
        <f>Revenue!FN54</f>
        <v>803250.00000000012</v>
      </c>
      <c r="FO12" s="82">
        <f>Revenue!FO54</f>
        <v>835380.00000000012</v>
      </c>
      <c r="FP12" s="82">
        <f>Revenue!FP54</f>
        <v>835380.00000000012</v>
      </c>
      <c r="FQ12" s="82">
        <f>Revenue!FQ54</f>
        <v>835380.00000000012</v>
      </c>
      <c r="FR12" s="82">
        <f>Revenue!FR54</f>
        <v>835380.00000000012</v>
      </c>
      <c r="FS12" s="82">
        <f>Revenue!FS54</f>
        <v>835380.00000000012</v>
      </c>
      <c r="FT12" s="82">
        <f>Revenue!FT54</f>
        <v>835380.00000000012</v>
      </c>
      <c r="FU12" s="82">
        <f>Revenue!FU54</f>
        <v>835380.00000000012</v>
      </c>
      <c r="FV12" s="82">
        <f>Revenue!FV54</f>
        <v>835380.00000000012</v>
      </c>
      <c r="FW12" s="82">
        <f>Revenue!FW54</f>
        <v>835380.00000000012</v>
      </c>
      <c r="FX12" s="82">
        <f>Revenue!FX54</f>
        <v>835380.00000000012</v>
      </c>
      <c r="FY12" s="82">
        <f>Revenue!FY54</f>
        <v>835380.00000000012</v>
      </c>
      <c r="FZ12" s="82">
        <f>Revenue!FZ54</f>
        <v>835380.00000000012</v>
      </c>
      <c r="GA12" s="82">
        <f>Revenue!GA54</f>
        <v>835380.00000000012</v>
      </c>
      <c r="GB12" s="82">
        <f>Revenue!GB54</f>
        <v>835380.00000000012</v>
      </c>
      <c r="GC12" s="82">
        <f>Revenue!GC54</f>
        <v>835380.00000000012</v>
      </c>
      <c r="GD12" s="82">
        <f>Revenue!GD54</f>
        <v>835380.00000000012</v>
      </c>
      <c r="GE12" s="82">
        <f>Revenue!GE54</f>
        <v>835380.00000000012</v>
      </c>
      <c r="GF12" s="82">
        <f>Revenue!GF54</f>
        <v>835380.00000000012</v>
      </c>
      <c r="GG12" s="82">
        <f>Revenue!GG54</f>
        <v>835380.00000000012</v>
      </c>
      <c r="GH12" s="82">
        <f>Revenue!GH54</f>
        <v>835380.00000000012</v>
      </c>
      <c r="GI12" s="82">
        <f>Revenue!GI54</f>
        <v>835380.00000000012</v>
      </c>
      <c r="GJ12" s="82">
        <f>Revenue!GJ54</f>
        <v>835380.00000000012</v>
      </c>
      <c r="GK12" s="82">
        <f>Revenue!GK54</f>
        <v>835380.00000000012</v>
      </c>
      <c r="GL12" s="82">
        <f>Revenue!GL54</f>
        <v>835380.00000000012</v>
      </c>
      <c r="GM12" s="82">
        <f>Revenue!GM54</f>
        <v>867510.00000000023</v>
      </c>
      <c r="GN12" s="82">
        <f>Revenue!GN54</f>
        <v>867510.00000000023</v>
      </c>
      <c r="GO12" s="82">
        <f>Revenue!GO54</f>
        <v>867510.00000000023</v>
      </c>
      <c r="GP12" s="82">
        <f>Revenue!GP54</f>
        <v>867510.00000000023</v>
      </c>
      <c r="GQ12" s="82">
        <f>Revenue!GQ54</f>
        <v>867510.00000000023</v>
      </c>
      <c r="GR12" s="82">
        <f>Revenue!GR54</f>
        <v>867510.00000000023</v>
      </c>
      <c r="GS12" s="82">
        <f>Revenue!GS54</f>
        <v>867510.00000000023</v>
      </c>
      <c r="GT12" s="82">
        <f>Revenue!GT54</f>
        <v>867510.00000000023</v>
      </c>
      <c r="GU12" s="82">
        <f>Revenue!GU54</f>
        <v>867510.00000000023</v>
      </c>
      <c r="GV12" s="82">
        <f>Revenue!GV54</f>
        <v>867510.00000000023</v>
      </c>
      <c r="GW12" s="82">
        <f>Revenue!GW54</f>
        <v>867510.00000000023</v>
      </c>
      <c r="GX12" s="82">
        <f>Revenue!GX54</f>
        <v>867510.00000000023</v>
      </c>
      <c r="GY12" s="82">
        <f>Revenue!GY54</f>
        <v>867510.00000000023</v>
      </c>
      <c r="GZ12" s="82">
        <f>Revenue!GZ54</f>
        <v>867510.00000000023</v>
      </c>
      <c r="HA12" s="82">
        <f>Revenue!HA54</f>
        <v>867510.00000000023</v>
      </c>
      <c r="HB12" s="82">
        <f>Revenue!HB54</f>
        <v>867510.00000000023</v>
      </c>
      <c r="HC12" s="82">
        <f>Revenue!HC54</f>
        <v>867510.00000000023</v>
      </c>
      <c r="HD12" s="82">
        <f>Revenue!HD54</f>
        <v>867510.00000000023</v>
      </c>
      <c r="HE12" s="82">
        <f>Revenue!HE54</f>
        <v>867510.00000000023</v>
      </c>
      <c r="HF12" s="82">
        <f>Revenue!HF54</f>
        <v>867510.00000000023</v>
      </c>
      <c r="HG12" s="82">
        <f>Revenue!HG54</f>
        <v>867510.00000000023</v>
      </c>
      <c r="HH12" s="82">
        <f>Revenue!HH54</f>
        <v>867510.00000000023</v>
      </c>
      <c r="HI12" s="82">
        <f>Revenue!HI54</f>
        <v>867510.00000000023</v>
      </c>
      <c r="HJ12" s="82">
        <f>Revenue!HJ54</f>
        <v>867510.00000000023</v>
      </c>
      <c r="HK12" s="82">
        <f>Revenue!HK54</f>
        <v>899640.00000000012</v>
      </c>
      <c r="HL12" s="82">
        <f>Revenue!HL54</f>
        <v>899640.00000000012</v>
      </c>
      <c r="HM12" s="82">
        <f>Revenue!HM54</f>
        <v>899640.00000000012</v>
      </c>
      <c r="HN12" s="82">
        <f>Revenue!HN54</f>
        <v>899640.00000000012</v>
      </c>
      <c r="HO12" s="82">
        <f>Revenue!HO54</f>
        <v>899640.00000000012</v>
      </c>
      <c r="HP12" s="82">
        <f>Revenue!HP54</f>
        <v>899640.00000000012</v>
      </c>
      <c r="HQ12" s="82">
        <f>Revenue!HQ54</f>
        <v>899640.00000000012</v>
      </c>
      <c r="HR12" s="82">
        <f>Revenue!HR54</f>
        <v>899640.00000000012</v>
      </c>
      <c r="HS12" s="82">
        <f>Revenue!HS54</f>
        <v>899640.00000000012</v>
      </c>
      <c r="HT12" s="82">
        <f>Revenue!HT54</f>
        <v>899640.00000000012</v>
      </c>
      <c r="HU12" s="82">
        <f>Revenue!HU54</f>
        <v>899640.00000000012</v>
      </c>
      <c r="HV12" s="82">
        <f>Revenue!HV54</f>
        <v>899640.00000000012</v>
      </c>
      <c r="HW12" s="82">
        <f>Revenue!HW54</f>
        <v>899640.00000000012</v>
      </c>
      <c r="HX12" s="82">
        <f>Revenue!HX54</f>
        <v>899640.00000000012</v>
      </c>
      <c r="HY12" s="82">
        <f>Revenue!HY54</f>
        <v>899640.00000000012</v>
      </c>
      <c r="HZ12" s="82">
        <f>Revenue!HZ54</f>
        <v>899640.00000000012</v>
      </c>
      <c r="IA12" s="82">
        <f>Revenue!IA54</f>
        <v>899640.00000000012</v>
      </c>
      <c r="IB12" s="82">
        <f>Revenue!IB54</f>
        <v>899640.00000000012</v>
      </c>
      <c r="IC12" s="82">
        <f>Revenue!IC54</f>
        <v>899640.00000000012</v>
      </c>
      <c r="ID12" s="82">
        <f>Revenue!ID54</f>
        <v>899640.00000000012</v>
      </c>
      <c r="IE12" s="82">
        <f>Revenue!IE54</f>
        <v>899640.00000000012</v>
      </c>
      <c r="IF12" s="82">
        <f>Revenue!IF54</f>
        <v>899640.00000000012</v>
      </c>
      <c r="IG12" s="82">
        <f>Revenue!IG54</f>
        <v>899640.00000000012</v>
      </c>
      <c r="IH12" s="82">
        <f>Revenue!IH54</f>
        <v>899640.00000000012</v>
      </c>
    </row>
    <row r="13" spans="1:242" ht="14.65" thickTop="1" x14ac:dyDescent="0.45">
      <c r="A13" s="77"/>
      <c r="B13" s="78"/>
      <c r="C13" s="83">
        <f>SUM(C7:C12)</f>
        <v>0</v>
      </c>
      <c r="D13" s="83">
        <f t="shared" ref="D13:BO13" si="0">SUM(D7:D12)</f>
        <v>0</v>
      </c>
      <c r="E13" s="83">
        <f t="shared" si="0"/>
        <v>0</v>
      </c>
      <c r="F13" s="83">
        <f t="shared" si="0"/>
        <v>0</v>
      </c>
      <c r="G13" s="83">
        <f t="shared" si="0"/>
        <v>0</v>
      </c>
      <c r="H13" s="83">
        <f t="shared" si="0"/>
        <v>0</v>
      </c>
      <c r="I13" s="83">
        <f t="shared" si="0"/>
        <v>0</v>
      </c>
      <c r="J13" s="83">
        <f t="shared" si="0"/>
        <v>0</v>
      </c>
      <c r="K13" s="83">
        <f t="shared" si="0"/>
        <v>0</v>
      </c>
      <c r="L13" s="83">
        <f t="shared" si="0"/>
        <v>0</v>
      </c>
      <c r="M13" s="83">
        <f t="shared" si="0"/>
        <v>0</v>
      </c>
      <c r="N13" s="83">
        <f t="shared" si="0"/>
        <v>0</v>
      </c>
      <c r="O13" s="83">
        <f t="shared" si="0"/>
        <v>0</v>
      </c>
      <c r="P13" s="83">
        <f t="shared" si="0"/>
        <v>0</v>
      </c>
      <c r="Q13" s="83">
        <f t="shared" si="0"/>
        <v>0</v>
      </c>
      <c r="R13" s="83">
        <f t="shared" si="0"/>
        <v>0</v>
      </c>
      <c r="S13" s="83">
        <f t="shared" si="0"/>
        <v>0</v>
      </c>
      <c r="T13" s="83">
        <f t="shared" si="0"/>
        <v>0</v>
      </c>
      <c r="U13" s="83">
        <f t="shared" si="0"/>
        <v>0</v>
      </c>
      <c r="V13" s="83">
        <f t="shared" si="0"/>
        <v>0</v>
      </c>
      <c r="W13" s="83">
        <f t="shared" si="0"/>
        <v>0</v>
      </c>
      <c r="X13" s="83">
        <f t="shared" si="0"/>
        <v>0</v>
      </c>
      <c r="Y13" s="83">
        <f t="shared" si="0"/>
        <v>0</v>
      </c>
      <c r="Z13" s="83">
        <f t="shared" si="0"/>
        <v>0</v>
      </c>
      <c r="AA13" s="83">
        <f t="shared" si="0"/>
        <v>5696260.1891351342</v>
      </c>
      <c r="AB13" s="83">
        <f t="shared" si="0"/>
        <v>5696260.1891351342</v>
      </c>
      <c r="AC13" s="83">
        <f t="shared" si="0"/>
        <v>5696260.1891351342</v>
      </c>
      <c r="AD13" s="83">
        <f t="shared" si="0"/>
        <v>5696260.1891351342</v>
      </c>
      <c r="AE13" s="83">
        <f t="shared" si="0"/>
        <v>5696260.1891351342</v>
      </c>
      <c r="AF13" s="83">
        <f t="shared" si="0"/>
        <v>5696260.1891351342</v>
      </c>
      <c r="AG13" s="83">
        <f t="shared" si="0"/>
        <v>5696260.1891351342</v>
      </c>
      <c r="AH13" s="83">
        <f t="shared" si="0"/>
        <v>5696260.1891351342</v>
      </c>
      <c r="AI13" s="83">
        <f t="shared" si="0"/>
        <v>5696260.1891351342</v>
      </c>
      <c r="AJ13" s="83">
        <f t="shared" si="0"/>
        <v>5696260.1891351342</v>
      </c>
      <c r="AK13" s="83">
        <f t="shared" si="0"/>
        <v>5696260.1891351342</v>
      </c>
      <c r="AL13" s="83">
        <f t="shared" si="0"/>
        <v>5696260.1891351342</v>
      </c>
      <c r="AM13" s="83">
        <f t="shared" si="0"/>
        <v>9425366.981891891</v>
      </c>
      <c r="AN13" s="83">
        <f t="shared" si="0"/>
        <v>9425366.981891891</v>
      </c>
      <c r="AO13" s="83">
        <f t="shared" si="0"/>
        <v>9425366.981891891</v>
      </c>
      <c r="AP13" s="83">
        <f t="shared" si="0"/>
        <v>9425366.981891891</v>
      </c>
      <c r="AQ13" s="83">
        <f t="shared" si="0"/>
        <v>9425366.981891891</v>
      </c>
      <c r="AR13" s="83">
        <f t="shared" si="0"/>
        <v>9425366.981891891</v>
      </c>
      <c r="AS13" s="83">
        <f t="shared" si="0"/>
        <v>9425366.981891891</v>
      </c>
      <c r="AT13" s="83">
        <f t="shared" si="0"/>
        <v>9425366.981891891</v>
      </c>
      <c r="AU13" s="83">
        <f t="shared" si="0"/>
        <v>9425366.981891891</v>
      </c>
      <c r="AV13" s="83">
        <f t="shared" si="0"/>
        <v>9425366.981891891</v>
      </c>
      <c r="AW13" s="83">
        <f t="shared" si="0"/>
        <v>9425366.981891891</v>
      </c>
      <c r="AX13" s="83">
        <f t="shared" si="0"/>
        <v>9425366.981891891</v>
      </c>
      <c r="AY13" s="83">
        <f t="shared" si="0"/>
        <v>13812197.463381082</v>
      </c>
      <c r="AZ13" s="83">
        <f t="shared" si="0"/>
        <v>13812197.463381082</v>
      </c>
      <c r="BA13" s="83">
        <f t="shared" si="0"/>
        <v>13812197.463381082</v>
      </c>
      <c r="BB13" s="83">
        <f t="shared" si="0"/>
        <v>13812197.463381082</v>
      </c>
      <c r="BC13" s="83">
        <f t="shared" si="0"/>
        <v>13812197.463381082</v>
      </c>
      <c r="BD13" s="83">
        <f t="shared" si="0"/>
        <v>13812197.463381082</v>
      </c>
      <c r="BE13" s="83">
        <f t="shared" si="0"/>
        <v>13812197.463381082</v>
      </c>
      <c r="BF13" s="83">
        <f t="shared" si="0"/>
        <v>13812197.463381082</v>
      </c>
      <c r="BG13" s="83">
        <f t="shared" si="0"/>
        <v>13812197.463381082</v>
      </c>
      <c r="BH13" s="83">
        <f t="shared" si="0"/>
        <v>13812197.463381082</v>
      </c>
      <c r="BI13" s="83">
        <f t="shared" si="0"/>
        <v>13812197.463381082</v>
      </c>
      <c r="BJ13" s="83">
        <f t="shared" si="0"/>
        <v>13812197.463381082</v>
      </c>
      <c r="BK13" s="83">
        <f t="shared" si="0"/>
        <v>16748869.062677026</v>
      </c>
      <c r="BL13" s="83">
        <f t="shared" si="0"/>
        <v>16748869.062677026</v>
      </c>
      <c r="BM13" s="83">
        <f t="shared" si="0"/>
        <v>16748869.062677026</v>
      </c>
      <c r="BN13" s="83">
        <f t="shared" si="0"/>
        <v>16748869.062677026</v>
      </c>
      <c r="BO13" s="83">
        <f t="shared" si="0"/>
        <v>16748869.062677026</v>
      </c>
      <c r="BP13" s="83">
        <f t="shared" ref="BP13:EA13" si="1">SUM(BP7:BP12)</f>
        <v>16748869.062677026</v>
      </c>
      <c r="BQ13" s="83">
        <f t="shared" si="1"/>
        <v>16748869.062677026</v>
      </c>
      <c r="BR13" s="83">
        <f t="shared" si="1"/>
        <v>16748869.062677026</v>
      </c>
      <c r="BS13" s="83">
        <f t="shared" si="1"/>
        <v>16748869.062677026</v>
      </c>
      <c r="BT13" s="83">
        <f t="shared" si="1"/>
        <v>16748869.062677026</v>
      </c>
      <c r="BU13" s="83">
        <f t="shared" si="1"/>
        <v>16748869.062677026</v>
      </c>
      <c r="BV13" s="83">
        <f t="shared" si="1"/>
        <v>16748869.062677026</v>
      </c>
      <c r="BW13" s="83">
        <f t="shared" si="1"/>
        <v>17546434.25613784</v>
      </c>
      <c r="BX13" s="83">
        <f t="shared" si="1"/>
        <v>17546434.25613784</v>
      </c>
      <c r="BY13" s="83">
        <f t="shared" si="1"/>
        <v>17546434.25613784</v>
      </c>
      <c r="BZ13" s="83">
        <f t="shared" si="1"/>
        <v>17546434.25613784</v>
      </c>
      <c r="CA13" s="83">
        <f t="shared" si="1"/>
        <v>17546434.25613784</v>
      </c>
      <c r="CB13" s="83">
        <f t="shared" si="1"/>
        <v>17546434.25613784</v>
      </c>
      <c r="CC13" s="83">
        <f t="shared" si="1"/>
        <v>17546434.25613784</v>
      </c>
      <c r="CD13" s="83">
        <f t="shared" si="1"/>
        <v>17546434.25613784</v>
      </c>
      <c r="CE13" s="83">
        <f t="shared" si="1"/>
        <v>17546434.25613784</v>
      </c>
      <c r="CF13" s="83">
        <f t="shared" si="1"/>
        <v>17546434.25613784</v>
      </c>
      <c r="CG13" s="83">
        <f t="shared" si="1"/>
        <v>17546434.25613784</v>
      </c>
      <c r="CH13" s="83">
        <f t="shared" si="1"/>
        <v>17546434.25613784</v>
      </c>
      <c r="CI13" s="83">
        <f t="shared" si="1"/>
        <v>17546434.25613784</v>
      </c>
      <c r="CJ13" s="83">
        <f t="shared" si="1"/>
        <v>17546434.25613784</v>
      </c>
      <c r="CK13" s="83">
        <f t="shared" si="1"/>
        <v>17546434.25613784</v>
      </c>
      <c r="CL13" s="83">
        <f t="shared" si="1"/>
        <v>17546434.25613784</v>
      </c>
      <c r="CM13" s="83">
        <f t="shared" si="1"/>
        <v>17546434.25613784</v>
      </c>
      <c r="CN13" s="83">
        <f t="shared" si="1"/>
        <v>17546434.25613784</v>
      </c>
      <c r="CO13" s="83">
        <f t="shared" si="1"/>
        <v>17546434.25613784</v>
      </c>
      <c r="CP13" s="83">
        <f t="shared" si="1"/>
        <v>17546434.25613784</v>
      </c>
      <c r="CQ13" s="83">
        <f t="shared" si="1"/>
        <v>17546434.25613784</v>
      </c>
      <c r="CR13" s="83">
        <f t="shared" si="1"/>
        <v>17546434.25613784</v>
      </c>
      <c r="CS13" s="83">
        <f t="shared" si="1"/>
        <v>17546434.25613784</v>
      </c>
      <c r="CT13" s="83">
        <f t="shared" si="1"/>
        <v>17546434.25613784</v>
      </c>
      <c r="CU13" s="83">
        <f t="shared" si="1"/>
        <v>18343999.449598655</v>
      </c>
      <c r="CV13" s="83">
        <f t="shared" si="1"/>
        <v>18343999.449598655</v>
      </c>
      <c r="CW13" s="83">
        <f t="shared" si="1"/>
        <v>18343999.449598655</v>
      </c>
      <c r="CX13" s="83">
        <f t="shared" si="1"/>
        <v>18343999.449598655</v>
      </c>
      <c r="CY13" s="83">
        <f t="shared" si="1"/>
        <v>18343999.449598655</v>
      </c>
      <c r="CZ13" s="83">
        <f t="shared" si="1"/>
        <v>18343999.449598655</v>
      </c>
      <c r="DA13" s="83">
        <f t="shared" si="1"/>
        <v>18343999.449598655</v>
      </c>
      <c r="DB13" s="83">
        <f t="shared" si="1"/>
        <v>18343999.449598655</v>
      </c>
      <c r="DC13" s="83">
        <f t="shared" si="1"/>
        <v>18343999.449598655</v>
      </c>
      <c r="DD13" s="83">
        <f t="shared" si="1"/>
        <v>18343999.449598655</v>
      </c>
      <c r="DE13" s="83">
        <f t="shared" si="1"/>
        <v>18343999.449598655</v>
      </c>
      <c r="DF13" s="83">
        <f t="shared" si="1"/>
        <v>18343999.449598655</v>
      </c>
      <c r="DG13" s="83">
        <f t="shared" si="1"/>
        <v>18343999.449598655</v>
      </c>
      <c r="DH13" s="83">
        <f t="shared" si="1"/>
        <v>18343999.449598655</v>
      </c>
      <c r="DI13" s="83">
        <f t="shared" si="1"/>
        <v>18343999.449598655</v>
      </c>
      <c r="DJ13" s="83">
        <f t="shared" si="1"/>
        <v>18343999.449598655</v>
      </c>
      <c r="DK13" s="83">
        <f t="shared" si="1"/>
        <v>18343999.449598655</v>
      </c>
      <c r="DL13" s="83">
        <f t="shared" si="1"/>
        <v>18343999.449598655</v>
      </c>
      <c r="DM13" s="83">
        <f t="shared" si="1"/>
        <v>18343999.449598655</v>
      </c>
      <c r="DN13" s="83">
        <f t="shared" si="1"/>
        <v>18343999.449598655</v>
      </c>
      <c r="DO13" s="83">
        <f t="shared" si="1"/>
        <v>18343999.449598655</v>
      </c>
      <c r="DP13" s="83">
        <f t="shared" si="1"/>
        <v>18343999.449598655</v>
      </c>
      <c r="DQ13" s="83">
        <f t="shared" si="1"/>
        <v>18343999.449598655</v>
      </c>
      <c r="DR13" s="83">
        <f t="shared" si="1"/>
        <v>18343999.449598655</v>
      </c>
      <c r="DS13" s="83">
        <f t="shared" si="1"/>
        <v>19141564.643059466</v>
      </c>
      <c r="DT13" s="83">
        <f t="shared" si="1"/>
        <v>19141564.643059466</v>
      </c>
      <c r="DU13" s="83">
        <f t="shared" si="1"/>
        <v>19141564.643059466</v>
      </c>
      <c r="DV13" s="83">
        <f t="shared" si="1"/>
        <v>19141564.643059466</v>
      </c>
      <c r="DW13" s="83">
        <f t="shared" si="1"/>
        <v>19141564.643059466</v>
      </c>
      <c r="DX13" s="83">
        <f t="shared" si="1"/>
        <v>19141564.643059466</v>
      </c>
      <c r="DY13" s="83">
        <f t="shared" si="1"/>
        <v>19141564.643059466</v>
      </c>
      <c r="DZ13" s="83">
        <f t="shared" si="1"/>
        <v>19141564.643059466</v>
      </c>
      <c r="EA13" s="83">
        <f t="shared" si="1"/>
        <v>19141564.643059466</v>
      </c>
      <c r="EB13" s="83">
        <f t="shared" ref="EB13:GI13" si="2">SUM(EB7:EB12)</f>
        <v>19141564.643059466</v>
      </c>
      <c r="EC13" s="83">
        <f t="shared" si="2"/>
        <v>19141564.643059466</v>
      </c>
      <c r="ED13" s="83">
        <f t="shared" si="2"/>
        <v>19141564.643059466</v>
      </c>
      <c r="EE13" s="83">
        <f t="shared" si="2"/>
        <v>19141564.643059466</v>
      </c>
      <c r="EF13" s="83">
        <f t="shared" si="2"/>
        <v>19141564.643059466</v>
      </c>
      <c r="EG13" s="83">
        <f t="shared" si="2"/>
        <v>19141564.643059466</v>
      </c>
      <c r="EH13" s="83">
        <f t="shared" si="2"/>
        <v>19141564.643059466</v>
      </c>
      <c r="EI13" s="83">
        <f t="shared" si="2"/>
        <v>19141564.643059466</v>
      </c>
      <c r="EJ13" s="83">
        <f t="shared" si="2"/>
        <v>19141564.643059466</v>
      </c>
      <c r="EK13" s="83">
        <f t="shared" si="2"/>
        <v>19141564.643059466</v>
      </c>
      <c r="EL13" s="83">
        <f t="shared" si="2"/>
        <v>19141564.643059466</v>
      </c>
      <c r="EM13" s="83">
        <f t="shared" si="2"/>
        <v>19141564.643059466</v>
      </c>
      <c r="EN13" s="83">
        <f t="shared" si="2"/>
        <v>19141564.643059466</v>
      </c>
      <c r="EO13" s="83">
        <f t="shared" si="2"/>
        <v>19141564.643059466</v>
      </c>
      <c r="EP13" s="83">
        <f t="shared" si="2"/>
        <v>19141564.643059466</v>
      </c>
      <c r="EQ13" s="83">
        <f t="shared" si="2"/>
        <v>19939129.836520277</v>
      </c>
      <c r="ER13" s="83">
        <f t="shared" si="2"/>
        <v>19939129.836520277</v>
      </c>
      <c r="ES13" s="83">
        <f t="shared" si="2"/>
        <v>19939129.836520277</v>
      </c>
      <c r="ET13" s="83">
        <f t="shared" si="2"/>
        <v>19939129.836520277</v>
      </c>
      <c r="EU13" s="83">
        <f t="shared" si="2"/>
        <v>19939129.836520277</v>
      </c>
      <c r="EV13" s="83">
        <f t="shared" si="2"/>
        <v>19939129.836520277</v>
      </c>
      <c r="EW13" s="83">
        <f t="shared" si="2"/>
        <v>19939129.836520277</v>
      </c>
      <c r="EX13" s="83">
        <f t="shared" si="2"/>
        <v>19939129.836520277</v>
      </c>
      <c r="EY13" s="83">
        <f t="shared" si="2"/>
        <v>19939129.836520277</v>
      </c>
      <c r="EZ13" s="83">
        <f t="shared" si="2"/>
        <v>19939129.836520277</v>
      </c>
      <c r="FA13" s="83">
        <f t="shared" si="2"/>
        <v>19939129.836520277</v>
      </c>
      <c r="FB13" s="83">
        <f t="shared" si="2"/>
        <v>19939129.836520277</v>
      </c>
      <c r="FC13" s="83">
        <f t="shared" si="2"/>
        <v>19939129.836520277</v>
      </c>
      <c r="FD13" s="83">
        <f t="shared" si="2"/>
        <v>19939129.836520277</v>
      </c>
      <c r="FE13" s="83">
        <f t="shared" si="2"/>
        <v>19939129.836520277</v>
      </c>
      <c r="FF13" s="83">
        <f t="shared" si="2"/>
        <v>19939129.836520277</v>
      </c>
      <c r="FG13" s="83">
        <f t="shared" si="2"/>
        <v>19939129.836520277</v>
      </c>
      <c r="FH13" s="83">
        <f t="shared" si="2"/>
        <v>19939129.836520277</v>
      </c>
      <c r="FI13" s="83">
        <f t="shared" si="2"/>
        <v>19939129.836520277</v>
      </c>
      <c r="FJ13" s="83">
        <f t="shared" si="2"/>
        <v>19939129.836520277</v>
      </c>
      <c r="FK13" s="83">
        <f t="shared" si="2"/>
        <v>19939129.836520277</v>
      </c>
      <c r="FL13" s="83">
        <f t="shared" si="2"/>
        <v>19939129.836520277</v>
      </c>
      <c r="FM13" s="83">
        <f t="shared" si="2"/>
        <v>19939129.836520277</v>
      </c>
      <c r="FN13" s="83">
        <f t="shared" si="2"/>
        <v>19939129.836520277</v>
      </c>
      <c r="FO13" s="83">
        <f t="shared" si="2"/>
        <v>20736695.029981088</v>
      </c>
      <c r="FP13" s="83">
        <f t="shared" si="2"/>
        <v>20736695.029981088</v>
      </c>
      <c r="FQ13" s="83">
        <f t="shared" si="2"/>
        <v>20736695.029981088</v>
      </c>
      <c r="FR13" s="83">
        <f t="shared" si="2"/>
        <v>20736695.029981088</v>
      </c>
      <c r="FS13" s="83">
        <f t="shared" si="2"/>
        <v>20736695.029981088</v>
      </c>
      <c r="FT13" s="83">
        <f t="shared" si="2"/>
        <v>20736695.029981088</v>
      </c>
      <c r="FU13" s="83">
        <f t="shared" si="2"/>
        <v>20736695.029981088</v>
      </c>
      <c r="FV13" s="83">
        <f t="shared" si="2"/>
        <v>20736695.029981088</v>
      </c>
      <c r="FW13" s="83">
        <f t="shared" si="2"/>
        <v>20736695.029981088</v>
      </c>
      <c r="FX13" s="83">
        <f t="shared" si="2"/>
        <v>20736695.029981088</v>
      </c>
      <c r="FY13" s="83">
        <f t="shared" si="2"/>
        <v>20736695.029981088</v>
      </c>
      <c r="FZ13" s="83">
        <f t="shared" si="2"/>
        <v>20736695.029981088</v>
      </c>
      <c r="GA13" s="83">
        <f t="shared" si="2"/>
        <v>20736695.029981088</v>
      </c>
      <c r="GB13" s="83">
        <f t="shared" si="2"/>
        <v>20736695.029981088</v>
      </c>
      <c r="GC13" s="83">
        <f t="shared" si="2"/>
        <v>20736695.029981088</v>
      </c>
      <c r="GD13" s="83">
        <f t="shared" si="2"/>
        <v>20736695.029981088</v>
      </c>
      <c r="GE13" s="83">
        <f t="shared" si="2"/>
        <v>20736695.029981088</v>
      </c>
      <c r="GF13" s="83">
        <f t="shared" si="2"/>
        <v>20736695.029981088</v>
      </c>
      <c r="GG13" s="83">
        <f t="shared" si="2"/>
        <v>20736695.029981088</v>
      </c>
      <c r="GH13" s="83">
        <f t="shared" si="2"/>
        <v>20736695.029981088</v>
      </c>
      <c r="GI13" s="83">
        <f t="shared" si="2"/>
        <v>20736695.029981088</v>
      </c>
      <c r="GJ13" s="83">
        <f t="shared" ref="GJ13:IH13" si="3">SUM(GJ7:GJ12)</f>
        <v>20736695.029981088</v>
      </c>
      <c r="GK13" s="83">
        <f t="shared" si="3"/>
        <v>20736695.029981088</v>
      </c>
      <c r="GL13" s="83">
        <f t="shared" si="3"/>
        <v>20736695.029981088</v>
      </c>
      <c r="GM13" s="83">
        <f t="shared" si="3"/>
        <v>21534260.223441899</v>
      </c>
      <c r="GN13" s="83">
        <f t="shared" si="3"/>
        <v>21534260.223441899</v>
      </c>
      <c r="GO13" s="83">
        <f t="shared" si="3"/>
        <v>21534260.223441899</v>
      </c>
      <c r="GP13" s="83">
        <f t="shared" si="3"/>
        <v>21534260.223441899</v>
      </c>
      <c r="GQ13" s="83">
        <f t="shared" si="3"/>
        <v>21534260.223441899</v>
      </c>
      <c r="GR13" s="83">
        <f t="shared" si="3"/>
        <v>21534260.223441899</v>
      </c>
      <c r="GS13" s="83">
        <f t="shared" si="3"/>
        <v>21534260.223441899</v>
      </c>
      <c r="GT13" s="83">
        <f t="shared" si="3"/>
        <v>21534260.223441899</v>
      </c>
      <c r="GU13" s="83">
        <f t="shared" si="3"/>
        <v>21534260.223441899</v>
      </c>
      <c r="GV13" s="83">
        <f t="shared" si="3"/>
        <v>21534260.223441899</v>
      </c>
      <c r="GW13" s="83">
        <f t="shared" si="3"/>
        <v>21534260.223441899</v>
      </c>
      <c r="GX13" s="83">
        <f t="shared" si="3"/>
        <v>21534260.223441899</v>
      </c>
      <c r="GY13" s="83">
        <f t="shared" si="3"/>
        <v>21534260.223441899</v>
      </c>
      <c r="GZ13" s="83">
        <f t="shared" si="3"/>
        <v>21534260.223441899</v>
      </c>
      <c r="HA13" s="83">
        <f t="shared" si="3"/>
        <v>21534260.223441899</v>
      </c>
      <c r="HB13" s="83">
        <f t="shared" si="3"/>
        <v>21534260.223441899</v>
      </c>
      <c r="HC13" s="83">
        <f t="shared" si="3"/>
        <v>21534260.223441899</v>
      </c>
      <c r="HD13" s="83">
        <f t="shared" si="3"/>
        <v>21534260.223441899</v>
      </c>
      <c r="HE13" s="83">
        <f t="shared" si="3"/>
        <v>21534260.223441899</v>
      </c>
      <c r="HF13" s="83">
        <f t="shared" si="3"/>
        <v>21534260.223441899</v>
      </c>
      <c r="HG13" s="83">
        <f t="shared" si="3"/>
        <v>21534260.223441899</v>
      </c>
      <c r="HH13" s="83">
        <f t="shared" si="3"/>
        <v>21534260.223441899</v>
      </c>
      <c r="HI13" s="83">
        <f t="shared" si="3"/>
        <v>21534260.223441899</v>
      </c>
      <c r="HJ13" s="83">
        <f t="shared" si="3"/>
        <v>21534260.223441899</v>
      </c>
      <c r="HK13" s="83">
        <f t="shared" si="3"/>
        <v>22331825.416902706</v>
      </c>
      <c r="HL13" s="83">
        <f t="shared" si="3"/>
        <v>22331825.416902706</v>
      </c>
      <c r="HM13" s="83">
        <f t="shared" si="3"/>
        <v>22331825.416902706</v>
      </c>
      <c r="HN13" s="83">
        <f t="shared" si="3"/>
        <v>22331825.416902706</v>
      </c>
      <c r="HO13" s="83">
        <f t="shared" si="3"/>
        <v>22331825.416902706</v>
      </c>
      <c r="HP13" s="83">
        <f t="shared" si="3"/>
        <v>22331825.416902706</v>
      </c>
      <c r="HQ13" s="83">
        <f t="shared" si="3"/>
        <v>22331825.416902706</v>
      </c>
      <c r="HR13" s="83">
        <f t="shared" si="3"/>
        <v>22331825.416902706</v>
      </c>
      <c r="HS13" s="83">
        <f t="shared" si="3"/>
        <v>22331825.416902706</v>
      </c>
      <c r="HT13" s="83">
        <f t="shared" si="3"/>
        <v>22331825.416902706</v>
      </c>
      <c r="HU13" s="83">
        <f t="shared" si="3"/>
        <v>22331825.416902706</v>
      </c>
      <c r="HV13" s="83">
        <f t="shared" si="3"/>
        <v>22331825.416902706</v>
      </c>
      <c r="HW13" s="83">
        <f t="shared" si="3"/>
        <v>22331825.416902706</v>
      </c>
      <c r="HX13" s="83">
        <f t="shared" si="3"/>
        <v>22331825.416902706</v>
      </c>
      <c r="HY13" s="83">
        <f t="shared" si="3"/>
        <v>22331825.416902706</v>
      </c>
      <c r="HZ13" s="83">
        <f t="shared" si="3"/>
        <v>22331825.416902706</v>
      </c>
      <c r="IA13" s="83">
        <f t="shared" si="3"/>
        <v>22331825.416902706</v>
      </c>
      <c r="IB13" s="83">
        <f t="shared" si="3"/>
        <v>22331825.416902706</v>
      </c>
      <c r="IC13" s="83">
        <f t="shared" si="3"/>
        <v>22331825.416902706</v>
      </c>
      <c r="ID13" s="83">
        <f t="shared" si="3"/>
        <v>22331825.416902706</v>
      </c>
      <c r="IE13" s="83">
        <f t="shared" si="3"/>
        <v>22331825.416902706</v>
      </c>
      <c r="IF13" s="83">
        <f t="shared" si="3"/>
        <v>22331825.416902706</v>
      </c>
      <c r="IG13" s="83">
        <f t="shared" si="3"/>
        <v>22331825.416902706</v>
      </c>
      <c r="IH13" s="83">
        <f t="shared" si="3"/>
        <v>22331825.416902706</v>
      </c>
    </row>
    <row r="14" spans="1:242" x14ac:dyDescent="0.45">
      <c r="A14" s="888" t="s">
        <v>188</v>
      </c>
      <c r="B14" s="889"/>
      <c r="C14" s="103"/>
      <c r="D14" s="84"/>
      <c r="E14" s="84"/>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c r="BU14" s="84"/>
      <c r="BV14" s="84"/>
      <c r="BW14" s="84"/>
      <c r="BX14" s="84"/>
      <c r="BY14" s="84"/>
      <c r="BZ14" s="84"/>
      <c r="CA14" s="84"/>
      <c r="CB14" s="84"/>
      <c r="CC14" s="84"/>
      <c r="CD14" s="84"/>
      <c r="CE14" s="84"/>
      <c r="CF14" s="84"/>
      <c r="CG14" s="84"/>
      <c r="CH14" s="84"/>
      <c r="CI14" s="84"/>
      <c r="CJ14" s="84"/>
      <c r="CK14" s="84"/>
      <c r="CL14" s="84"/>
      <c r="CM14" s="84"/>
      <c r="CN14" s="84"/>
      <c r="CO14" s="84"/>
      <c r="CP14" s="84"/>
      <c r="CQ14" s="84"/>
      <c r="CR14" s="84"/>
      <c r="CS14" s="84"/>
      <c r="CT14" s="84"/>
      <c r="CU14" s="84"/>
      <c r="CV14" s="84"/>
      <c r="CW14" s="84"/>
      <c r="CX14" s="84"/>
      <c r="CY14" s="84"/>
      <c r="CZ14" s="84"/>
      <c r="DA14" s="84"/>
      <c r="DB14" s="84"/>
      <c r="DC14" s="84"/>
      <c r="DD14" s="84"/>
      <c r="DE14" s="84"/>
      <c r="DF14" s="84"/>
      <c r="DG14" s="84"/>
      <c r="DH14" s="84"/>
      <c r="DI14" s="84"/>
      <c r="DJ14" s="84"/>
      <c r="DK14" s="84"/>
      <c r="DL14" s="84"/>
      <c r="DM14" s="84"/>
      <c r="DN14" s="84"/>
      <c r="DO14" s="84"/>
      <c r="DP14" s="84"/>
      <c r="DQ14" s="84"/>
      <c r="DR14" s="84"/>
      <c r="DS14" s="84"/>
      <c r="DT14" s="84"/>
      <c r="DU14" s="84"/>
      <c r="DV14" s="84"/>
      <c r="DW14" s="84"/>
      <c r="DX14" s="84"/>
      <c r="DY14" s="84"/>
      <c r="DZ14" s="84"/>
      <c r="EA14" s="84"/>
      <c r="EB14" s="84"/>
      <c r="EC14" s="84"/>
      <c r="ED14" s="84"/>
      <c r="EE14" s="84"/>
      <c r="EF14" s="84"/>
      <c r="EG14" s="84"/>
      <c r="EH14" s="84"/>
      <c r="EI14" s="84"/>
      <c r="EJ14" s="84"/>
      <c r="EK14" s="84"/>
      <c r="EL14" s="84"/>
      <c r="EM14" s="84"/>
      <c r="EN14" s="84"/>
      <c r="EO14" s="84"/>
      <c r="EP14" s="84"/>
      <c r="EQ14" s="84"/>
      <c r="ER14" s="84"/>
      <c r="ES14" s="84"/>
      <c r="ET14" s="84"/>
      <c r="EU14" s="84"/>
      <c r="EV14" s="84"/>
      <c r="EW14" s="84"/>
      <c r="EX14" s="84"/>
      <c r="EY14" s="84"/>
      <c r="EZ14" s="84"/>
      <c r="FA14" s="84"/>
      <c r="FB14" s="84"/>
      <c r="FC14" s="84"/>
      <c r="FD14" s="84"/>
      <c r="FE14" s="84"/>
      <c r="FF14" s="84"/>
      <c r="FG14" s="84"/>
      <c r="FH14" s="84"/>
      <c r="FI14" s="84"/>
      <c r="FJ14" s="84"/>
      <c r="FK14" s="84"/>
      <c r="FL14" s="84"/>
      <c r="FM14" s="84"/>
      <c r="FN14" s="84"/>
      <c r="FO14" s="84"/>
      <c r="FP14" s="84"/>
      <c r="FQ14" s="84"/>
      <c r="FR14" s="84"/>
      <c r="FS14" s="84"/>
      <c r="FT14" s="84"/>
      <c r="FU14" s="84"/>
      <c r="FV14" s="84"/>
      <c r="FW14" s="84"/>
      <c r="FX14" s="84"/>
      <c r="FY14" s="84"/>
      <c r="FZ14" s="84"/>
      <c r="GA14" s="84"/>
      <c r="GB14" s="84"/>
      <c r="GC14" s="84"/>
      <c r="GD14" s="84"/>
      <c r="GE14" s="84"/>
      <c r="GF14" s="84"/>
      <c r="GG14" s="84"/>
      <c r="GH14" s="84"/>
      <c r="GI14" s="84"/>
      <c r="GJ14" s="84"/>
      <c r="GK14" s="84"/>
      <c r="GL14" s="84"/>
      <c r="GM14" s="84"/>
      <c r="GN14" s="84"/>
      <c r="GO14" s="84"/>
      <c r="GP14" s="84"/>
      <c r="GQ14" s="84"/>
      <c r="GR14" s="84"/>
      <c r="GS14" s="84"/>
      <c r="GT14" s="84"/>
      <c r="GU14" s="84"/>
      <c r="GV14" s="84"/>
      <c r="GW14" s="84"/>
      <c r="GX14" s="84"/>
      <c r="GY14" s="84"/>
      <c r="GZ14" s="84"/>
      <c r="HA14" s="84"/>
      <c r="HB14" s="84"/>
      <c r="HC14" s="84"/>
      <c r="HD14" s="84"/>
      <c r="HE14" s="84"/>
      <c r="HF14" s="84"/>
      <c r="HG14" s="84"/>
      <c r="HH14" s="84"/>
      <c r="HI14" s="84"/>
      <c r="HJ14" s="84"/>
      <c r="HK14" s="84"/>
      <c r="HL14" s="84"/>
      <c r="HM14" s="84"/>
      <c r="HN14" s="84"/>
      <c r="HO14" s="84"/>
      <c r="HP14" s="84"/>
      <c r="HQ14" s="84"/>
      <c r="HR14" s="84"/>
      <c r="HS14" s="84"/>
      <c r="HT14" s="84"/>
      <c r="HU14" s="84"/>
      <c r="HV14" s="84"/>
      <c r="HW14" s="84"/>
      <c r="HX14" s="84"/>
      <c r="HY14" s="84"/>
      <c r="HZ14" s="84"/>
      <c r="IA14" s="84"/>
      <c r="IB14" s="84"/>
      <c r="IC14" s="84"/>
      <c r="ID14" s="84"/>
      <c r="IE14" s="84"/>
      <c r="IF14" s="84"/>
      <c r="IG14" s="84"/>
      <c r="IH14" s="84"/>
    </row>
    <row r="15" spans="1:242" ht="14.65" thickBot="1" x14ac:dyDescent="0.5">
      <c r="A15" s="895" t="s">
        <v>264</v>
      </c>
      <c r="B15" s="896"/>
      <c r="C15" s="82">
        <f>Costs!C16</f>
        <v>0</v>
      </c>
      <c r="D15" s="82">
        <f>Costs!D16</f>
        <v>0</v>
      </c>
      <c r="E15" s="82">
        <f>Costs!E16</f>
        <v>0</v>
      </c>
      <c r="F15" s="82">
        <f>Costs!F16</f>
        <v>0</v>
      </c>
      <c r="G15" s="82">
        <f>Costs!G16</f>
        <v>0</v>
      </c>
      <c r="H15" s="82">
        <f>Costs!H16</f>
        <v>0</v>
      </c>
      <c r="I15" s="82">
        <f>Costs!I16</f>
        <v>0</v>
      </c>
      <c r="J15" s="82">
        <f>Costs!J16</f>
        <v>0</v>
      </c>
      <c r="K15" s="82">
        <f>Costs!K16</f>
        <v>0</v>
      </c>
      <c r="L15" s="82">
        <f>Costs!L16</f>
        <v>0</v>
      </c>
      <c r="M15" s="82">
        <f>Costs!M16</f>
        <v>0</v>
      </c>
      <c r="N15" s="82">
        <f>Costs!N16</f>
        <v>0</v>
      </c>
      <c r="O15" s="82">
        <f>Costs!O16</f>
        <v>43114.666666666664</v>
      </c>
      <c r="P15" s="82">
        <f>Costs!P16</f>
        <v>43114.666666666664</v>
      </c>
      <c r="Q15" s="82">
        <f>Costs!Q16</f>
        <v>43114.666666666664</v>
      </c>
      <c r="R15" s="82">
        <f>Costs!R16</f>
        <v>43114.666666666664</v>
      </c>
      <c r="S15" s="82">
        <f>Costs!S16</f>
        <v>43114.666666666664</v>
      </c>
      <c r="T15" s="82">
        <f>Costs!T16</f>
        <v>43114.666666666664</v>
      </c>
      <c r="U15" s="82">
        <f>Costs!U16</f>
        <v>43114.666666666664</v>
      </c>
      <c r="V15" s="82">
        <f>Costs!V16</f>
        <v>43114.666666666664</v>
      </c>
      <c r="W15" s="82">
        <f>Costs!W16</f>
        <v>43114.666666666664</v>
      </c>
      <c r="X15" s="82">
        <f>Costs!X16</f>
        <v>43114.666666666664</v>
      </c>
      <c r="Y15" s="82">
        <f>Costs!Y16</f>
        <v>43114.666666666664</v>
      </c>
      <c r="Z15" s="82">
        <f>Costs!Z16</f>
        <v>43114.666666666664</v>
      </c>
      <c r="AA15" s="82">
        <f>Costs!AA16</f>
        <v>234002.47234072068</v>
      </c>
      <c r="AB15" s="82">
        <f>Costs!AB16</f>
        <v>234002.47234072068</v>
      </c>
      <c r="AC15" s="82">
        <f>Costs!AC16</f>
        <v>234002.47234072068</v>
      </c>
      <c r="AD15" s="82">
        <f>Costs!AD16</f>
        <v>234002.47234072068</v>
      </c>
      <c r="AE15" s="82">
        <f>Costs!AE16</f>
        <v>234002.47234072068</v>
      </c>
      <c r="AF15" s="82">
        <f>Costs!AF16</f>
        <v>234002.47234072068</v>
      </c>
      <c r="AG15" s="82">
        <f>Costs!AG16</f>
        <v>234002.47234072068</v>
      </c>
      <c r="AH15" s="82">
        <f>Costs!AH16</f>
        <v>234002.47234072068</v>
      </c>
      <c r="AI15" s="82">
        <f>Costs!AI16</f>
        <v>234002.47234072068</v>
      </c>
      <c r="AJ15" s="82">
        <f>Costs!AJ16</f>
        <v>234002.47234072068</v>
      </c>
      <c r="AK15" s="82">
        <f>Costs!AK16</f>
        <v>234002.47234072068</v>
      </c>
      <c r="AL15" s="82">
        <f>Costs!AL16</f>
        <v>234002.47234072068</v>
      </c>
      <c r="AM15" s="82">
        <f>Costs!AM16</f>
        <v>345875.67612342339</v>
      </c>
      <c r="AN15" s="82">
        <f>Costs!AN16</f>
        <v>345875.67612342339</v>
      </c>
      <c r="AO15" s="82">
        <f>Costs!AO16</f>
        <v>345875.67612342339</v>
      </c>
      <c r="AP15" s="82">
        <f>Costs!AP16</f>
        <v>345875.67612342339</v>
      </c>
      <c r="AQ15" s="82">
        <f>Costs!AQ16</f>
        <v>345875.67612342339</v>
      </c>
      <c r="AR15" s="82">
        <f>Costs!AR16</f>
        <v>345875.67612342339</v>
      </c>
      <c r="AS15" s="82">
        <f>Costs!AS16</f>
        <v>345875.67612342339</v>
      </c>
      <c r="AT15" s="82">
        <f>Costs!AT16</f>
        <v>345875.67612342339</v>
      </c>
      <c r="AU15" s="82">
        <f>Costs!AU16</f>
        <v>345875.67612342339</v>
      </c>
      <c r="AV15" s="82">
        <f>Costs!AV16</f>
        <v>345875.67612342339</v>
      </c>
      <c r="AW15" s="82">
        <f>Costs!AW16</f>
        <v>345875.67612342339</v>
      </c>
      <c r="AX15" s="82">
        <f>Costs!AX16</f>
        <v>345875.67612342339</v>
      </c>
      <c r="AY15" s="82">
        <f>Costs!AY16</f>
        <v>477480.59056809911</v>
      </c>
      <c r="AZ15" s="82">
        <f>Costs!AZ16</f>
        <v>477480.59056809911</v>
      </c>
      <c r="BA15" s="82">
        <f>Costs!BA16</f>
        <v>477480.59056809911</v>
      </c>
      <c r="BB15" s="82">
        <f>Costs!BB16</f>
        <v>477480.59056809911</v>
      </c>
      <c r="BC15" s="82">
        <f>Costs!BC16</f>
        <v>477480.59056809911</v>
      </c>
      <c r="BD15" s="82">
        <f>Costs!BD16</f>
        <v>477480.59056809911</v>
      </c>
      <c r="BE15" s="82">
        <f>Costs!BE16</f>
        <v>477480.59056809911</v>
      </c>
      <c r="BF15" s="82">
        <f>Costs!BF16</f>
        <v>477480.59056809911</v>
      </c>
      <c r="BG15" s="82">
        <f>Costs!BG16</f>
        <v>477480.59056809911</v>
      </c>
      <c r="BH15" s="82">
        <f>Costs!BH16</f>
        <v>477480.59056809911</v>
      </c>
      <c r="BI15" s="82">
        <f>Costs!BI16</f>
        <v>477480.59056809911</v>
      </c>
      <c r="BJ15" s="82">
        <f>Costs!BJ16</f>
        <v>477480.59056809911</v>
      </c>
      <c r="BK15" s="82">
        <f>Costs!BK16</f>
        <v>565580.7385469774</v>
      </c>
      <c r="BL15" s="82">
        <f>Costs!BL16</f>
        <v>565580.7385469774</v>
      </c>
      <c r="BM15" s="82">
        <f>Costs!BM16</f>
        <v>565580.7385469774</v>
      </c>
      <c r="BN15" s="82">
        <f>Costs!BN16</f>
        <v>565580.7385469774</v>
      </c>
      <c r="BO15" s="82">
        <f>Costs!BO16</f>
        <v>565580.7385469774</v>
      </c>
      <c r="BP15" s="82">
        <f>Costs!BP16</f>
        <v>565580.7385469774</v>
      </c>
      <c r="BQ15" s="82">
        <f>Costs!BQ16</f>
        <v>565580.7385469774</v>
      </c>
      <c r="BR15" s="82">
        <f>Costs!BR16</f>
        <v>565580.7385469774</v>
      </c>
      <c r="BS15" s="82">
        <f>Costs!BS16</f>
        <v>565580.7385469774</v>
      </c>
      <c r="BT15" s="82">
        <f>Costs!BT16</f>
        <v>565580.7385469774</v>
      </c>
      <c r="BU15" s="82">
        <f>Costs!BU16</f>
        <v>565580.7385469774</v>
      </c>
      <c r="BV15" s="82">
        <f>Costs!BV16</f>
        <v>565580.7385469774</v>
      </c>
      <c r="BW15" s="82">
        <f>Costs!BW16</f>
        <v>589507.69435080187</v>
      </c>
      <c r="BX15" s="82">
        <f>Costs!BX16</f>
        <v>589507.69435080187</v>
      </c>
      <c r="BY15" s="82">
        <f>Costs!BY16</f>
        <v>589507.69435080187</v>
      </c>
      <c r="BZ15" s="82">
        <f>Costs!BZ16</f>
        <v>589507.69435080187</v>
      </c>
      <c r="CA15" s="82">
        <f>Costs!CA16</f>
        <v>589507.69435080187</v>
      </c>
      <c r="CB15" s="82">
        <f>Costs!CB16</f>
        <v>589507.69435080187</v>
      </c>
      <c r="CC15" s="82">
        <f>Costs!CC16</f>
        <v>589507.69435080187</v>
      </c>
      <c r="CD15" s="82">
        <f>Costs!CD16</f>
        <v>589507.69435080187</v>
      </c>
      <c r="CE15" s="82">
        <f>Costs!CE16</f>
        <v>589507.69435080187</v>
      </c>
      <c r="CF15" s="82">
        <f>Costs!CF16</f>
        <v>589507.69435080187</v>
      </c>
      <c r="CG15" s="82">
        <f>Costs!CG16</f>
        <v>589507.69435080187</v>
      </c>
      <c r="CH15" s="82">
        <f>Costs!CH16</f>
        <v>589507.69435080187</v>
      </c>
      <c r="CI15" s="82">
        <f>Costs!CI16</f>
        <v>589507.69435080187</v>
      </c>
      <c r="CJ15" s="82">
        <f>Costs!CJ16</f>
        <v>589507.69435080187</v>
      </c>
      <c r="CK15" s="82">
        <f>Costs!CK16</f>
        <v>589507.69435080187</v>
      </c>
      <c r="CL15" s="82">
        <f>Costs!CL16</f>
        <v>589507.69435080187</v>
      </c>
      <c r="CM15" s="82">
        <f>Costs!CM16</f>
        <v>589507.69435080187</v>
      </c>
      <c r="CN15" s="82">
        <f>Costs!CN16</f>
        <v>589507.69435080187</v>
      </c>
      <c r="CO15" s="82">
        <f>Costs!CO16</f>
        <v>589507.69435080187</v>
      </c>
      <c r="CP15" s="82">
        <f>Costs!CP16</f>
        <v>589507.69435080187</v>
      </c>
      <c r="CQ15" s="82">
        <f>Costs!CQ16</f>
        <v>589507.69435080187</v>
      </c>
      <c r="CR15" s="82">
        <f>Costs!CR16</f>
        <v>589507.69435080187</v>
      </c>
      <c r="CS15" s="82">
        <f>Costs!CS16</f>
        <v>589507.69435080187</v>
      </c>
      <c r="CT15" s="82">
        <f>Costs!CT16</f>
        <v>589507.69435080187</v>
      </c>
      <c r="CU15" s="82">
        <f>Costs!CU16</f>
        <v>613434.65015462623</v>
      </c>
      <c r="CV15" s="82">
        <f>Costs!CV16</f>
        <v>613434.65015462623</v>
      </c>
      <c r="CW15" s="82">
        <f>Costs!CW16</f>
        <v>613434.65015462623</v>
      </c>
      <c r="CX15" s="82">
        <f>Costs!CX16</f>
        <v>613434.65015462623</v>
      </c>
      <c r="CY15" s="82">
        <f>Costs!CY16</f>
        <v>613434.65015462623</v>
      </c>
      <c r="CZ15" s="82">
        <f>Costs!CZ16</f>
        <v>613434.65015462623</v>
      </c>
      <c r="DA15" s="82">
        <f>Costs!DA16</f>
        <v>613434.65015462623</v>
      </c>
      <c r="DB15" s="82">
        <f>Costs!DB16</f>
        <v>613434.65015462623</v>
      </c>
      <c r="DC15" s="82">
        <f>Costs!DC16</f>
        <v>613434.65015462623</v>
      </c>
      <c r="DD15" s="82">
        <f>Costs!DD16</f>
        <v>613434.65015462623</v>
      </c>
      <c r="DE15" s="82">
        <f>Costs!DE16</f>
        <v>613434.65015462623</v>
      </c>
      <c r="DF15" s="82">
        <f>Costs!DF16</f>
        <v>613434.65015462623</v>
      </c>
      <c r="DG15" s="82">
        <f>Costs!DG16</f>
        <v>613434.65015462623</v>
      </c>
      <c r="DH15" s="82">
        <f>Costs!DH16</f>
        <v>613434.65015462623</v>
      </c>
      <c r="DI15" s="82">
        <f>Costs!DI16</f>
        <v>613434.65015462623</v>
      </c>
      <c r="DJ15" s="82">
        <f>Costs!DJ16</f>
        <v>613434.65015462623</v>
      </c>
      <c r="DK15" s="82">
        <f>Costs!DK16</f>
        <v>613434.65015462623</v>
      </c>
      <c r="DL15" s="82">
        <f>Costs!DL16</f>
        <v>613434.65015462623</v>
      </c>
      <c r="DM15" s="82">
        <f>Costs!DM16</f>
        <v>613434.65015462623</v>
      </c>
      <c r="DN15" s="82">
        <f>Costs!DN16</f>
        <v>613434.65015462623</v>
      </c>
      <c r="DO15" s="82">
        <f>Costs!DO16</f>
        <v>613434.65015462623</v>
      </c>
      <c r="DP15" s="82">
        <f>Costs!DP16</f>
        <v>613434.65015462623</v>
      </c>
      <c r="DQ15" s="82">
        <f>Costs!DQ16</f>
        <v>613434.65015462623</v>
      </c>
      <c r="DR15" s="82">
        <f>Costs!DR16</f>
        <v>613434.65015462623</v>
      </c>
      <c r="DS15" s="82">
        <f>Costs!DS16</f>
        <v>637361.60595845059</v>
      </c>
      <c r="DT15" s="82">
        <f>Costs!DT16</f>
        <v>637361.60595845059</v>
      </c>
      <c r="DU15" s="82">
        <f>Costs!DU16</f>
        <v>637361.60595845059</v>
      </c>
      <c r="DV15" s="82">
        <f>Costs!DV16</f>
        <v>637361.60595845059</v>
      </c>
      <c r="DW15" s="82">
        <f>Costs!DW16</f>
        <v>637361.60595845059</v>
      </c>
      <c r="DX15" s="82">
        <f>Costs!DX16</f>
        <v>637361.60595845059</v>
      </c>
      <c r="DY15" s="82">
        <f>Costs!DY16</f>
        <v>637361.60595845059</v>
      </c>
      <c r="DZ15" s="82">
        <f>Costs!DZ16</f>
        <v>637361.60595845059</v>
      </c>
      <c r="EA15" s="82">
        <f>Costs!EA16</f>
        <v>637361.60595845059</v>
      </c>
      <c r="EB15" s="82">
        <f>Costs!EB16</f>
        <v>637361.60595845059</v>
      </c>
      <c r="EC15" s="82">
        <f>Costs!EC16</f>
        <v>637361.60595845059</v>
      </c>
      <c r="ED15" s="82">
        <f>Costs!ED16</f>
        <v>637361.60595845059</v>
      </c>
      <c r="EE15" s="82">
        <f>Costs!EE16</f>
        <v>637361.60595845059</v>
      </c>
      <c r="EF15" s="82">
        <f>Costs!EF16</f>
        <v>637361.60595845059</v>
      </c>
      <c r="EG15" s="82">
        <f>Costs!EG16</f>
        <v>637361.60595845059</v>
      </c>
      <c r="EH15" s="82">
        <f>Costs!EH16</f>
        <v>637361.60595845059</v>
      </c>
      <c r="EI15" s="82">
        <f>Costs!EI16</f>
        <v>637361.60595845059</v>
      </c>
      <c r="EJ15" s="82">
        <f>Costs!EJ16</f>
        <v>637361.60595845059</v>
      </c>
      <c r="EK15" s="82">
        <f>Costs!EK16</f>
        <v>637361.60595845059</v>
      </c>
      <c r="EL15" s="82">
        <f>Costs!EL16</f>
        <v>637361.60595845059</v>
      </c>
      <c r="EM15" s="82">
        <f>Costs!EM16</f>
        <v>637361.60595845059</v>
      </c>
      <c r="EN15" s="82">
        <f>Costs!EN16</f>
        <v>637361.60595845059</v>
      </c>
      <c r="EO15" s="82">
        <f>Costs!EO16</f>
        <v>637361.60595845059</v>
      </c>
      <c r="EP15" s="82">
        <f>Costs!EP16</f>
        <v>637361.60595845059</v>
      </c>
      <c r="EQ15" s="82">
        <f>Costs!EQ16</f>
        <v>661288.56176227494</v>
      </c>
      <c r="ER15" s="82">
        <f>Costs!ER16</f>
        <v>661288.56176227494</v>
      </c>
      <c r="ES15" s="82">
        <f>Costs!ES16</f>
        <v>661288.56176227494</v>
      </c>
      <c r="ET15" s="82">
        <f>Costs!ET16</f>
        <v>661288.56176227494</v>
      </c>
      <c r="EU15" s="82">
        <f>Costs!EU16</f>
        <v>661288.56176227494</v>
      </c>
      <c r="EV15" s="82">
        <f>Costs!EV16</f>
        <v>661288.56176227494</v>
      </c>
      <c r="EW15" s="82">
        <f>Costs!EW16</f>
        <v>661288.56176227494</v>
      </c>
      <c r="EX15" s="82">
        <f>Costs!EX16</f>
        <v>661288.56176227494</v>
      </c>
      <c r="EY15" s="82">
        <f>Costs!EY16</f>
        <v>661288.56176227494</v>
      </c>
      <c r="EZ15" s="82">
        <f>Costs!EZ16</f>
        <v>661288.56176227494</v>
      </c>
      <c r="FA15" s="82">
        <f>Costs!FA16</f>
        <v>661288.56176227494</v>
      </c>
      <c r="FB15" s="82">
        <f>Costs!FB16</f>
        <v>661288.56176227494</v>
      </c>
      <c r="FC15" s="82">
        <f>Costs!FC16</f>
        <v>661288.56176227494</v>
      </c>
      <c r="FD15" s="82">
        <f>Costs!FD16</f>
        <v>661288.56176227494</v>
      </c>
      <c r="FE15" s="82">
        <f>Costs!FE16</f>
        <v>661288.56176227494</v>
      </c>
      <c r="FF15" s="82">
        <f>Costs!FF16</f>
        <v>661288.56176227494</v>
      </c>
      <c r="FG15" s="82">
        <f>Costs!FG16</f>
        <v>661288.56176227494</v>
      </c>
      <c r="FH15" s="82">
        <f>Costs!FH16</f>
        <v>661288.56176227494</v>
      </c>
      <c r="FI15" s="82">
        <f>Costs!FI16</f>
        <v>661288.56176227494</v>
      </c>
      <c r="FJ15" s="82">
        <f>Costs!FJ16</f>
        <v>661288.56176227494</v>
      </c>
      <c r="FK15" s="82">
        <f>Costs!FK16</f>
        <v>661288.56176227494</v>
      </c>
      <c r="FL15" s="82">
        <f>Costs!FL16</f>
        <v>661288.56176227494</v>
      </c>
      <c r="FM15" s="82">
        <f>Costs!FM16</f>
        <v>661288.56176227494</v>
      </c>
      <c r="FN15" s="82">
        <f>Costs!FN16</f>
        <v>661288.56176227494</v>
      </c>
      <c r="FO15" s="82">
        <f>Costs!FO16</f>
        <v>685215.5175660993</v>
      </c>
      <c r="FP15" s="82">
        <f>Costs!FP16</f>
        <v>685215.5175660993</v>
      </c>
      <c r="FQ15" s="82">
        <f>Costs!FQ16</f>
        <v>685215.5175660993</v>
      </c>
      <c r="FR15" s="82">
        <f>Costs!FR16</f>
        <v>685215.5175660993</v>
      </c>
      <c r="FS15" s="82">
        <f>Costs!FS16</f>
        <v>685215.5175660993</v>
      </c>
      <c r="FT15" s="82">
        <f>Costs!FT16</f>
        <v>685215.5175660993</v>
      </c>
      <c r="FU15" s="82">
        <f>Costs!FU16</f>
        <v>685215.5175660993</v>
      </c>
      <c r="FV15" s="82">
        <f>Costs!FV16</f>
        <v>685215.5175660993</v>
      </c>
      <c r="FW15" s="82">
        <f>Costs!FW16</f>
        <v>685215.5175660993</v>
      </c>
      <c r="FX15" s="82">
        <f>Costs!FX16</f>
        <v>685215.5175660993</v>
      </c>
      <c r="FY15" s="82">
        <f>Costs!FY16</f>
        <v>685215.5175660993</v>
      </c>
      <c r="FZ15" s="82">
        <f>Costs!FZ16</f>
        <v>685215.5175660993</v>
      </c>
      <c r="GA15" s="82">
        <f>Costs!GA16</f>
        <v>685215.5175660993</v>
      </c>
      <c r="GB15" s="82">
        <f>Costs!GB16</f>
        <v>685215.5175660993</v>
      </c>
      <c r="GC15" s="82">
        <f>Costs!GC16</f>
        <v>685215.5175660993</v>
      </c>
      <c r="GD15" s="82">
        <f>Costs!GD16</f>
        <v>685215.5175660993</v>
      </c>
      <c r="GE15" s="82">
        <f>Costs!GE16</f>
        <v>685215.5175660993</v>
      </c>
      <c r="GF15" s="82">
        <f>Costs!GF16</f>
        <v>685215.5175660993</v>
      </c>
      <c r="GG15" s="82">
        <f>Costs!GG16</f>
        <v>685215.5175660993</v>
      </c>
      <c r="GH15" s="82">
        <f>Costs!GH16</f>
        <v>685215.5175660993</v>
      </c>
      <c r="GI15" s="82">
        <f>Costs!GI16</f>
        <v>685215.5175660993</v>
      </c>
      <c r="GJ15" s="82">
        <f>Costs!GJ16</f>
        <v>685215.5175660993</v>
      </c>
      <c r="GK15" s="82">
        <f>Costs!GK16</f>
        <v>685215.5175660993</v>
      </c>
      <c r="GL15" s="82">
        <f>Costs!GL16</f>
        <v>685215.5175660993</v>
      </c>
      <c r="GM15" s="82">
        <f>Costs!GM16</f>
        <v>709142.47336992354</v>
      </c>
      <c r="GN15" s="82">
        <f>Costs!GN16</f>
        <v>709142.47336992354</v>
      </c>
      <c r="GO15" s="82">
        <f>Costs!GO16</f>
        <v>709142.47336992354</v>
      </c>
      <c r="GP15" s="82">
        <f>Costs!GP16</f>
        <v>709142.47336992354</v>
      </c>
      <c r="GQ15" s="82">
        <f>Costs!GQ16</f>
        <v>709142.47336992354</v>
      </c>
      <c r="GR15" s="82">
        <f>Costs!GR16</f>
        <v>709142.47336992354</v>
      </c>
      <c r="GS15" s="82">
        <f>Costs!GS16</f>
        <v>709142.47336992354</v>
      </c>
      <c r="GT15" s="82">
        <f>Costs!GT16</f>
        <v>709142.47336992354</v>
      </c>
      <c r="GU15" s="82">
        <f>Costs!GU16</f>
        <v>709142.47336992354</v>
      </c>
      <c r="GV15" s="82">
        <f>Costs!GV16</f>
        <v>709142.47336992354</v>
      </c>
      <c r="GW15" s="82">
        <f>Costs!GW16</f>
        <v>709142.47336992354</v>
      </c>
      <c r="GX15" s="82">
        <f>Costs!GX16</f>
        <v>709142.47336992354</v>
      </c>
      <c r="GY15" s="82">
        <f>Costs!GY16</f>
        <v>709142.47336992354</v>
      </c>
      <c r="GZ15" s="82">
        <f>Costs!GZ16</f>
        <v>709142.47336992354</v>
      </c>
      <c r="HA15" s="82">
        <f>Costs!HA16</f>
        <v>709142.47336992354</v>
      </c>
      <c r="HB15" s="82">
        <f>Costs!HB16</f>
        <v>709142.47336992354</v>
      </c>
      <c r="HC15" s="82">
        <f>Costs!HC16</f>
        <v>709142.47336992354</v>
      </c>
      <c r="HD15" s="82">
        <f>Costs!HD16</f>
        <v>709142.47336992354</v>
      </c>
      <c r="HE15" s="82">
        <f>Costs!HE16</f>
        <v>709142.47336992354</v>
      </c>
      <c r="HF15" s="82">
        <f>Costs!HF16</f>
        <v>709142.47336992354</v>
      </c>
      <c r="HG15" s="82">
        <f>Costs!HG16</f>
        <v>709142.47336992354</v>
      </c>
      <c r="HH15" s="82">
        <f>Costs!HH16</f>
        <v>709142.47336992354</v>
      </c>
      <c r="HI15" s="82">
        <f>Costs!HI16</f>
        <v>709142.47336992354</v>
      </c>
      <c r="HJ15" s="82">
        <f>Costs!HJ16</f>
        <v>709142.47336992354</v>
      </c>
      <c r="HK15" s="82">
        <f>Costs!HK16</f>
        <v>733069.42917374778</v>
      </c>
      <c r="HL15" s="82">
        <f>Costs!HL16</f>
        <v>733069.42917374778</v>
      </c>
      <c r="HM15" s="82">
        <f>Costs!HM16</f>
        <v>733069.42917374778</v>
      </c>
      <c r="HN15" s="82">
        <f>Costs!HN16</f>
        <v>733069.42917374778</v>
      </c>
      <c r="HO15" s="82">
        <f>Costs!HO16</f>
        <v>733069.42917374778</v>
      </c>
      <c r="HP15" s="82">
        <f>Costs!HP16</f>
        <v>733069.42917374778</v>
      </c>
      <c r="HQ15" s="82">
        <f>Costs!HQ16</f>
        <v>733069.42917374778</v>
      </c>
      <c r="HR15" s="82">
        <f>Costs!HR16</f>
        <v>733069.42917374778</v>
      </c>
      <c r="HS15" s="82">
        <f>Costs!HS16</f>
        <v>733069.42917374778</v>
      </c>
      <c r="HT15" s="82">
        <f>Costs!HT16</f>
        <v>733069.42917374778</v>
      </c>
      <c r="HU15" s="82">
        <f>Costs!HU16</f>
        <v>733069.42917374778</v>
      </c>
      <c r="HV15" s="82">
        <f>Costs!HV16</f>
        <v>733069.42917374778</v>
      </c>
      <c r="HW15" s="82">
        <f>Costs!HW16</f>
        <v>733069.42917374778</v>
      </c>
      <c r="HX15" s="82">
        <f>Costs!HX16</f>
        <v>733069.42917374778</v>
      </c>
      <c r="HY15" s="82">
        <f>Costs!HY16</f>
        <v>733069.42917374778</v>
      </c>
      <c r="HZ15" s="82">
        <f>Costs!HZ16</f>
        <v>733069.42917374778</v>
      </c>
      <c r="IA15" s="82">
        <f>Costs!IA16</f>
        <v>733069.42917374778</v>
      </c>
      <c r="IB15" s="82">
        <f>Costs!IB16</f>
        <v>733069.42917374778</v>
      </c>
      <c r="IC15" s="82">
        <f>Costs!IC16</f>
        <v>733069.42917374778</v>
      </c>
      <c r="ID15" s="82">
        <f>Costs!ID16</f>
        <v>733069.42917374778</v>
      </c>
      <c r="IE15" s="82">
        <f>Costs!IE16</f>
        <v>733069.42917374778</v>
      </c>
      <c r="IF15" s="82">
        <f>Costs!IF16</f>
        <v>733069.42917374778</v>
      </c>
      <c r="IG15" s="82">
        <f>Costs!IG16</f>
        <v>733069.42917374778</v>
      </c>
      <c r="IH15" s="82">
        <f>Costs!IH16</f>
        <v>733069.42917374778</v>
      </c>
    </row>
    <row r="16" spans="1:242" ht="14.65" thickTop="1" x14ac:dyDescent="0.45">
      <c r="A16" s="888" t="s">
        <v>265</v>
      </c>
      <c r="B16" s="889"/>
      <c r="C16" s="85">
        <f>C13-C15</f>
        <v>0</v>
      </c>
      <c r="D16" s="85">
        <f t="shared" ref="D16:BO16" si="4">D13-D15</f>
        <v>0</v>
      </c>
      <c r="E16" s="85">
        <f t="shared" si="4"/>
        <v>0</v>
      </c>
      <c r="F16" s="85">
        <f t="shared" si="4"/>
        <v>0</v>
      </c>
      <c r="G16" s="85">
        <f t="shared" si="4"/>
        <v>0</v>
      </c>
      <c r="H16" s="85">
        <f t="shared" si="4"/>
        <v>0</v>
      </c>
      <c r="I16" s="85">
        <f t="shared" si="4"/>
        <v>0</v>
      </c>
      <c r="J16" s="85">
        <f t="shared" si="4"/>
        <v>0</v>
      </c>
      <c r="K16" s="85">
        <f t="shared" si="4"/>
        <v>0</v>
      </c>
      <c r="L16" s="85">
        <f t="shared" si="4"/>
        <v>0</v>
      </c>
      <c r="M16" s="85">
        <f t="shared" si="4"/>
        <v>0</v>
      </c>
      <c r="N16" s="85">
        <f t="shared" si="4"/>
        <v>0</v>
      </c>
      <c r="O16" s="85">
        <f t="shared" si="4"/>
        <v>-43114.666666666664</v>
      </c>
      <c r="P16" s="85">
        <f t="shared" si="4"/>
        <v>-43114.666666666664</v>
      </c>
      <c r="Q16" s="85">
        <f t="shared" si="4"/>
        <v>-43114.666666666664</v>
      </c>
      <c r="R16" s="85">
        <f t="shared" si="4"/>
        <v>-43114.666666666664</v>
      </c>
      <c r="S16" s="85">
        <f t="shared" si="4"/>
        <v>-43114.666666666664</v>
      </c>
      <c r="T16" s="85">
        <f t="shared" si="4"/>
        <v>-43114.666666666664</v>
      </c>
      <c r="U16" s="85">
        <f t="shared" si="4"/>
        <v>-43114.666666666664</v>
      </c>
      <c r="V16" s="85">
        <f t="shared" si="4"/>
        <v>-43114.666666666664</v>
      </c>
      <c r="W16" s="85">
        <f t="shared" si="4"/>
        <v>-43114.666666666664</v>
      </c>
      <c r="X16" s="85">
        <f t="shared" si="4"/>
        <v>-43114.666666666664</v>
      </c>
      <c r="Y16" s="85">
        <f t="shared" si="4"/>
        <v>-43114.666666666664</v>
      </c>
      <c r="Z16" s="85">
        <f t="shared" si="4"/>
        <v>-43114.666666666664</v>
      </c>
      <c r="AA16" s="85">
        <f t="shared" si="4"/>
        <v>5462257.7167944135</v>
      </c>
      <c r="AB16" s="85">
        <f t="shared" si="4"/>
        <v>5462257.7167944135</v>
      </c>
      <c r="AC16" s="85">
        <f t="shared" si="4"/>
        <v>5462257.7167944135</v>
      </c>
      <c r="AD16" s="85">
        <f t="shared" si="4"/>
        <v>5462257.7167944135</v>
      </c>
      <c r="AE16" s="85">
        <f t="shared" si="4"/>
        <v>5462257.7167944135</v>
      </c>
      <c r="AF16" s="85">
        <f t="shared" si="4"/>
        <v>5462257.7167944135</v>
      </c>
      <c r="AG16" s="85">
        <f t="shared" si="4"/>
        <v>5462257.7167944135</v>
      </c>
      <c r="AH16" s="85">
        <f t="shared" si="4"/>
        <v>5462257.7167944135</v>
      </c>
      <c r="AI16" s="85">
        <f t="shared" si="4"/>
        <v>5462257.7167944135</v>
      </c>
      <c r="AJ16" s="85">
        <f t="shared" si="4"/>
        <v>5462257.7167944135</v>
      </c>
      <c r="AK16" s="85">
        <f t="shared" si="4"/>
        <v>5462257.7167944135</v>
      </c>
      <c r="AL16" s="85">
        <f t="shared" si="4"/>
        <v>5462257.7167944135</v>
      </c>
      <c r="AM16" s="85">
        <f t="shared" si="4"/>
        <v>9079491.3057684675</v>
      </c>
      <c r="AN16" s="85">
        <f t="shared" si="4"/>
        <v>9079491.3057684675</v>
      </c>
      <c r="AO16" s="85">
        <f t="shared" si="4"/>
        <v>9079491.3057684675</v>
      </c>
      <c r="AP16" s="85">
        <f t="shared" si="4"/>
        <v>9079491.3057684675</v>
      </c>
      <c r="AQ16" s="85">
        <f t="shared" si="4"/>
        <v>9079491.3057684675</v>
      </c>
      <c r="AR16" s="85">
        <f t="shared" si="4"/>
        <v>9079491.3057684675</v>
      </c>
      <c r="AS16" s="85">
        <f t="shared" si="4"/>
        <v>9079491.3057684675</v>
      </c>
      <c r="AT16" s="85">
        <f t="shared" si="4"/>
        <v>9079491.3057684675</v>
      </c>
      <c r="AU16" s="85">
        <f t="shared" si="4"/>
        <v>9079491.3057684675</v>
      </c>
      <c r="AV16" s="85">
        <f t="shared" si="4"/>
        <v>9079491.3057684675</v>
      </c>
      <c r="AW16" s="85">
        <f t="shared" si="4"/>
        <v>9079491.3057684675</v>
      </c>
      <c r="AX16" s="85">
        <f t="shared" si="4"/>
        <v>9079491.3057684675</v>
      </c>
      <c r="AY16" s="85">
        <f t="shared" si="4"/>
        <v>13334716.872812983</v>
      </c>
      <c r="AZ16" s="85">
        <f t="shared" si="4"/>
        <v>13334716.872812983</v>
      </c>
      <c r="BA16" s="85">
        <f t="shared" si="4"/>
        <v>13334716.872812983</v>
      </c>
      <c r="BB16" s="85">
        <f t="shared" si="4"/>
        <v>13334716.872812983</v>
      </c>
      <c r="BC16" s="85">
        <f t="shared" si="4"/>
        <v>13334716.872812983</v>
      </c>
      <c r="BD16" s="85">
        <f t="shared" si="4"/>
        <v>13334716.872812983</v>
      </c>
      <c r="BE16" s="85">
        <f t="shared" si="4"/>
        <v>13334716.872812983</v>
      </c>
      <c r="BF16" s="85">
        <f t="shared" si="4"/>
        <v>13334716.872812983</v>
      </c>
      <c r="BG16" s="85">
        <f t="shared" si="4"/>
        <v>13334716.872812983</v>
      </c>
      <c r="BH16" s="85">
        <f t="shared" si="4"/>
        <v>13334716.872812983</v>
      </c>
      <c r="BI16" s="85">
        <f t="shared" si="4"/>
        <v>13334716.872812983</v>
      </c>
      <c r="BJ16" s="85">
        <f t="shared" si="4"/>
        <v>13334716.872812983</v>
      </c>
      <c r="BK16" s="85">
        <f t="shared" si="4"/>
        <v>16183288.324130049</v>
      </c>
      <c r="BL16" s="85">
        <f t="shared" si="4"/>
        <v>16183288.324130049</v>
      </c>
      <c r="BM16" s="85">
        <f t="shared" si="4"/>
        <v>16183288.324130049</v>
      </c>
      <c r="BN16" s="85">
        <f t="shared" si="4"/>
        <v>16183288.324130049</v>
      </c>
      <c r="BO16" s="85">
        <f t="shared" si="4"/>
        <v>16183288.324130049</v>
      </c>
      <c r="BP16" s="85">
        <f t="shared" ref="BP16:EA16" si="5">BP13-BP15</f>
        <v>16183288.324130049</v>
      </c>
      <c r="BQ16" s="85">
        <f t="shared" si="5"/>
        <v>16183288.324130049</v>
      </c>
      <c r="BR16" s="85">
        <f t="shared" si="5"/>
        <v>16183288.324130049</v>
      </c>
      <c r="BS16" s="85">
        <f t="shared" si="5"/>
        <v>16183288.324130049</v>
      </c>
      <c r="BT16" s="85">
        <f t="shared" si="5"/>
        <v>16183288.324130049</v>
      </c>
      <c r="BU16" s="85">
        <f t="shared" si="5"/>
        <v>16183288.324130049</v>
      </c>
      <c r="BV16" s="85">
        <f t="shared" si="5"/>
        <v>16183288.324130049</v>
      </c>
      <c r="BW16" s="85">
        <f t="shared" si="5"/>
        <v>16956926.561787039</v>
      </c>
      <c r="BX16" s="85">
        <f t="shared" si="5"/>
        <v>16956926.561787039</v>
      </c>
      <c r="BY16" s="85">
        <f t="shared" si="5"/>
        <v>16956926.561787039</v>
      </c>
      <c r="BZ16" s="85">
        <f t="shared" si="5"/>
        <v>16956926.561787039</v>
      </c>
      <c r="CA16" s="85">
        <f t="shared" si="5"/>
        <v>16956926.561787039</v>
      </c>
      <c r="CB16" s="85">
        <f t="shared" si="5"/>
        <v>16956926.561787039</v>
      </c>
      <c r="CC16" s="85">
        <f t="shared" si="5"/>
        <v>16956926.561787039</v>
      </c>
      <c r="CD16" s="85">
        <f t="shared" si="5"/>
        <v>16956926.561787039</v>
      </c>
      <c r="CE16" s="85">
        <f t="shared" si="5"/>
        <v>16956926.561787039</v>
      </c>
      <c r="CF16" s="85">
        <f t="shared" si="5"/>
        <v>16956926.561787039</v>
      </c>
      <c r="CG16" s="85">
        <f t="shared" si="5"/>
        <v>16956926.561787039</v>
      </c>
      <c r="CH16" s="85">
        <f t="shared" si="5"/>
        <v>16956926.561787039</v>
      </c>
      <c r="CI16" s="85">
        <f t="shared" si="5"/>
        <v>16956926.561787039</v>
      </c>
      <c r="CJ16" s="85">
        <f t="shared" si="5"/>
        <v>16956926.561787039</v>
      </c>
      <c r="CK16" s="85">
        <f t="shared" si="5"/>
        <v>16956926.561787039</v>
      </c>
      <c r="CL16" s="85">
        <f t="shared" si="5"/>
        <v>16956926.561787039</v>
      </c>
      <c r="CM16" s="85">
        <f t="shared" si="5"/>
        <v>16956926.561787039</v>
      </c>
      <c r="CN16" s="85">
        <f t="shared" si="5"/>
        <v>16956926.561787039</v>
      </c>
      <c r="CO16" s="85">
        <f t="shared" si="5"/>
        <v>16956926.561787039</v>
      </c>
      <c r="CP16" s="85">
        <f t="shared" si="5"/>
        <v>16956926.561787039</v>
      </c>
      <c r="CQ16" s="85">
        <f t="shared" si="5"/>
        <v>16956926.561787039</v>
      </c>
      <c r="CR16" s="85">
        <f t="shared" si="5"/>
        <v>16956926.561787039</v>
      </c>
      <c r="CS16" s="85">
        <f t="shared" si="5"/>
        <v>16956926.561787039</v>
      </c>
      <c r="CT16" s="85">
        <f t="shared" si="5"/>
        <v>16956926.561787039</v>
      </c>
      <c r="CU16" s="85">
        <f t="shared" si="5"/>
        <v>17730564.799444027</v>
      </c>
      <c r="CV16" s="85">
        <f t="shared" si="5"/>
        <v>17730564.799444027</v>
      </c>
      <c r="CW16" s="85">
        <f t="shared" si="5"/>
        <v>17730564.799444027</v>
      </c>
      <c r="CX16" s="85">
        <f t="shared" si="5"/>
        <v>17730564.799444027</v>
      </c>
      <c r="CY16" s="85">
        <f t="shared" si="5"/>
        <v>17730564.799444027</v>
      </c>
      <c r="CZ16" s="85">
        <f t="shared" si="5"/>
        <v>17730564.799444027</v>
      </c>
      <c r="DA16" s="85">
        <f t="shared" si="5"/>
        <v>17730564.799444027</v>
      </c>
      <c r="DB16" s="85">
        <f t="shared" si="5"/>
        <v>17730564.799444027</v>
      </c>
      <c r="DC16" s="85">
        <f t="shared" si="5"/>
        <v>17730564.799444027</v>
      </c>
      <c r="DD16" s="85">
        <f t="shared" si="5"/>
        <v>17730564.799444027</v>
      </c>
      <c r="DE16" s="85">
        <f t="shared" si="5"/>
        <v>17730564.799444027</v>
      </c>
      <c r="DF16" s="85">
        <f t="shared" si="5"/>
        <v>17730564.799444027</v>
      </c>
      <c r="DG16" s="85">
        <f t="shared" si="5"/>
        <v>17730564.799444027</v>
      </c>
      <c r="DH16" s="85">
        <f t="shared" si="5"/>
        <v>17730564.799444027</v>
      </c>
      <c r="DI16" s="85">
        <f t="shared" si="5"/>
        <v>17730564.799444027</v>
      </c>
      <c r="DJ16" s="85">
        <f t="shared" si="5"/>
        <v>17730564.799444027</v>
      </c>
      <c r="DK16" s="85">
        <f t="shared" si="5"/>
        <v>17730564.799444027</v>
      </c>
      <c r="DL16" s="85">
        <f t="shared" si="5"/>
        <v>17730564.799444027</v>
      </c>
      <c r="DM16" s="85">
        <f t="shared" si="5"/>
        <v>17730564.799444027</v>
      </c>
      <c r="DN16" s="85">
        <f t="shared" si="5"/>
        <v>17730564.799444027</v>
      </c>
      <c r="DO16" s="85">
        <f t="shared" si="5"/>
        <v>17730564.799444027</v>
      </c>
      <c r="DP16" s="85">
        <f t="shared" si="5"/>
        <v>17730564.799444027</v>
      </c>
      <c r="DQ16" s="85">
        <f t="shared" si="5"/>
        <v>17730564.799444027</v>
      </c>
      <c r="DR16" s="85">
        <f t="shared" si="5"/>
        <v>17730564.799444027</v>
      </c>
      <c r="DS16" s="85">
        <f t="shared" si="5"/>
        <v>18504203.037101015</v>
      </c>
      <c r="DT16" s="85">
        <f t="shared" si="5"/>
        <v>18504203.037101015</v>
      </c>
      <c r="DU16" s="85">
        <f t="shared" si="5"/>
        <v>18504203.037101015</v>
      </c>
      <c r="DV16" s="85">
        <f t="shared" si="5"/>
        <v>18504203.037101015</v>
      </c>
      <c r="DW16" s="85">
        <f t="shared" si="5"/>
        <v>18504203.037101015</v>
      </c>
      <c r="DX16" s="85">
        <f t="shared" si="5"/>
        <v>18504203.037101015</v>
      </c>
      <c r="DY16" s="85">
        <f t="shared" si="5"/>
        <v>18504203.037101015</v>
      </c>
      <c r="DZ16" s="85">
        <f t="shared" si="5"/>
        <v>18504203.037101015</v>
      </c>
      <c r="EA16" s="85">
        <f t="shared" si="5"/>
        <v>18504203.037101015</v>
      </c>
      <c r="EB16" s="85">
        <f t="shared" ref="EB16:GI16" si="6">EB13-EB15</f>
        <v>18504203.037101015</v>
      </c>
      <c r="EC16" s="85">
        <f t="shared" si="6"/>
        <v>18504203.037101015</v>
      </c>
      <c r="ED16" s="85">
        <f t="shared" si="6"/>
        <v>18504203.037101015</v>
      </c>
      <c r="EE16" s="85">
        <f t="shared" si="6"/>
        <v>18504203.037101015</v>
      </c>
      <c r="EF16" s="85">
        <f t="shared" si="6"/>
        <v>18504203.037101015</v>
      </c>
      <c r="EG16" s="85">
        <f t="shared" si="6"/>
        <v>18504203.037101015</v>
      </c>
      <c r="EH16" s="85">
        <f t="shared" si="6"/>
        <v>18504203.037101015</v>
      </c>
      <c r="EI16" s="85">
        <f t="shared" si="6"/>
        <v>18504203.037101015</v>
      </c>
      <c r="EJ16" s="85">
        <f t="shared" si="6"/>
        <v>18504203.037101015</v>
      </c>
      <c r="EK16" s="85">
        <f t="shared" si="6"/>
        <v>18504203.037101015</v>
      </c>
      <c r="EL16" s="85">
        <f t="shared" si="6"/>
        <v>18504203.037101015</v>
      </c>
      <c r="EM16" s="85">
        <f t="shared" si="6"/>
        <v>18504203.037101015</v>
      </c>
      <c r="EN16" s="85">
        <f t="shared" si="6"/>
        <v>18504203.037101015</v>
      </c>
      <c r="EO16" s="85">
        <f t="shared" si="6"/>
        <v>18504203.037101015</v>
      </c>
      <c r="EP16" s="85">
        <f t="shared" si="6"/>
        <v>18504203.037101015</v>
      </c>
      <c r="EQ16" s="85">
        <f t="shared" si="6"/>
        <v>19277841.274758004</v>
      </c>
      <c r="ER16" s="85">
        <f t="shared" si="6"/>
        <v>19277841.274758004</v>
      </c>
      <c r="ES16" s="85">
        <f t="shared" si="6"/>
        <v>19277841.274758004</v>
      </c>
      <c r="ET16" s="85">
        <f t="shared" si="6"/>
        <v>19277841.274758004</v>
      </c>
      <c r="EU16" s="85">
        <f t="shared" si="6"/>
        <v>19277841.274758004</v>
      </c>
      <c r="EV16" s="85">
        <f t="shared" si="6"/>
        <v>19277841.274758004</v>
      </c>
      <c r="EW16" s="85">
        <f t="shared" si="6"/>
        <v>19277841.274758004</v>
      </c>
      <c r="EX16" s="85">
        <f t="shared" si="6"/>
        <v>19277841.274758004</v>
      </c>
      <c r="EY16" s="85">
        <f t="shared" si="6"/>
        <v>19277841.274758004</v>
      </c>
      <c r="EZ16" s="85">
        <f t="shared" si="6"/>
        <v>19277841.274758004</v>
      </c>
      <c r="FA16" s="85">
        <f t="shared" si="6"/>
        <v>19277841.274758004</v>
      </c>
      <c r="FB16" s="85">
        <f t="shared" si="6"/>
        <v>19277841.274758004</v>
      </c>
      <c r="FC16" s="85">
        <f t="shared" si="6"/>
        <v>19277841.274758004</v>
      </c>
      <c r="FD16" s="85">
        <f t="shared" si="6"/>
        <v>19277841.274758004</v>
      </c>
      <c r="FE16" s="85">
        <f t="shared" si="6"/>
        <v>19277841.274758004</v>
      </c>
      <c r="FF16" s="85">
        <f t="shared" si="6"/>
        <v>19277841.274758004</v>
      </c>
      <c r="FG16" s="85">
        <f t="shared" si="6"/>
        <v>19277841.274758004</v>
      </c>
      <c r="FH16" s="85">
        <f t="shared" si="6"/>
        <v>19277841.274758004</v>
      </c>
      <c r="FI16" s="85">
        <f t="shared" si="6"/>
        <v>19277841.274758004</v>
      </c>
      <c r="FJ16" s="85">
        <f t="shared" si="6"/>
        <v>19277841.274758004</v>
      </c>
      <c r="FK16" s="85">
        <f t="shared" si="6"/>
        <v>19277841.274758004</v>
      </c>
      <c r="FL16" s="85">
        <f t="shared" si="6"/>
        <v>19277841.274758004</v>
      </c>
      <c r="FM16" s="85">
        <f t="shared" si="6"/>
        <v>19277841.274758004</v>
      </c>
      <c r="FN16" s="85">
        <f t="shared" si="6"/>
        <v>19277841.274758004</v>
      </c>
      <c r="FO16" s="85">
        <f t="shared" si="6"/>
        <v>20051479.512414988</v>
      </c>
      <c r="FP16" s="85">
        <f t="shared" si="6"/>
        <v>20051479.512414988</v>
      </c>
      <c r="FQ16" s="85">
        <f t="shared" si="6"/>
        <v>20051479.512414988</v>
      </c>
      <c r="FR16" s="85">
        <f t="shared" si="6"/>
        <v>20051479.512414988</v>
      </c>
      <c r="FS16" s="85">
        <f t="shared" si="6"/>
        <v>20051479.512414988</v>
      </c>
      <c r="FT16" s="85">
        <f t="shared" si="6"/>
        <v>20051479.512414988</v>
      </c>
      <c r="FU16" s="85">
        <f t="shared" si="6"/>
        <v>20051479.512414988</v>
      </c>
      <c r="FV16" s="85">
        <f t="shared" si="6"/>
        <v>20051479.512414988</v>
      </c>
      <c r="FW16" s="85">
        <f t="shared" si="6"/>
        <v>20051479.512414988</v>
      </c>
      <c r="FX16" s="85">
        <f t="shared" si="6"/>
        <v>20051479.512414988</v>
      </c>
      <c r="FY16" s="85">
        <f t="shared" si="6"/>
        <v>20051479.512414988</v>
      </c>
      <c r="FZ16" s="85">
        <f t="shared" si="6"/>
        <v>20051479.512414988</v>
      </c>
      <c r="GA16" s="85">
        <f t="shared" si="6"/>
        <v>20051479.512414988</v>
      </c>
      <c r="GB16" s="85">
        <f t="shared" si="6"/>
        <v>20051479.512414988</v>
      </c>
      <c r="GC16" s="85">
        <f t="shared" si="6"/>
        <v>20051479.512414988</v>
      </c>
      <c r="GD16" s="85">
        <f t="shared" si="6"/>
        <v>20051479.512414988</v>
      </c>
      <c r="GE16" s="85">
        <f t="shared" si="6"/>
        <v>20051479.512414988</v>
      </c>
      <c r="GF16" s="85">
        <f t="shared" si="6"/>
        <v>20051479.512414988</v>
      </c>
      <c r="GG16" s="85">
        <f t="shared" si="6"/>
        <v>20051479.512414988</v>
      </c>
      <c r="GH16" s="85">
        <f t="shared" si="6"/>
        <v>20051479.512414988</v>
      </c>
      <c r="GI16" s="85">
        <f t="shared" si="6"/>
        <v>20051479.512414988</v>
      </c>
      <c r="GJ16" s="85">
        <f t="shared" ref="GJ16:IH16" si="7">GJ13-GJ15</f>
        <v>20051479.512414988</v>
      </c>
      <c r="GK16" s="85">
        <f t="shared" si="7"/>
        <v>20051479.512414988</v>
      </c>
      <c r="GL16" s="85">
        <f t="shared" si="7"/>
        <v>20051479.512414988</v>
      </c>
      <c r="GM16" s="85">
        <f t="shared" si="7"/>
        <v>20825117.750071976</v>
      </c>
      <c r="GN16" s="85">
        <f t="shared" si="7"/>
        <v>20825117.750071976</v>
      </c>
      <c r="GO16" s="85">
        <f t="shared" si="7"/>
        <v>20825117.750071976</v>
      </c>
      <c r="GP16" s="85">
        <f t="shared" si="7"/>
        <v>20825117.750071976</v>
      </c>
      <c r="GQ16" s="85">
        <f t="shared" si="7"/>
        <v>20825117.750071976</v>
      </c>
      <c r="GR16" s="85">
        <f t="shared" si="7"/>
        <v>20825117.750071976</v>
      </c>
      <c r="GS16" s="85">
        <f t="shared" si="7"/>
        <v>20825117.750071976</v>
      </c>
      <c r="GT16" s="85">
        <f t="shared" si="7"/>
        <v>20825117.750071976</v>
      </c>
      <c r="GU16" s="85">
        <f t="shared" si="7"/>
        <v>20825117.750071976</v>
      </c>
      <c r="GV16" s="85">
        <f t="shared" si="7"/>
        <v>20825117.750071976</v>
      </c>
      <c r="GW16" s="85">
        <f t="shared" si="7"/>
        <v>20825117.750071976</v>
      </c>
      <c r="GX16" s="85">
        <f t="shared" si="7"/>
        <v>20825117.750071976</v>
      </c>
      <c r="GY16" s="85">
        <f t="shared" si="7"/>
        <v>20825117.750071976</v>
      </c>
      <c r="GZ16" s="85">
        <f t="shared" si="7"/>
        <v>20825117.750071976</v>
      </c>
      <c r="HA16" s="85">
        <f t="shared" si="7"/>
        <v>20825117.750071976</v>
      </c>
      <c r="HB16" s="85">
        <f t="shared" si="7"/>
        <v>20825117.750071976</v>
      </c>
      <c r="HC16" s="85">
        <f t="shared" si="7"/>
        <v>20825117.750071976</v>
      </c>
      <c r="HD16" s="85">
        <f t="shared" si="7"/>
        <v>20825117.750071976</v>
      </c>
      <c r="HE16" s="85">
        <f t="shared" si="7"/>
        <v>20825117.750071976</v>
      </c>
      <c r="HF16" s="85">
        <f t="shared" si="7"/>
        <v>20825117.750071976</v>
      </c>
      <c r="HG16" s="85">
        <f t="shared" si="7"/>
        <v>20825117.750071976</v>
      </c>
      <c r="HH16" s="85">
        <f t="shared" si="7"/>
        <v>20825117.750071976</v>
      </c>
      <c r="HI16" s="85">
        <f t="shared" si="7"/>
        <v>20825117.750071976</v>
      </c>
      <c r="HJ16" s="85">
        <f t="shared" si="7"/>
        <v>20825117.750071976</v>
      </c>
      <c r="HK16" s="85">
        <f t="shared" si="7"/>
        <v>21598755.987728957</v>
      </c>
      <c r="HL16" s="85">
        <f t="shared" si="7"/>
        <v>21598755.987728957</v>
      </c>
      <c r="HM16" s="85">
        <f t="shared" si="7"/>
        <v>21598755.987728957</v>
      </c>
      <c r="HN16" s="85">
        <f t="shared" si="7"/>
        <v>21598755.987728957</v>
      </c>
      <c r="HO16" s="85">
        <f t="shared" si="7"/>
        <v>21598755.987728957</v>
      </c>
      <c r="HP16" s="85">
        <f t="shared" si="7"/>
        <v>21598755.987728957</v>
      </c>
      <c r="HQ16" s="85">
        <f t="shared" si="7"/>
        <v>21598755.987728957</v>
      </c>
      <c r="HR16" s="85">
        <f t="shared" si="7"/>
        <v>21598755.987728957</v>
      </c>
      <c r="HS16" s="85">
        <f t="shared" si="7"/>
        <v>21598755.987728957</v>
      </c>
      <c r="HT16" s="85">
        <f t="shared" si="7"/>
        <v>21598755.987728957</v>
      </c>
      <c r="HU16" s="85">
        <f t="shared" si="7"/>
        <v>21598755.987728957</v>
      </c>
      <c r="HV16" s="85">
        <f t="shared" si="7"/>
        <v>21598755.987728957</v>
      </c>
      <c r="HW16" s="85">
        <f t="shared" si="7"/>
        <v>21598755.987728957</v>
      </c>
      <c r="HX16" s="85">
        <f t="shared" si="7"/>
        <v>21598755.987728957</v>
      </c>
      <c r="HY16" s="85">
        <f t="shared" si="7"/>
        <v>21598755.987728957</v>
      </c>
      <c r="HZ16" s="85">
        <f t="shared" si="7"/>
        <v>21598755.987728957</v>
      </c>
      <c r="IA16" s="85">
        <f t="shared" si="7"/>
        <v>21598755.987728957</v>
      </c>
      <c r="IB16" s="85">
        <f t="shared" si="7"/>
        <v>21598755.987728957</v>
      </c>
      <c r="IC16" s="85">
        <f t="shared" si="7"/>
        <v>21598755.987728957</v>
      </c>
      <c r="ID16" s="85">
        <f t="shared" si="7"/>
        <v>21598755.987728957</v>
      </c>
      <c r="IE16" s="85">
        <f t="shared" si="7"/>
        <v>21598755.987728957</v>
      </c>
      <c r="IF16" s="85">
        <f t="shared" si="7"/>
        <v>21598755.987728957</v>
      </c>
      <c r="IG16" s="85">
        <f t="shared" si="7"/>
        <v>21598755.987728957</v>
      </c>
      <c r="IH16" s="85">
        <f t="shared" si="7"/>
        <v>21598755.987728957</v>
      </c>
    </row>
    <row r="17" spans="1:242" x14ac:dyDescent="0.45">
      <c r="A17" s="897" t="s">
        <v>266</v>
      </c>
      <c r="B17" s="898"/>
      <c r="C17" s="80">
        <f>IF(C13=0,0,C16/C13)</f>
        <v>0</v>
      </c>
      <c r="D17" s="80">
        <f t="shared" ref="D17:BO17" si="8">IF(D13=0,0,D16/D13)</f>
        <v>0</v>
      </c>
      <c r="E17" s="80">
        <f t="shared" si="8"/>
        <v>0</v>
      </c>
      <c r="F17" s="80">
        <f t="shared" si="8"/>
        <v>0</v>
      </c>
      <c r="G17" s="80">
        <f t="shared" si="8"/>
        <v>0</v>
      </c>
      <c r="H17" s="80">
        <f t="shared" si="8"/>
        <v>0</v>
      </c>
      <c r="I17" s="80">
        <f t="shared" si="8"/>
        <v>0</v>
      </c>
      <c r="J17" s="80">
        <f t="shared" si="8"/>
        <v>0</v>
      </c>
      <c r="K17" s="80">
        <f t="shared" si="8"/>
        <v>0</v>
      </c>
      <c r="L17" s="80">
        <f t="shared" si="8"/>
        <v>0</v>
      </c>
      <c r="M17" s="80">
        <f t="shared" si="8"/>
        <v>0</v>
      </c>
      <c r="N17" s="80">
        <f t="shared" si="8"/>
        <v>0</v>
      </c>
      <c r="O17" s="80">
        <f t="shared" si="8"/>
        <v>0</v>
      </c>
      <c r="P17" s="80">
        <f t="shared" si="8"/>
        <v>0</v>
      </c>
      <c r="Q17" s="80">
        <f t="shared" si="8"/>
        <v>0</v>
      </c>
      <c r="R17" s="80">
        <f t="shared" si="8"/>
        <v>0</v>
      </c>
      <c r="S17" s="80">
        <f t="shared" si="8"/>
        <v>0</v>
      </c>
      <c r="T17" s="80">
        <f t="shared" si="8"/>
        <v>0</v>
      </c>
      <c r="U17" s="80">
        <f t="shared" si="8"/>
        <v>0</v>
      </c>
      <c r="V17" s="80">
        <f t="shared" si="8"/>
        <v>0</v>
      </c>
      <c r="W17" s="80">
        <f t="shared" si="8"/>
        <v>0</v>
      </c>
      <c r="X17" s="80">
        <f t="shared" si="8"/>
        <v>0</v>
      </c>
      <c r="Y17" s="80">
        <f t="shared" si="8"/>
        <v>0</v>
      </c>
      <c r="Z17" s="80">
        <f t="shared" si="8"/>
        <v>0</v>
      </c>
      <c r="AA17" s="80">
        <f t="shared" si="8"/>
        <v>0.95891998178260018</v>
      </c>
      <c r="AB17" s="80">
        <f t="shared" si="8"/>
        <v>0.95891998178260018</v>
      </c>
      <c r="AC17" s="80">
        <f t="shared" si="8"/>
        <v>0.95891998178260018</v>
      </c>
      <c r="AD17" s="80">
        <f t="shared" si="8"/>
        <v>0.95891998178260018</v>
      </c>
      <c r="AE17" s="80">
        <f t="shared" si="8"/>
        <v>0.95891998178260018</v>
      </c>
      <c r="AF17" s="80">
        <f t="shared" si="8"/>
        <v>0.95891998178260018</v>
      </c>
      <c r="AG17" s="80">
        <f t="shared" si="8"/>
        <v>0.95891998178260018</v>
      </c>
      <c r="AH17" s="80">
        <f t="shared" si="8"/>
        <v>0.95891998178260018</v>
      </c>
      <c r="AI17" s="80">
        <f t="shared" si="8"/>
        <v>0.95891998178260018</v>
      </c>
      <c r="AJ17" s="80">
        <f t="shared" si="8"/>
        <v>0.95891998178260018</v>
      </c>
      <c r="AK17" s="80">
        <f t="shared" si="8"/>
        <v>0.95891998178260018</v>
      </c>
      <c r="AL17" s="80">
        <f t="shared" si="8"/>
        <v>0.95891998178260018</v>
      </c>
      <c r="AM17" s="80">
        <f t="shared" si="8"/>
        <v>0.96330374437537303</v>
      </c>
      <c r="AN17" s="80">
        <f t="shared" si="8"/>
        <v>0.96330374437537303</v>
      </c>
      <c r="AO17" s="80">
        <f t="shared" si="8"/>
        <v>0.96330374437537303</v>
      </c>
      <c r="AP17" s="80">
        <f t="shared" si="8"/>
        <v>0.96330374437537303</v>
      </c>
      <c r="AQ17" s="80">
        <f t="shared" si="8"/>
        <v>0.96330374437537303</v>
      </c>
      <c r="AR17" s="80">
        <f t="shared" si="8"/>
        <v>0.96330374437537303</v>
      </c>
      <c r="AS17" s="80">
        <f t="shared" si="8"/>
        <v>0.96330374437537303</v>
      </c>
      <c r="AT17" s="80">
        <f t="shared" si="8"/>
        <v>0.96330374437537303</v>
      </c>
      <c r="AU17" s="80">
        <f t="shared" si="8"/>
        <v>0.96330374437537303</v>
      </c>
      <c r="AV17" s="80">
        <f t="shared" si="8"/>
        <v>0.96330374437537303</v>
      </c>
      <c r="AW17" s="80">
        <f t="shared" si="8"/>
        <v>0.96330374437537303</v>
      </c>
      <c r="AX17" s="80">
        <f t="shared" si="8"/>
        <v>0.96330374437537303</v>
      </c>
      <c r="AY17" s="80">
        <f t="shared" si="8"/>
        <v>0.96543051228206112</v>
      </c>
      <c r="AZ17" s="80">
        <f t="shared" si="8"/>
        <v>0.96543051228206112</v>
      </c>
      <c r="BA17" s="80">
        <f t="shared" si="8"/>
        <v>0.96543051228206112</v>
      </c>
      <c r="BB17" s="80">
        <f t="shared" si="8"/>
        <v>0.96543051228206112</v>
      </c>
      <c r="BC17" s="80">
        <f t="shared" si="8"/>
        <v>0.96543051228206112</v>
      </c>
      <c r="BD17" s="80">
        <f t="shared" si="8"/>
        <v>0.96543051228206112</v>
      </c>
      <c r="BE17" s="80">
        <f t="shared" si="8"/>
        <v>0.96543051228206112</v>
      </c>
      <c r="BF17" s="80">
        <f t="shared" si="8"/>
        <v>0.96543051228206112</v>
      </c>
      <c r="BG17" s="80">
        <f t="shared" si="8"/>
        <v>0.96543051228206112</v>
      </c>
      <c r="BH17" s="80">
        <f t="shared" si="8"/>
        <v>0.96543051228206112</v>
      </c>
      <c r="BI17" s="80">
        <f t="shared" si="8"/>
        <v>0.96543051228206112</v>
      </c>
      <c r="BJ17" s="80">
        <f t="shared" si="8"/>
        <v>0.96543051228206112</v>
      </c>
      <c r="BK17" s="80">
        <f t="shared" si="8"/>
        <v>0.96623170576888029</v>
      </c>
      <c r="BL17" s="80">
        <f t="shared" si="8"/>
        <v>0.96623170576888029</v>
      </c>
      <c r="BM17" s="80">
        <f t="shared" si="8"/>
        <v>0.96623170576888029</v>
      </c>
      <c r="BN17" s="80">
        <f t="shared" si="8"/>
        <v>0.96623170576888029</v>
      </c>
      <c r="BO17" s="80">
        <f t="shared" si="8"/>
        <v>0.96623170576888029</v>
      </c>
      <c r="BP17" s="80">
        <f t="shared" ref="BP17:EA17" si="9">IF(BP13=0,0,BP16/BP13)</f>
        <v>0.96623170576888029</v>
      </c>
      <c r="BQ17" s="80">
        <f t="shared" si="9"/>
        <v>0.96623170576888029</v>
      </c>
      <c r="BR17" s="80">
        <f t="shared" si="9"/>
        <v>0.96623170576888029</v>
      </c>
      <c r="BS17" s="80">
        <f t="shared" si="9"/>
        <v>0.96623170576888029</v>
      </c>
      <c r="BT17" s="80">
        <f t="shared" si="9"/>
        <v>0.96623170576888029</v>
      </c>
      <c r="BU17" s="80">
        <f t="shared" si="9"/>
        <v>0.96623170576888029</v>
      </c>
      <c r="BV17" s="80">
        <f t="shared" si="9"/>
        <v>0.96623170576888029</v>
      </c>
      <c r="BW17" s="80">
        <f t="shared" si="9"/>
        <v>0.96640299187029477</v>
      </c>
      <c r="BX17" s="80">
        <f t="shared" si="9"/>
        <v>0.96640299187029477</v>
      </c>
      <c r="BY17" s="80">
        <f t="shared" si="9"/>
        <v>0.96640299187029477</v>
      </c>
      <c r="BZ17" s="80">
        <f t="shared" si="9"/>
        <v>0.96640299187029477</v>
      </c>
      <c r="CA17" s="80">
        <f t="shared" si="9"/>
        <v>0.96640299187029477</v>
      </c>
      <c r="CB17" s="80">
        <f t="shared" si="9"/>
        <v>0.96640299187029477</v>
      </c>
      <c r="CC17" s="80">
        <f t="shared" si="9"/>
        <v>0.96640299187029477</v>
      </c>
      <c r="CD17" s="80">
        <f t="shared" si="9"/>
        <v>0.96640299187029477</v>
      </c>
      <c r="CE17" s="80">
        <f t="shared" si="9"/>
        <v>0.96640299187029477</v>
      </c>
      <c r="CF17" s="80">
        <f t="shared" si="9"/>
        <v>0.96640299187029477</v>
      </c>
      <c r="CG17" s="80">
        <f t="shared" si="9"/>
        <v>0.96640299187029477</v>
      </c>
      <c r="CH17" s="80">
        <f t="shared" si="9"/>
        <v>0.96640299187029477</v>
      </c>
      <c r="CI17" s="80">
        <f t="shared" si="9"/>
        <v>0.96640299187029477</v>
      </c>
      <c r="CJ17" s="80">
        <f t="shared" si="9"/>
        <v>0.96640299187029477</v>
      </c>
      <c r="CK17" s="80">
        <f t="shared" si="9"/>
        <v>0.96640299187029477</v>
      </c>
      <c r="CL17" s="80">
        <f t="shared" si="9"/>
        <v>0.96640299187029477</v>
      </c>
      <c r="CM17" s="80">
        <f t="shared" si="9"/>
        <v>0.96640299187029477</v>
      </c>
      <c r="CN17" s="80">
        <f t="shared" si="9"/>
        <v>0.96640299187029477</v>
      </c>
      <c r="CO17" s="80">
        <f t="shared" si="9"/>
        <v>0.96640299187029477</v>
      </c>
      <c r="CP17" s="80">
        <f t="shared" si="9"/>
        <v>0.96640299187029477</v>
      </c>
      <c r="CQ17" s="80">
        <f t="shared" si="9"/>
        <v>0.96640299187029477</v>
      </c>
      <c r="CR17" s="80">
        <f t="shared" si="9"/>
        <v>0.96640299187029477</v>
      </c>
      <c r="CS17" s="80">
        <f t="shared" si="9"/>
        <v>0.96640299187029477</v>
      </c>
      <c r="CT17" s="80">
        <f t="shared" si="9"/>
        <v>0.96640299187029477</v>
      </c>
      <c r="CU17" s="80">
        <f t="shared" si="9"/>
        <v>0.96655938352810788</v>
      </c>
      <c r="CV17" s="80">
        <f t="shared" si="9"/>
        <v>0.96655938352810788</v>
      </c>
      <c r="CW17" s="80">
        <f t="shared" si="9"/>
        <v>0.96655938352810788</v>
      </c>
      <c r="CX17" s="80">
        <f t="shared" si="9"/>
        <v>0.96655938352810788</v>
      </c>
      <c r="CY17" s="80">
        <f t="shared" si="9"/>
        <v>0.96655938352810788</v>
      </c>
      <c r="CZ17" s="80">
        <f t="shared" si="9"/>
        <v>0.96655938352810788</v>
      </c>
      <c r="DA17" s="80">
        <f t="shared" si="9"/>
        <v>0.96655938352810788</v>
      </c>
      <c r="DB17" s="80">
        <f t="shared" si="9"/>
        <v>0.96655938352810788</v>
      </c>
      <c r="DC17" s="80">
        <f t="shared" si="9"/>
        <v>0.96655938352810788</v>
      </c>
      <c r="DD17" s="80">
        <f t="shared" si="9"/>
        <v>0.96655938352810788</v>
      </c>
      <c r="DE17" s="80">
        <f t="shared" si="9"/>
        <v>0.96655938352810788</v>
      </c>
      <c r="DF17" s="80">
        <f t="shared" si="9"/>
        <v>0.96655938352810788</v>
      </c>
      <c r="DG17" s="80">
        <f t="shared" si="9"/>
        <v>0.96655938352810788</v>
      </c>
      <c r="DH17" s="80">
        <f t="shared" si="9"/>
        <v>0.96655938352810788</v>
      </c>
      <c r="DI17" s="80">
        <f t="shared" si="9"/>
        <v>0.96655938352810788</v>
      </c>
      <c r="DJ17" s="80">
        <f t="shared" si="9"/>
        <v>0.96655938352810788</v>
      </c>
      <c r="DK17" s="80">
        <f t="shared" si="9"/>
        <v>0.96655938352810788</v>
      </c>
      <c r="DL17" s="80">
        <f t="shared" si="9"/>
        <v>0.96655938352810788</v>
      </c>
      <c r="DM17" s="80">
        <f t="shared" si="9"/>
        <v>0.96655938352810788</v>
      </c>
      <c r="DN17" s="80">
        <f t="shared" si="9"/>
        <v>0.96655938352810788</v>
      </c>
      <c r="DO17" s="80">
        <f t="shared" si="9"/>
        <v>0.96655938352810788</v>
      </c>
      <c r="DP17" s="80">
        <f t="shared" si="9"/>
        <v>0.96655938352810788</v>
      </c>
      <c r="DQ17" s="80">
        <f t="shared" si="9"/>
        <v>0.96655938352810788</v>
      </c>
      <c r="DR17" s="80">
        <f t="shared" si="9"/>
        <v>0.96655938352810788</v>
      </c>
      <c r="DS17" s="80">
        <f t="shared" si="9"/>
        <v>0.96670274254777022</v>
      </c>
      <c r="DT17" s="80">
        <f t="shared" si="9"/>
        <v>0.96670274254777022</v>
      </c>
      <c r="DU17" s="80">
        <f t="shared" si="9"/>
        <v>0.96670274254777022</v>
      </c>
      <c r="DV17" s="80">
        <f t="shared" si="9"/>
        <v>0.96670274254777022</v>
      </c>
      <c r="DW17" s="80">
        <f t="shared" si="9"/>
        <v>0.96670274254777022</v>
      </c>
      <c r="DX17" s="80">
        <f t="shared" si="9"/>
        <v>0.96670274254777022</v>
      </c>
      <c r="DY17" s="80">
        <f t="shared" si="9"/>
        <v>0.96670274254777022</v>
      </c>
      <c r="DZ17" s="80">
        <f t="shared" si="9"/>
        <v>0.96670274254777022</v>
      </c>
      <c r="EA17" s="80">
        <f t="shared" si="9"/>
        <v>0.96670274254777022</v>
      </c>
      <c r="EB17" s="80">
        <f t="shared" ref="EB17:GI17" si="10">IF(EB13=0,0,EB16/EB13)</f>
        <v>0.96670274254777022</v>
      </c>
      <c r="EC17" s="80">
        <f t="shared" si="10"/>
        <v>0.96670274254777022</v>
      </c>
      <c r="ED17" s="80">
        <f t="shared" si="10"/>
        <v>0.96670274254777022</v>
      </c>
      <c r="EE17" s="80">
        <f t="shared" si="10"/>
        <v>0.96670274254777022</v>
      </c>
      <c r="EF17" s="80">
        <f t="shared" si="10"/>
        <v>0.96670274254777022</v>
      </c>
      <c r="EG17" s="80">
        <f t="shared" si="10"/>
        <v>0.96670274254777022</v>
      </c>
      <c r="EH17" s="80">
        <f t="shared" si="10"/>
        <v>0.96670274254777022</v>
      </c>
      <c r="EI17" s="80">
        <f t="shared" si="10"/>
        <v>0.96670274254777022</v>
      </c>
      <c r="EJ17" s="80">
        <f t="shared" si="10"/>
        <v>0.96670274254777022</v>
      </c>
      <c r="EK17" s="80">
        <f t="shared" si="10"/>
        <v>0.96670274254777022</v>
      </c>
      <c r="EL17" s="80">
        <f t="shared" si="10"/>
        <v>0.96670274254777022</v>
      </c>
      <c r="EM17" s="80">
        <f t="shared" si="10"/>
        <v>0.96670274254777022</v>
      </c>
      <c r="EN17" s="80">
        <f t="shared" si="10"/>
        <v>0.96670274254777022</v>
      </c>
      <c r="EO17" s="80">
        <f t="shared" si="10"/>
        <v>0.96670274254777022</v>
      </c>
      <c r="EP17" s="80">
        <f t="shared" si="10"/>
        <v>0.96670274254777022</v>
      </c>
      <c r="EQ17" s="80">
        <f t="shared" si="10"/>
        <v>0.96683463284585947</v>
      </c>
      <c r="ER17" s="80">
        <f t="shared" si="10"/>
        <v>0.96683463284585947</v>
      </c>
      <c r="ES17" s="80">
        <f t="shared" si="10"/>
        <v>0.96683463284585947</v>
      </c>
      <c r="ET17" s="80">
        <f t="shared" si="10"/>
        <v>0.96683463284585947</v>
      </c>
      <c r="EU17" s="80">
        <f t="shared" si="10"/>
        <v>0.96683463284585947</v>
      </c>
      <c r="EV17" s="80">
        <f t="shared" si="10"/>
        <v>0.96683463284585947</v>
      </c>
      <c r="EW17" s="80">
        <f t="shared" si="10"/>
        <v>0.96683463284585947</v>
      </c>
      <c r="EX17" s="80">
        <f t="shared" si="10"/>
        <v>0.96683463284585947</v>
      </c>
      <c r="EY17" s="80">
        <f t="shared" si="10"/>
        <v>0.96683463284585947</v>
      </c>
      <c r="EZ17" s="80">
        <f t="shared" si="10"/>
        <v>0.96683463284585947</v>
      </c>
      <c r="FA17" s="80">
        <f t="shared" si="10"/>
        <v>0.96683463284585947</v>
      </c>
      <c r="FB17" s="80">
        <f t="shared" si="10"/>
        <v>0.96683463284585947</v>
      </c>
      <c r="FC17" s="80">
        <f t="shared" si="10"/>
        <v>0.96683463284585947</v>
      </c>
      <c r="FD17" s="80">
        <f t="shared" si="10"/>
        <v>0.96683463284585947</v>
      </c>
      <c r="FE17" s="80">
        <f t="shared" si="10"/>
        <v>0.96683463284585947</v>
      </c>
      <c r="FF17" s="80">
        <f t="shared" si="10"/>
        <v>0.96683463284585947</v>
      </c>
      <c r="FG17" s="80">
        <f t="shared" si="10"/>
        <v>0.96683463284585947</v>
      </c>
      <c r="FH17" s="80">
        <f t="shared" si="10"/>
        <v>0.96683463284585947</v>
      </c>
      <c r="FI17" s="80">
        <f t="shared" si="10"/>
        <v>0.96683463284585947</v>
      </c>
      <c r="FJ17" s="80">
        <f t="shared" si="10"/>
        <v>0.96683463284585947</v>
      </c>
      <c r="FK17" s="80">
        <f t="shared" si="10"/>
        <v>0.96683463284585947</v>
      </c>
      <c r="FL17" s="80">
        <f t="shared" si="10"/>
        <v>0.96683463284585947</v>
      </c>
      <c r="FM17" s="80">
        <f t="shared" si="10"/>
        <v>0.96683463284585947</v>
      </c>
      <c r="FN17" s="80">
        <f t="shared" si="10"/>
        <v>0.96683463284585947</v>
      </c>
      <c r="FO17" s="80">
        <f t="shared" si="10"/>
        <v>0.96695637773640319</v>
      </c>
      <c r="FP17" s="80">
        <f t="shared" si="10"/>
        <v>0.96695637773640319</v>
      </c>
      <c r="FQ17" s="80">
        <f t="shared" si="10"/>
        <v>0.96695637773640319</v>
      </c>
      <c r="FR17" s="80">
        <f t="shared" si="10"/>
        <v>0.96695637773640319</v>
      </c>
      <c r="FS17" s="80">
        <f t="shared" si="10"/>
        <v>0.96695637773640319</v>
      </c>
      <c r="FT17" s="80">
        <f t="shared" si="10"/>
        <v>0.96695637773640319</v>
      </c>
      <c r="FU17" s="80">
        <f t="shared" si="10"/>
        <v>0.96695637773640319</v>
      </c>
      <c r="FV17" s="80">
        <f t="shared" si="10"/>
        <v>0.96695637773640319</v>
      </c>
      <c r="FW17" s="80">
        <f t="shared" si="10"/>
        <v>0.96695637773640319</v>
      </c>
      <c r="FX17" s="80">
        <f t="shared" si="10"/>
        <v>0.96695637773640319</v>
      </c>
      <c r="FY17" s="80">
        <f t="shared" si="10"/>
        <v>0.96695637773640319</v>
      </c>
      <c r="FZ17" s="80">
        <f t="shared" si="10"/>
        <v>0.96695637773640319</v>
      </c>
      <c r="GA17" s="80">
        <f t="shared" si="10"/>
        <v>0.96695637773640319</v>
      </c>
      <c r="GB17" s="80">
        <f t="shared" si="10"/>
        <v>0.96695637773640319</v>
      </c>
      <c r="GC17" s="80">
        <f t="shared" si="10"/>
        <v>0.96695637773640319</v>
      </c>
      <c r="GD17" s="80">
        <f t="shared" si="10"/>
        <v>0.96695637773640319</v>
      </c>
      <c r="GE17" s="80">
        <f t="shared" si="10"/>
        <v>0.96695637773640319</v>
      </c>
      <c r="GF17" s="80">
        <f t="shared" si="10"/>
        <v>0.96695637773640319</v>
      </c>
      <c r="GG17" s="80">
        <f t="shared" si="10"/>
        <v>0.96695637773640319</v>
      </c>
      <c r="GH17" s="80">
        <f t="shared" si="10"/>
        <v>0.96695637773640319</v>
      </c>
      <c r="GI17" s="80">
        <f t="shared" si="10"/>
        <v>0.96695637773640319</v>
      </c>
      <c r="GJ17" s="80">
        <f t="shared" ref="GJ17:IH17" si="11">IF(GJ13=0,0,GJ16/GJ13)</f>
        <v>0.96695637773640319</v>
      </c>
      <c r="GK17" s="80">
        <f t="shared" si="11"/>
        <v>0.96695637773640319</v>
      </c>
      <c r="GL17" s="80">
        <f t="shared" si="11"/>
        <v>0.96695637773640319</v>
      </c>
      <c r="GM17" s="80">
        <f t="shared" si="11"/>
        <v>0.96706910448690686</v>
      </c>
      <c r="GN17" s="80">
        <f t="shared" si="11"/>
        <v>0.96706910448690686</v>
      </c>
      <c r="GO17" s="80">
        <f t="shared" si="11"/>
        <v>0.96706910448690686</v>
      </c>
      <c r="GP17" s="80">
        <f t="shared" si="11"/>
        <v>0.96706910448690686</v>
      </c>
      <c r="GQ17" s="80">
        <f t="shared" si="11"/>
        <v>0.96706910448690686</v>
      </c>
      <c r="GR17" s="80">
        <f t="shared" si="11"/>
        <v>0.96706910448690686</v>
      </c>
      <c r="GS17" s="80">
        <f t="shared" si="11"/>
        <v>0.96706910448690686</v>
      </c>
      <c r="GT17" s="80">
        <f t="shared" si="11"/>
        <v>0.96706910448690686</v>
      </c>
      <c r="GU17" s="80">
        <f t="shared" si="11"/>
        <v>0.96706910448690686</v>
      </c>
      <c r="GV17" s="80">
        <f t="shared" si="11"/>
        <v>0.96706910448690686</v>
      </c>
      <c r="GW17" s="80">
        <f t="shared" si="11"/>
        <v>0.96706910448690686</v>
      </c>
      <c r="GX17" s="80">
        <f t="shared" si="11"/>
        <v>0.96706910448690686</v>
      </c>
      <c r="GY17" s="80">
        <f t="shared" si="11"/>
        <v>0.96706910448690686</v>
      </c>
      <c r="GZ17" s="80">
        <f t="shared" si="11"/>
        <v>0.96706910448690686</v>
      </c>
      <c r="HA17" s="80">
        <f t="shared" si="11"/>
        <v>0.96706910448690686</v>
      </c>
      <c r="HB17" s="80">
        <f t="shared" si="11"/>
        <v>0.96706910448690686</v>
      </c>
      <c r="HC17" s="80">
        <f t="shared" si="11"/>
        <v>0.96706910448690686</v>
      </c>
      <c r="HD17" s="80">
        <f t="shared" si="11"/>
        <v>0.96706910448690686</v>
      </c>
      <c r="HE17" s="80">
        <f t="shared" si="11"/>
        <v>0.96706910448690686</v>
      </c>
      <c r="HF17" s="80">
        <f t="shared" si="11"/>
        <v>0.96706910448690686</v>
      </c>
      <c r="HG17" s="80">
        <f t="shared" si="11"/>
        <v>0.96706910448690686</v>
      </c>
      <c r="HH17" s="80">
        <f t="shared" si="11"/>
        <v>0.96706910448690686</v>
      </c>
      <c r="HI17" s="80">
        <f t="shared" si="11"/>
        <v>0.96706910448690686</v>
      </c>
      <c r="HJ17" s="80">
        <f t="shared" si="11"/>
        <v>0.96706910448690686</v>
      </c>
      <c r="HK17" s="80">
        <f t="shared" si="11"/>
        <v>0.96717377932666015</v>
      </c>
      <c r="HL17" s="80">
        <f t="shared" si="11"/>
        <v>0.96717377932666015</v>
      </c>
      <c r="HM17" s="80">
        <f t="shared" si="11"/>
        <v>0.96717377932666015</v>
      </c>
      <c r="HN17" s="80">
        <f t="shared" si="11"/>
        <v>0.96717377932666015</v>
      </c>
      <c r="HO17" s="80">
        <f t="shared" si="11"/>
        <v>0.96717377932666015</v>
      </c>
      <c r="HP17" s="80">
        <f t="shared" si="11"/>
        <v>0.96717377932666015</v>
      </c>
      <c r="HQ17" s="80">
        <f t="shared" si="11"/>
        <v>0.96717377932666015</v>
      </c>
      <c r="HR17" s="80">
        <f t="shared" si="11"/>
        <v>0.96717377932666015</v>
      </c>
      <c r="HS17" s="80">
        <f t="shared" si="11"/>
        <v>0.96717377932666015</v>
      </c>
      <c r="HT17" s="80">
        <f t="shared" si="11"/>
        <v>0.96717377932666015</v>
      </c>
      <c r="HU17" s="80">
        <f t="shared" si="11"/>
        <v>0.96717377932666015</v>
      </c>
      <c r="HV17" s="80">
        <f t="shared" si="11"/>
        <v>0.96717377932666015</v>
      </c>
      <c r="HW17" s="80">
        <f t="shared" si="11"/>
        <v>0.96717377932666015</v>
      </c>
      <c r="HX17" s="80">
        <f t="shared" si="11"/>
        <v>0.96717377932666015</v>
      </c>
      <c r="HY17" s="80">
        <f t="shared" si="11"/>
        <v>0.96717377932666015</v>
      </c>
      <c r="HZ17" s="80">
        <f t="shared" si="11"/>
        <v>0.96717377932666015</v>
      </c>
      <c r="IA17" s="80">
        <f t="shared" si="11"/>
        <v>0.96717377932666015</v>
      </c>
      <c r="IB17" s="80">
        <f t="shared" si="11"/>
        <v>0.96717377932666015</v>
      </c>
      <c r="IC17" s="80">
        <f t="shared" si="11"/>
        <v>0.96717377932666015</v>
      </c>
      <c r="ID17" s="80">
        <f t="shared" si="11"/>
        <v>0.96717377932666015</v>
      </c>
      <c r="IE17" s="80">
        <f t="shared" si="11"/>
        <v>0.96717377932666015</v>
      </c>
      <c r="IF17" s="80">
        <f t="shared" si="11"/>
        <v>0.96717377932666015</v>
      </c>
      <c r="IG17" s="80">
        <f t="shared" si="11"/>
        <v>0.96717377932666015</v>
      </c>
      <c r="IH17" s="80">
        <f t="shared" si="11"/>
        <v>0.96717377932666015</v>
      </c>
    </row>
    <row r="18" spans="1:242" s="79" customFormat="1" x14ac:dyDescent="0.45">
      <c r="A18" s="888" t="s">
        <v>267</v>
      </c>
      <c r="B18" s="889"/>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6"/>
      <c r="CB18" s="86"/>
      <c r="CC18" s="86"/>
      <c r="CD18" s="86"/>
      <c r="CE18" s="86"/>
      <c r="CF18" s="86"/>
      <c r="CG18" s="86"/>
      <c r="CH18" s="86"/>
      <c r="CI18" s="86"/>
      <c r="CJ18" s="86"/>
      <c r="CK18" s="86"/>
      <c r="CL18" s="86"/>
      <c r="CM18" s="86"/>
      <c r="CN18" s="86"/>
      <c r="CO18" s="86"/>
      <c r="CP18" s="86"/>
      <c r="CQ18" s="86"/>
      <c r="CR18" s="86"/>
      <c r="CS18" s="86"/>
      <c r="CT18" s="86"/>
      <c r="CU18" s="86"/>
      <c r="CV18" s="86"/>
      <c r="CW18" s="86"/>
      <c r="CX18" s="86"/>
      <c r="CY18" s="86"/>
      <c r="CZ18" s="86"/>
      <c r="DA18" s="86"/>
      <c r="DB18" s="86"/>
      <c r="DC18" s="86"/>
      <c r="DD18" s="86"/>
      <c r="DE18" s="86"/>
      <c r="DF18" s="86"/>
      <c r="DG18" s="86"/>
      <c r="DH18" s="86"/>
      <c r="DI18" s="86"/>
      <c r="DJ18" s="86"/>
      <c r="DK18" s="86"/>
      <c r="DL18" s="86"/>
      <c r="DM18" s="86"/>
      <c r="DN18" s="86"/>
      <c r="DO18" s="86"/>
      <c r="DP18" s="86"/>
      <c r="DQ18" s="86"/>
      <c r="DR18" s="86"/>
      <c r="DS18" s="86"/>
      <c r="DT18" s="86"/>
      <c r="DU18" s="86"/>
      <c r="DV18" s="86"/>
      <c r="DW18" s="86"/>
      <c r="DX18" s="86"/>
      <c r="DY18" s="86"/>
      <c r="DZ18" s="86"/>
      <c r="EA18" s="86"/>
      <c r="EB18" s="86"/>
      <c r="EC18" s="86"/>
      <c r="ED18" s="86"/>
      <c r="EE18" s="86"/>
      <c r="EF18" s="86"/>
      <c r="EG18" s="86"/>
      <c r="EH18" s="86"/>
      <c r="EI18" s="86"/>
      <c r="EJ18" s="86"/>
      <c r="EK18" s="86"/>
      <c r="EL18" s="86"/>
      <c r="EM18" s="86"/>
      <c r="EN18" s="86"/>
      <c r="EO18" s="86"/>
      <c r="EP18" s="86"/>
      <c r="EQ18" s="86"/>
      <c r="ER18" s="86"/>
      <c r="ES18" s="86"/>
      <c r="ET18" s="86"/>
      <c r="EU18" s="86"/>
      <c r="EV18" s="86"/>
      <c r="EW18" s="86"/>
      <c r="EX18" s="86"/>
      <c r="EY18" s="86"/>
      <c r="EZ18" s="86"/>
      <c r="FA18" s="86"/>
      <c r="FB18" s="86"/>
      <c r="FC18" s="86"/>
      <c r="FD18" s="86"/>
      <c r="FE18" s="86"/>
      <c r="FF18" s="86"/>
      <c r="FG18" s="86"/>
      <c r="FH18" s="86"/>
      <c r="FI18" s="86"/>
      <c r="FJ18" s="86"/>
      <c r="FK18" s="86"/>
      <c r="FL18" s="86"/>
      <c r="FM18" s="86"/>
      <c r="FN18" s="86"/>
      <c r="FO18" s="86"/>
      <c r="FP18" s="86"/>
      <c r="FQ18" s="86"/>
      <c r="FR18" s="86"/>
      <c r="FS18" s="86"/>
      <c r="FT18" s="86"/>
      <c r="FU18" s="86"/>
      <c r="FV18" s="86"/>
      <c r="FW18" s="86"/>
      <c r="FX18" s="86"/>
      <c r="FY18" s="86"/>
      <c r="FZ18" s="86"/>
      <c r="GA18" s="86"/>
      <c r="GB18" s="86"/>
      <c r="GC18" s="86"/>
      <c r="GD18" s="86"/>
      <c r="GE18" s="86"/>
      <c r="GF18" s="86"/>
      <c r="GG18" s="86"/>
      <c r="GH18" s="86"/>
      <c r="GI18" s="86"/>
      <c r="GJ18" s="86"/>
      <c r="GK18" s="86"/>
      <c r="GL18" s="86"/>
      <c r="GM18" s="86"/>
      <c r="GN18" s="86"/>
      <c r="GO18" s="86"/>
      <c r="GP18" s="86"/>
      <c r="GQ18" s="86"/>
      <c r="GR18" s="86"/>
      <c r="GS18" s="86"/>
      <c r="GT18" s="86"/>
      <c r="GU18" s="86"/>
      <c r="GV18" s="86"/>
      <c r="GW18" s="86"/>
      <c r="GX18" s="86"/>
      <c r="GY18" s="86"/>
      <c r="GZ18" s="86"/>
      <c r="HA18" s="86"/>
      <c r="HB18" s="86"/>
      <c r="HC18" s="86"/>
      <c r="HD18" s="86"/>
      <c r="HE18" s="86"/>
      <c r="HF18" s="86"/>
      <c r="HG18" s="86"/>
      <c r="HH18" s="86"/>
      <c r="HI18" s="86"/>
      <c r="HJ18" s="86"/>
      <c r="HK18" s="86"/>
      <c r="HL18" s="86"/>
      <c r="HM18" s="86"/>
      <c r="HN18" s="86"/>
      <c r="HO18" s="86"/>
      <c r="HP18" s="86"/>
      <c r="HQ18" s="86"/>
      <c r="HR18" s="86"/>
      <c r="HS18" s="86"/>
      <c r="HT18" s="86"/>
      <c r="HU18" s="86"/>
      <c r="HV18" s="86"/>
      <c r="HW18" s="86"/>
      <c r="HX18" s="86"/>
      <c r="HY18" s="86"/>
      <c r="HZ18" s="86"/>
      <c r="IA18" s="86"/>
      <c r="IB18" s="86"/>
      <c r="IC18" s="86"/>
      <c r="ID18" s="86"/>
      <c r="IE18" s="86"/>
      <c r="IF18" s="86"/>
      <c r="IG18" s="86"/>
      <c r="IH18" s="86"/>
    </row>
    <row r="19" spans="1:242" x14ac:dyDescent="0.45">
      <c r="A19" s="895" t="s">
        <v>67</v>
      </c>
      <c r="B19" s="896"/>
      <c r="C19" s="81">
        <f>Costs!C19</f>
        <v>75000</v>
      </c>
      <c r="D19" s="81">
        <f>Costs!D19</f>
        <v>75000</v>
      </c>
      <c r="E19" s="81">
        <f>Costs!E19</f>
        <v>75000</v>
      </c>
      <c r="F19" s="81">
        <f>Costs!F19</f>
        <v>75000</v>
      </c>
      <c r="G19" s="81">
        <f>Costs!G19</f>
        <v>75000</v>
      </c>
      <c r="H19" s="81">
        <f>Costs!H19</f>
        <v>75000</v>
      </c>
      <c r="I19" s="81">
        <f>Costs!I19</f>
        <v>75000</v>
      </c>
      <c r="J19" s="81">
        <f>Costs!J19</f>
        <v>75000</v>
      </c>
      <c r="K19" s="81">
        <f>Costs!K19</f>
        <v>75000</v>
      </c>
      <c r="L19" s="81">
        <f>Costs!L19</f>
        <v>75000</v>
      </c>
      <c r="M19" s="81">
        <f>Costs!M19</f>
        <v>75000</v>
      </c>
      <c r="N19" s="81">
        <f>Costs!N19</f>
        <v>75000</v>
      </c>
      <c r="O19" s="81">
        <f>Costs!O19</f>
        <v>75000</v>
      </c>
      <c r="P19" s="81">
        <f>Costs!P19</f>
        <v>75000</v>
      </c>
      <c r="Q19" s="81">
        <f>Costs!Q19</f>
        <v>75000</v>
      </c>
      <c r="R19" s="81">
        <f>Costs!R19</f>
        <v>75000</v>
      </c>
      <c r="S19" s="81">
        <f>Costs!S19</f>
        <v>75000</v>
      </c>
      <c r="T19" s="81">
        <f>Costs!T19</f>
        <v>75000</v>
      </c>
      <c r="U19" s="81">
        <f>Costs!U19</f>
        <v>75000</v>
      </c>
      <c r="V19" s="81">
        <f>Costs!V19</f>
        <v>75000</v>
      </c>
      <c r="W19" s="81">
        <f>Costs!W19</f>
        <v>75000</v>
      </c>
      <c r="X19" s="81">
        <f>Costs!X19</f>
        <v>75000</v>
      </c>
      <c r="Y19" s="81">
        <f>Costs!Y19</f>
        <v>75000</v>
      </c>
      <c r="Z19" s="81">
        <f>Costs!Z19</f>
        <v>75000</v>
      </c>
      <c r="AA19" s="81">
        <f>Costs!AA19</f>
        <v>0</v>
      </c>
      <c r="AB19" s="81">
        <f>Costs!AB19</f>
        <v>0</v>
      </c>
      <c r="AC19" s="81">
        <f>Costs!AC19</f>
        <v>0</v>
      </c>
      <c r="AD19" s="81">
        <f>Costs!AD19</f>
        <v>0</v>
      </c>
      <c r="AE19" s="81">
        <f>Costs!AE19</f>
        <v>0</v>
      </c>
      <c r="AF19" s="81">
        <f>Costs!AF19</f>
        <v>0</v>
      </c>
      <c r="AG19" s="81">
        <f>Costs!AG19</f>
        <v>0</v>
      </c>
      <c r="AH19" s="81">
        <f>Costs!AH19</f>
        <v>0</v>
      </c>
      <c r="AI19" s="81">
        <f>Costs!AI19</f>
        <v>0</v>
      </c>
      <c r="AJ19" s="81">
        <f>Costs!AJ19</f>
        <v>0</v>
      </c>
      <c r="AK19" s="81">
        <f>Costs!AK19</f>
        <v>0</v>
      </c>
      <c r="AL19" s="81">
        <f>Costs!AL19</f>
        <v>0</v>
      </c>
      <c r="AM19" s="81">
        <f>Costs!AM19</f>
        <v>0</v>
      </c>
      <c r="AN19" s="81">
        <f>Costs!AN19</f>
        <v>0</v>
      </c>
      <c r="AO19" s="81">
        <f>Costs!AO19</f>
        <v>0</v>
      </c>
      <c r="AP19" s="81">
        <f>Costs!AP19</f>
        <v>0</v>
      </c>
      <c r="AQ19" s="81">
        <f>Costs!AQ19</f>
        <v>0</v>
      </c>
      <c r="AR19" s="81">
        <f>Costs!AR19</f>
        <v>0</v>
      </c>
      <c r="AS19" s="81">
        <f>Costs!AS19</f>
        <v>0</v>
      </c>
      <c r="AT19" s="81">
        <f>Costs!AT19</f>
        <v>0</v>
      </c>
      <c r="AU19" s="81">
        <f>Costs!AU19</f>
        <v>0</v>
      </c>
      <c r="AV19" s="81">
        <f>Costs!AV19</f>
        <v>0</v>
      </c>
      <c r="AW19" s="81">
        <f>Costs!AW19</f>
        <v>0</v>
      </c>
      <c r="AX19" s="81">
        <f>Costs!AX19</f>
        <v>0</v>
      </c>
      <c r="AY19" s="81">
        <f>Costs!AY19</f>
        <v>0</v>
      </c>
      <c r="AZ19" s="81">
        <f>Costs!AZ19</f>
        <v>0</v>
      </c>
      <c r="BA19" s="81">
        <f>Costs!BA19</f>
        <v>0</v>
      </c>
      <c r="BB19" s="81">
        <f>Costs!BB19</f>
        <v>0</v>
      </c>
      <c r="BC19" s="81">
        <f>Costs!BC19</f>
        <v>0</v>
      </c>
      <c r="BD19" s="81">
        <f>Costs!BD19</f>
        <v>0</v>
      </c>
      <c r="BE19" s="81">
        <f>Costs!BE19</f>
        <v>0</v>
      </c>
      <c r="BF19" s="81">
        <f>Costs!BF19</f>
        <v>0</v>
      </c>
      <c r="BG19" s="81">
        <f>Costs!BG19</f>
        <v>0</v>
      </c>
      <c r="BH19" s="81">
        <f>Costs!BH19</f>
        <v>0</v>
      </c>
      <c r="BI19" s="81">
        <f>Costs!BI19</f>
        <v>0</v>
      </c>
      <c r="BJ19" s="81">
        <f>Costs!BJ19</f>
        <v>0</v>
      </c>
      <c r="BK19" s="81">
        <f>Costs!BK19</f>
        <v>0</v>
      </c>
      <c r="BL19" s="81">
        <f>Costs!BL19</f>
        <v>0</v>
      </c>
      <c r="BM19" s="81">
        <f>Costs!BM19</f>
        <v>0</v>
      </c>
      <c r="BN19" s="81">
        <f>Costs!BN19</f>
        <v>0</v>
      </c>
      <c r="BO19" s="81">
        <f>Costs!BO19</f>
        <v>0</v>
      </c>
      <c r="BP19" s="81">
        <f>Costs!BP19</f>
        <v>0</v>
      </c>
      <c r="BQ19" s="81">
        <f>Costs!BQ19</f>
        <v>0</v>
      </c>
      <c r="BR19" s="81">
        <f>Costs!BR19</f>
        <v>0</v>
      </c>
      <c r="BS19" s="81">
        <f>Costs!BS19</f>
        <v>0</v>
      </c>
      <c r="BT19" s="81">
        <f>Costs!BT19</f>
        <v>0</v>
      </c>
      <c r="BU19" s="81">
        <f>Costs!BU19</f>
        <v>0</v>
      </c>
      <c r="BV19" s="81">
        <f>Costs!BV19</f>
        <v>0</v>
      </c>
      <c r="BW19" s="81">
        <f>Costs!BW19</f>
        <v>0</v>
      </c>
      <c r="BX19" s="81">
        <f>Costs!BX19</f>
        <v>0</v>
      </c>
      <c r="BY19" s="81">
        <f>Costs!BY19</f>
        <v>0</v>
      </c>
      <c r="BZ19" s="81">
        <f>Costs!BZ19</f>
        <v>0</v>
      </c>
      <c r="CA19" s="81">
        <f>Costs!CA19</f>
        <v>0</v>
      </c>
      <c r="CB19" s="81">
        <f>Costs!CB19</f>
        <v>0</v>
      </c>
      <c r="CC19" s="81">
        <f>Costs!CC19</f>
        <v>0</v>
      </c>
      <c r="CD19" s="81">
        <f>Costs!CD19</f>
        <v>0</v>
      </c>
      <c r="CE19" s="81">
        <f>Costs!CE19</f>
        <v>0</v>
      </c>
      <c r="CF19" s="81">
        <f>Costs!CF19</f>
        <v>0</v>
      </c>
      <c r="CG19" s="81">
        <f>Costs!CG19</f>
        <v>0</v>
      </c>
      <c r="CH19" s="81">
        <f>Costs!CH19</f>
        <v>0</v>
      </c>
      <c r="CI19" s="81">
        <f>Costs!CI19</f>
        <v>0</v>
      </c>
      <c r="CJ19" s="81">
        <f>Costs!CJ19</f>
        <v>0</v>
      </c>
      <c r="CK19" s="81">
        <f>Costs!CK19</f>
        <v>0</v>
      </c>
      <c r="CL19" s="81">
        <f>Costs!CL19</f>
        <v>0</v>
      </c>
      <c r="CM19" s="81">
        <f>Costs!CM19</f>
        <v>0</v>
      </c>
      <c r="CN19" s="81">
        <f>Costs!CN19</f>
        <v>0</v>
      </c>
      <c r="CO19" s="81">
        <f>Costs!CO19</f>
        <v>0</v>
      </c>
      <c r="CP19" s="81">
        <f>Costs!CP19</f>
        <v>0</v>
      </c>
      <c r="CQ19" s="81">
        <f>Costs!CQ19</f>
        <v>0</v>
      </c>
      <c r="CR19" s="81">
        <f>Costs!CR19</f>
        <v>0</v>
      </c>
      <c r="CS19" s="81">
        <f>Costs!CS19</f>
        <v>0</v>
      </c>
      <c r="CT19" s="81">
        <f>Costs!CT19</f>
        <v>0</v>
      </c>
      <c r="CU19" s="81">
        <f>Costs!CU19</f>
        <v>0</v>
      </c>
      <c r="CV19" s="81">
        <f>Costs!CV19</f>
        <v>0</v>
      </c>
      <c r="CW19" s="81">
        <f>Costs!CW19</f>
        <v>0</v>
      </c>
      <c r="CX19" s="81">
        <f>Costs!CX19</f>
        <v>0</v>
      </c>
      <c r="CY19" s="81">
        <f>Costs!CY19</f>
        <v>0</v>
      </c>
      <c r="CZ19" s="81">
        <f>Costs!CZ19</f>
        <v>0</v>
      </c>
      <c r="DA19" s="81">
        <f>Costs!DA19</f>
        <v>0</v>
      </c>
      <c r="DB19" s="81">
        <f>Costs!DB19</f>
        <v>0</v>
      </c>
      <c r="DC19" s="81">
        <f>Costs!DC19</f>
        <v>0</v>
      </c>
      <c r="DD19" s="81">
        <f>Costs!DD19</f>
        <v>0</v>
      </c>
      <c r="DE19" s="81">
        <f>Costs!DE19</f>
        <v>0</v>
      </c>
      <c r="DF19" s="81">
        <f>Costs!DF19</f>
        <v>0</v>
      </c>
      <c r="DG19" s="81">
        <f>Costs!DG19</f>
        <v>0</v>
      </c>
      <c r="DH19" s="81">
        <f>Costs!DH19</f>
        <v>0</v>
      </c>
      <c r="DI19" s="81">
        <f>Costs!DI19</f>
        <v>0</v>
      </c>
      <c r="DJ19" s="81">
        <f>Costs!DJ19</f>
        <v>0</v>
      </c>
      <c r="DK19" s="81">
        <f>Costs!DK19</f>
        <v>0</v>
      </c>
      <c r="DL19" s="81">
        <f>Costs!DL19</f>
        <v>0</v>
      </c>
      <c r="DM19" s="81">
        <f>Costs!DM19</f>
        <v>0</v>
      </c>
      <c r="DN19" s="81">
        <f>Costs!DN19</f>
        <v>0</v>
      </c>
      <c r="DO19" s="81">
        <f>Costs!DO19</f>
        <v>0</v>
      </c>
      <c r="DP19" s="81">
        <f>Costs!DP19</f>
        <v>0</v>
      </c>
      <c r="DQ19" s="81">
        <f>Costs!DQ19</f>
        <v>0</v>
      </c>
      <c r="DR19" s="81">
        <f>Costs!DR19</f>
        <v>0</v>
      </c>
      <c r="DS19" s="81">
        <f>Costs!DS19</f>
        <v>0</v>
      </c>
      <c r="DT19" s="81">
        <f>Costs!DT19</f>
        <v>0</v>
      </c>
      <c r="DU19" s="81">
        <f>Costs!DU19</f>
        <v>0</v>
      </c>
      <c r="DV19" s="81">
        <f>Costs!DV19</f>
        <v>0</v>
      </c>
      <c r="DW19" s="81">
        <f>Costs!DW19</f>
        <v>0</v>
      </c>
      <c r="DX19" s="81">
        <f>Costs!DX19</f>
        <v>0</v>
      </c>
      <c r="DY19" s="81">
        <f>Costs!DY19</f>
        <v>0</v>
      </c>
      <c r="DZ19" s="81">
        <f>Costs!DZ19</f>
        <v>0</v>
      </c>
      <c r="EA19" s="81">
        <f>Costs!EA19</f>
        <v>0</v>
      </c>
      <c r="EB19" s="81">
        <f>Costs!EB19</f>
        <v>0</v>
      </c>
      <c r="EC19" s="81">
        <f>Costs!EC19</f>
        <v>0</v>
      </c>
      <c r="ED19" s="81">
        <f>Costs!ED19</f>
        <v>0</v>
      </c>
      <c r="EE19" s="81">
        <f>Costs!EE19</f>
        <v>0</v>
      </c>
      <c r="EF19" s="81">
        <f>Costs!EF19</f>
        <v>0</v>
      </c>
      <c r="EG19" s="81">
        <f>Costs!EG19</f>
        <v>0</v>
      </c>
      <c r="EH19" s="81">
        <f>Costs!EH19</f>
        <v>0</v>
      </c>
      <c r="EI19" s="81">
        <f>Costs!EI19</f>
        <v>0</v>
      </c>
      <c r="EJ19" s="81">
        <f>Costs!EJ19</f>
        <v>0</v>
      </c>
      <c r="EK19" s="81">
        <f>Costs!EK19</f>
        <v>0</v>
      </c>
      <c r="EL19" s="81">
        <f>Costs!EL19</f>
        <v>0</v>
      </c>
      <c r="EM19" s="81">
        <f>Costs!EM19</f>
        <v>0</v>
      </c>
      <c r="EN19" s="81">
        <f>Costs!EN19</f>
        <v>0</v>
      </c>
      <c r="EO19" s="81">
        <f>Costs!EO19</f>
        <v>0</v>
      </c>
      <c r="EP19" s="81">
        <f>Costs!EP19</f>
        <v>0</v>
      </c>
      <c r="EQ19" s="81">
        <f>Costs!EQ19</f>
        <v>0</v>
      </c>
      <c r="ER19" s="81">
        <f>Costs!ER19</f>
        <v>0</v>
      </c>
      <c r="ES19" s="81">
        <f>Costs!ES19</f>
        <v>0</v>
      </c>
      <c r="ET19" s="81">
        <f>Costs!ET19</f>
        <v>0</v>
      </c>
      <c r="EU19" s="81">
        <f>Costs!EU19</f>
        <v>0</v>
      </c>
      <c r="EV19" s="81">
        <f>Costs!EV19</f>
        <v>0</v>
      </c>
      <c r="EW19" s="81">
        <f>Costs!EW19</f>
        <v>0</v>
      </c>
      <c r="EX19" s="81">
        <f>Costs!EX19</f>
        <v>0</v>
      </c>
      <c r="EY19" s="81">
        <f>Costs!EY19</f>
        <v>0</v>
      </c>
      <c r="EZ19" s="81">
        <f>Costs!EZ19</f>
        <v>0</v>
      </c>
      <c r="FA19" s="81">
        <f>Costs!FA19</f>
        <v>0</v>
      </c>
      <c r="FB19" s="81">
        <f>Costs!FB19</f>
        <v>0</v>
      </c>
      <c r="FC19" s="81">
        <f>Costs!FC19</f>
        <v>0</v>
      </c>
      <c r="FD19" s="81">
        <f>Costs!FD19</f>
        <v>0</v>
      </c>
      <c r="FE19" s="81">
        <f>Costs!FE19</f>
        <v>0</v>
      </c>
      <c r="FF19" s="81">
        <f>Costs!FF19</f>
        <v>0</v>
      </c>
      <c r="FG19" s="81">
        <f>Costs!FG19</f>
        <v>0</v>
      </c>
      <c r="FH19" s="81">
        <f>Costs!FH19</f>
        <v>0</v>
      </c>
      <c r="FI19" s="81">
        <f>Costs!FI19</f>
        <v>0</v>
      </c>
      <c r="FJ19" s="81">
        <f>Costs!FJ19</f>
        <v>0</v>
      </c>
      <c r="FK19" s="81">
        <f>Costs!FK19</f>
        <v>0</v>
      </c>
      <c r="FL19" s="81">
        <f>Costs!FL19</f>
        <v>0</v>
      </c>
      <c r="FM19" s="81">
        <f>Costs!FM19</f>
        <v>0</v>
      </c>
      <c r="FN19" s="81">
        <f>Costs!FN19</f>
        <v>0</v>
      </c>
      <c r="FO19" s="81">
        <f>Costs!FO19</f>
        <v>0</v>
      </c>
      <c r="FP19" s="81">
        <f>Costs!FP19</f>
        <v>0</v>
      </c>
      <c r="FQ19" s="81">
        <f>Costs!FQ19</f>
        <v>0</v>
      </c>
      <c r="FR19" s="81">
        <f>Costs!FR19</f>
        <v>0</v>
      </c>
      <c r="FS19" s="81">
        <f>Costs!FS19</f>
        <v>0</v>
      </c>
      <c r="FT19" s="81">
        <f>Costs!FT19</f>
        <v>0</v>
      </c>
      <c r="FU19" s="81">
        <f>Costs!FU19</f>
        <v>0</v>
      </c>
      <c r="FV19" s="81">
        <f>Costs!FV19</f>
        <v>0</v>
      </c>
      <c r="FW19" s="81">
        <f>Costs!FW19</f>
        <v>0</v>
      </c>
      <c r="FX19" s="81">
        <f>Costs!FX19</f>
        <v>0</v>
      </c>
      <c r="FY19" s="81">
        <f>Costs!FY19</f>
        <v>0</v>
      </c>
      <c r="FZ19" s="81">
        <f>Costs!FZ19</f>
        <v>0</v>
      </c>
      <c r="GA19" s="81">
        <f>Costs!GA19</f>
        <v>0</v>
      </c>
      <c r="GB19" s="81">
        <f>Costs!GB19</f>
        <v>0</v>
      </c>
      <c r="GC19" s="81">
        <f>Costs!GC19</f>
        <v>0</v>
      </c>
      <c r="GD19" s="81">
        <f>Costs!GD19</f>
        <v>0</v>
      </c>
      <c r="GE19" s="81">
        <f>Costs!GE19</f>
        <v>0</v>
      </c>
      <c r="GF19" s="81">
        <f>Costs!GF19</f>
        <v>0</v>
      </c>
      <c r="GG19" s="81">
        <f>Costs!GG19</f>
        <v>0</v>
      </c>
      <c r="GH19" s="81">
        <f>Costs!GH19</f>
        <v>0</v>
      </c>
      <c r="GI19" s="81">
        <f>Costs!GI19</f>
        <v>0</v>
      </c>
      <c r="GJ19" s="81">
        <f>Costs!GJ19</f>
        <v>0</v>
      </c>
      <c r="GK19" s="81">
        <f>Costs!GK19</f>
        <v>0</v>
      </c>
      <c r="GL19" s="81">
        <f>Costs!GL19</f>
        <v>0</v>
      </c>
      <c r="GM19" s="81">
        <f>Costs!GM19</f>
        <v>0</v>
      </c>
      <c r="GN19" s="81">
        <f>Costs!GN19</f>
        <v>0</v>
      </c>
      <c r="GO19" s="81">
        <f>Costs!GO19</f>
        <v>0</v>
      </c>
      <c r="GP19" s="81">
        <f>Costs!GP19</f>
        <v>0</v>
      </c>
      <c r="GQ19" s="81">
        <f>Costs!GQ19</f>
        <v>0</v>
      </c>
      <c r="GR19" s="81">
        <f>Costs!GR19</f>
        <v>0</v>
      </c>
      <c r="GS19" s="81">
        <f>Costs!GS19</f>
        <v>0</v>
      </c>
      <c r="GT19" s="81">
        <f>Costs!GT19</f>
        <v>0</v>
      </c>
      <c r="GU19" s="81">
        <f>Costs!GU19</f>
        <v>0</v>
      </c>
      <c r="GV19" s="81">
        <f>Costs!GV19</f>
        <v>0</v>
      </c>
      <c r="GW19" s="81">
        <f>Costs!GW19</f>
        <v>0</v>
      </c>
      <c r="GX19" s="81">
        <f>Costs!GX19</f>
        <v>0</v>
      </c>
      <c r="GY19" s="81">
        <f>Costs!GY19</f>
        <v>0</v>
      </c>
      <c r="GZ19" s="81">
        <f>Costs!GZ19</f>
        <v>0</v>
      </c>
      <c r="HA19" s="81">
        <f>Costs!HA19</f>
        <v>0</v>
      </c>
      <c r="HB19" s="81">
        <f>Costs!HB19</f>
        <v>0</v>
      </c>
      <c r="HC19" s="81">
        <f>Costs!HC19</f>
        <v>0</v>
      </c>
      <c r="HD19" s="81">
        <f>Costs!HD19</f>
        <v>0</v>
      </c>
      <c r="HE19" s="81">
        <f>Costs!HE19</f>
        <v>0</v>
      </c>
      <c r="HF19" s="81">
        <f>Costs!HF19</f>
        <v>0</v>
      </c>
      <c r="HG19" s="81">
        <f>Costs!HG19</f>
        <v>0</v>
      </c>
      <c r="HH19" s="81">
        <f>Costs!HH19</f>
        <v>0</v>
      </c>
      <c r="HI19" s="81">
        <f>Costs!HI19</f>
        <v>0</v>
      </c>
      <c r="HJ19" s="81">
        <f>Costs!HJ19</f>
        <v>0</v>
      </c>
      <c r="HK19" s="81">
        <f>Costs!HK19</f>
        <v>0</v>
      </c>
      <c r="HL19" s="81">
        <f>Costs!HL19</f>
        <v>0</v>
      </c>
      <c r="HM19" s="81">
        <f>Costs!HM19</f>
        <v>0</v>
      </c>
      <c r="HN19" s="81">
        <f>Costs!HN19</f>
        <v>0</v>
      </c>
      <c r="HO19" s="81">
        <f>Costs!HO19</f>
        <v>0</v>
      </c>
      <c r="HP19" s="81">
        <f>Costs!HP19</f>
        <v>0</v>
      </c>
      <c r="HQ19" s="81">
        <f>Costs!HQ19</f>
        <v>0</v>
      </c>
      <c r="HR19" s="81">
        <f>Costs!HR19</f>
        <v>0</v>
      </c>
      <c r="HS19" s="81">
        <f>Costs!HS19</f>
        <v>0</v>
      </c>
      <c r="HT19" s="81">
        <f>Costs!HT19</f>
        <v>0</v>
      </c>
      <c r="HU19" s="81">
        <f>Costs!HU19</f>
        <v>0</v>
      </c>
      <c r="HV19" s="81">
        <f>Costs!HV19</f>
        <v>0</v>
      </c>
      <c r="HW19" s="81">
        <f>Costs!HW19</f>
        <v>0</v>
      </c>
      <c r="HX19" s="81">
        <f>Costs!HX19</f>
        <v>0</v>
      </c>
      <c r="HY19" s="81">
        <f>Costs!HY19</f>
        <v>0</v>
      </c>
      <c r="HZ19" s="81">
        <f>Costs!HZ19</f>
        <v>0</v>
      </c>
      <c r="IA19" s="81">
        <f>Costs!IA19</f>
        <v>0</v>
      </c>
      <c r="IB19" s="81">
        <f>Costs!IB19</f>
        <v>0</v>
      </c>
      <c r="IC19" s="81">
        <f>Costs!IC19</f>
        <v>0</v>
      </c>
      <c r="ID19" s="81">
        <f>Costs!ID19</f>
        <v>0</v>
      </c>
      <c r="IE19" s="81">
        <f>Costs!IE19</f>
        <v>0</v>
      </c>
      <c r="IF19" s="81">
        <f>Costs!IF19</f>
        <v>0</v>
      </c>
      <c r="IG19" s="81">
        <f>Costs!IG19</f>
        <v>0</v>
      </c>
      <c r="IH19" s="81">
        <f>Costs!IH19</f>
        <v>0</v>
      </c>
    </row>
    <row r="20" spans="1:242" x14ac:dyDescent="0.45">
      <c r="A20" s="895" t="s">
        <v>237</v>
      </c>
      <c r="B20" s="896"/>
      <c r="C20" s="81">
        <f>Costs!C21</f>
        <v>2500</v>
      </c>
      <c r="D20" s="81">
        <f>Costs!D21</f>
        <v>2500</v>
      </c>
      <c r="E20" s="81">
        <f>Costs!E21</f>
        <v>2500</v>
      </c>
      <c r="F20" s="81">
        <f>Costs!F21</f>
        <v>2500</v>
      </c>
      <c r="G20" s="81">
        <f>Costs!G21</f>
        <v>2500</v>
      </c>
      <c r="H20" s="81">
        <f>Costs!H21</f>
        <v>2500</v>
      </c>
      <c r="I20" s="81">
        <f>Costs!I21</f>
        <v>2500</v>
      </c>
      <c r="J20" s="81">
        <f>Costs!J21</f>
        <v>2500</v>
      </c>
      <c r="K20" s="81">
        <f>Costs!K21</f>
        <v>2500</v>
      </c>
      <c r="L20" s="81">
        <f>Costs!L21</f>
        <v>2500</v>
      </c>
      <c r="M20" s="81">
        <f>Costs!M21</f>
        <v>2500</v>
      </c>
      <c r="N20" s="81">
        <f>Costs!N21</f>
        <v>2500</v>
      </c>
      <c r="O20" s="81">
        <f>Costs!O21</f>
        <v>2500</v>
      </c>
      <c r="P20" s="81">
        <f>Costs!P21</f>
        <v>2500</v>
      </c>
      <c r="Q20" s="81">
        <f>Costs!Q21</f>
        <v>2500</v>
      </c>
      <c r="R20" s="81">
        <f>Costs!R21</f>
        <v>2500</v>
      </c>
      <c r="S20" s="81">
        <f>Costs!S21</f>
        <v>2500</v>
      </c>
      <c r="T20" s="81">
        <f>Costs!T21</f>
        <v>2500</v>
      </c>
      <c r="U20" s="81">
        <f>Costs!U21</f>
        <v>2500</v>
      </c>
      <c r="V20" s="81">
        <f>Costs!V21</f>
        <v>2500</v>
      </c>
      <c r="W20" s="81">
        <f>Costs!W21</f>
        <v>2500</v>
      </c>
      <c r="X20" s="81">
        <f>Costs!X21</f>
        <v>2500</v>
      </c>
      <c r="Y20" s="81">
        <f>Costs!Y21</f>
        <v>2500</v>
      </c>
      <c r="Z20" s="81">
        <f>Costs!Z21</f>
        <v>2500</v>
      </c>
      <c r="AA20" s="81">
        <f>Costs!AA21</f>
        <v>7500</v>
      </c>
      <c r="AB20" s="81">
        <f>Costs!AB21</f>
        <v>7500</v>
      </c>
      <c r="AC20" s="81">
        <f>Costs!AC21</f>
        <v>7500</v>
      </c>
      <c r="AD20" s="81">
        <f>Costs!AD21</f>
        <v>7500</v>
      </c>
      <c r="AE20" s="81">
        <f>Costs!AE21</f>
        <v>7500</v>
      </c>
      <c r="AF20" s="81">
        <f>Costs!AF21</f>
        <v>7500</v>
      </c>
      <c r="AG20" s="81">
        <f>Costs!AG21</f>
        <v>7500</v>
      </c>
      <c r="AH20" s="81">
        <f>Costs!AH21</f>
        <v>7500</v>
      </c>
      <c r="AI20" s="81">
        <f>Costs!AI21</f>
        <v>7500</v>
      </c>
      <c r="AJ20" s="81">
        <f>Costs!AJ21</f>
        <v>7500</v>
      </c>
      <c r="AK20" s="81">
        <f>Costs!AK21</f>
        <v>7500</v>
      </c>
      <c r="AL20" s="81">
        <f>Costs!AL21</f>
        <v>7500</v>
      </c>
      <c r="AM20" s="81">
        <f>Costs!AM21</f>
        <v>7500</v>
      </c>
      <c r="AN20" s="81">
        <f>Costs!AN21</f>
        <v>7500</v>
      </c>
      <c r="AO20" s="81">
        <f>Costs!AO21</f>
        <v>7500</v>
      </c>
      <c r="AP20" s="81">
        <f>Costs!AP21</f>
        <v>7500</v>
      </c>
      <c r="AQ20" s="81">
        <f>Costs!AQ21</f>
        <v>7500</v>
      </c>
      <c r="AR20" s="81">
        <f>Costs!AR21</f>
        <v>7500</v>
      </c>
      <c r="AS20" s="81">
        <f>Costs!AS21</f>
        <v>7500</v>
      </c>
      <c r="AT20" s="81">
        <f>Costs!AT21</f>
        <v>7500</v>
      </c>
      <c r="AU20" s="81">
        <f>Costs!AU21</f>
        <v>7500</v>
      </c>
      <c r="AV20" s="81">
        <f>Costs!AV21</f>
        <v>7500</v>
      </c>
      <c r="AW20" s="81">
        <f>Costs!AW21</f>
        <v>7500</v>
      </c>
      <c r="AX20" s="81">
        <f>Costs!AX21</f>
        <v>7500</v>
      </c>
      <c r="AY20" s="81">
        <f>Costs!AY21</f>
        <v>7500</v>
      </c>
      <c r="AZ20" s="81">
        <f>Costs!AZ21</f>
        <v>7500</v>
      </c>
      <c r="BA20" s="81">
        <f>Costs!BA21</f>
        <v>7500</v>
      </c>
      <c r="BB20" s="81">
        <f>Costs!BB21</f>
        <v>7500</v>
      </c>
      <c r="BC20" s="81">
        <f>Costs!BC21</f>
        <v>7500</v>
      </c>
      <c r="BD20" s="81">
        <f>Costs!BD21</f>
        <v>7500</v>
      </c>
      <c r="BE20" s="81">
        <f>Costs!BE21</f>
        <v>7500</v>
      </c>
      <c r="BF20" s="81">
        <f>Costs!BF21</f>
        <v>7500</v>
      </c>
      <c r="BG20" s="81">
        <f>Costs!BG21</f>
        <v>7500</v>
      </c>
      <c r="BH20" s="81">
        <f>Costs!BH21</f>
        <v>7500</v>
      </c>
      <c r="BI20" s="81">
        <f>Costs!BI21</f>
        <v>7500</v>
      </c>
      <c r="BJ20" s="81">
        <f>Costs!BJ21</f>
        <v>7500</v>
      </c>
      <c r="BK20" s="81">
        <f>Costs!BK21</f>
        <v>7500</v>
      </c>
      <c r="BL20" s="81">
        <f>Costs!BL21</f>
        <v>7500</v>
      </c>
      <c r="BM20" s="81">
        <f>Costs!BM21</f>
        <v>7500</v>
      </c>
      <c r="BN20" s="81">
        <f>Costs!BN21</f>
        <v>7500</v>
      </c>
      <c r="BO20" s="81">
        <f>Costs!BO21</f>
        <v>7500</v>
      </c>
      <c r="BP20" s="81">
        <f>Costs!BP21</f>
        <v>7500</v>
      </c>
      <c r="BQ20" s="81">
        <f>Costs!BQ21</f>
        <v>7500</v>
      </c>
      <c r="BR20" s="81">
        <f>Costs!BR21</f>
        <v>7500</v>
      </c>
      <c r="BS20" s="81">
        <f>Costs!BS21</f>
        <v>7500</v>
      </c>
      <c r="BT20" s="81">
        <f>Costs!BT21</f>
        <v>7500</v>
      </c>
      <c r="BU20" s="81">
        <f>Costs!BU21</f>
        <v>7500</v>
      </c>
      <c r="BV20" s="81">
        <f>Costs!BV21</f>
        <v>7500</v>
      </c>
      <c r="BW20" s="81">
        <f>Costs!BW21</f>
        <v>10000</v>
      </c>
      <c r="BX20" s="81">
        <f>Costs!BX21</f>
        <v>10000</v>
      </c>
      <c r="BY20" s="81">
        <f>Costs!BY21</f>
        <v>10000</v>
      </c>
      <c r="BZ20" s="81">
        <f>Costs!BZ21</f>
        <v>10000</v>
      </c>
      <c r="CA20" s="81">
        <f>Costs!CA21</f>
        <v>10000</v>
      </c>
      <c r="CB20" s="81">
        <f>Costs!CB21</f>
        <v>10000</v>
      </c>
      <c r="CC20" s="81">
        <f>Costs!CC21</f>
        <v>10000</v>
      </c>
      <c r="CD20" s="81">
        <f>Costs!CD21</f>
        <v>10000</v>
      </c>
      <c r="CE20" s="81">
        <f>Costs!CE21</f>
        <v>10000</v>
      </c>
      <c r="CF20" s="81">
        <f>Costs!CF21</f>
        <v>10000</v>
      </c>
      <c r="CG20" s="81">
        <f>Costs!CG21</f>
        <v>10000</v>
      </c>
      <c r="CH20" s="81">
        <f>Costs!CH21</f>
        <v>10000</v>
      </c>
      <c r="CI20" s="81">
        <f>Costs!CI21</f>
        <v>10000</v>
      </c>
      <c r="CJ20" s="81">
        <f>Costs!CJ21</f>
        <v>10000</v>
      </c>
      <c r="CK20" s="81">
        <f>Costs!CK21</f>
        <v>10000</v>
      </c>
      <c r="CL20" s="81">
        <f>Costs!CL21</f>
        <v>10000</v>
      </c>
      <c r="CM20" s="81">
        <f>Costs!CM21</f>
        <v>10000</v>
      </c>
      <c r="CN20" s="81">
        <f>Costs!CN21</f>
        <v>10300</v>
      </c>
      <c r="CO20" s="81">
        <f>Costs!CO21</f>
        <v>10300</v>
      </c>
      <c r="CP20" s="81">
        <f>Costs!CP21</f>
        <v>10300</v>
      </c>
      <c r="CQ20" s="81">
        <f>Costs!CQ21</f>
        <v>10300</v>
      </c>
      <c r="CR20" s="81">
        <f>Costs!CR21</f>
        <v>10300</v>
      </c>
      <c r="CS20" s="81">
        <f>Costs!CS21</f>
        <v>10300</v>
      </c>
      <c r="CT20" s="81">
        <f>Costs!CT21</f>
        <v>10300</v>
      </c>
      <c r="CU20" s="81">
        <f>Costs!CU21</f>
        <v>10600</v>
      </c>
      <c r="CV20" s="81">
        <f>Costs!CV21</f>
        <v>10600</v>
      </c>
      <c r="CW20" s="81">
        <f>Costs!CW21</f>
        <v>10600</v>
      </c>
      <c r="CX20" s="81">
        <f>Costs!CX21</f>
        <v>10600</v>
      </c>
      <c r="CY20" s="81">
        <f>Costs!CY21</f>
        <v>10600</v>
      </c>
      <c r="CZ20" s="81">
        <f>Costs!CZ21</f>
        <v>10600</v>
      </c>
      <c r="DA20" s="81">
        <f>Costs!DA21</f>
        <v>10600</v>
      </c>
      <c r="DB20" s="81">
        <f>Costs!DB21</f>
        <v>10600</v>
      </c>
      <c r="DC20" s="81">
        <f>Costs!DC21</f>
        <v>10600</v>
      </c>
      <c r="DD20" s="81">
        <f>Costs!DD21</f>
        <v>10600</v>
      </c>
      <c r="DE20" s="81">
        <f>Costs!DE21</f>
        <v>10600</v>
      </c>
      <c r="DF20" s="81">
        <f>Costs!DF21</f>
        <v>10600</v>
      </c>
      <c r="DG20" s="81">
        <f>Costs!DG21</f>
        <v>10900</v>
      </c>
      <c r="DH20" s="81">
        <f>Costs!DH21</f>
        <v>10900</v>
      </c>
      <c r="DI20" s="81">
        <f>Costs!DI21</f>
        <v>10900</v>
      </c>
      <c r="DJ20" s="81">
        <f>Costs!DJ21</f>
        <v>10900</v>
      </c>
      <c r="DK20" s="81">
        <f>Costs!DK21</f>
        <v>10900</v>
      </c>
      <c r="DL20" s="81">
        <f>Costs!DL21</f>
        <v>10900</v>
      </c>
      <c r="DM20" s="81">
        <f>Costs!DM21</f>
        <v>10900</v>
      </c>
      <c r="DN20" s="81">
        <f>Costs!DN21</f>
        <v>10900</v>
      </c>
      <c r="DO20" s="81">
        <f>Costs!DO21</f>
        <v>10900</v>
      </c>
      <c r="DP20" s="81">
        <f>Costs!DP21</f>
        <v>10900</v>
      </c>
      <c r="DQ20" s="81">
        <f>Costs!DQ21</f>
        <v>10900</v>
      </c>
      <c r="DR20" s="81">
        <f>Costs!DR21</f>
        <v>10900</v>
      </c>
      <c r="DS20" s="81">
        <f>Costs!DS21</f>
        <v>11200.000000000002</v>
      </c>
      <c r="DT20" s="81">
        <f>Costs!DT21</f>
        <v>11200.000000000002</v>
      </c>
      <c r="DU20" s="81">
        <f>Costs!DU21</f>
        <v>11200.000000000002</v>
      </c>
      <c r="DV20" s="81">
        <f>Costs!DV21</f>
        <v>11200.000000000002</v>
      </c>
      <c r="DW20" s="81">
        <f>Costs!DW21</f>
        <v>11200.000000000002</v>
      </c>
      <c r="DX20" s="81">
        <f>Costs!DX21</f>
        <v>11200.000000000002</v>
      </c>
      <c r="DY20" s="81">
        <f>Costs!DY21</f>
        <v>11200.000000000002</v>
      </c>
      <c r="DZ20" s="81">
        <f>Costs!DZ21</f>
        <v>11200.000000000002</v>
      </c>
      <c r="EA20" s="81">
        <f>Costs!EA21</f>
        <v>11200.000000000002</v>
      </c>
      <c r="EB20" s="81">
        <f>Costs!EB21</f>
        <v>11200.000000000002</v>
      </c>
      <c r="EC20" s="81">
        <f>Costs!EC21</f>
        <v>11200.000000000002</v>
      </c>
      <c r="ED20" s="81">
        <f>Costs!ED21</f>
        <v>11200.000000000002</v>
      </c>
      <c r="EE20" s="81">
        <f>Costs!EE21</f>
        <v>11500.000000000002</v>
      </c>
      <c r="EF20" s="81">
        <f>Costs!EF21</f>
        <v>11500.000000000002</v>
      </c>
      <c r="EG20" s="81">
        <f>Costs!EG21</f>
        <v>11500.000000000002</v>
      </c>
      <c r="EH20" s="81">
        <f>Costs!EH21</f>
        <v>11500.000000000002</v>
      </c>
      <c r="EI20" s="81">
        <f>Costs!EI21</f>
        <v>11500.000000000002</v>
      </c>
      <c r="EJ20" s="81">
        <f>Costs!EJ21</f>
        <v>11500.000000000002</v>
      </c>
      <c r="EK20" s="81">
        <f>Costs!EK21</f>
        <v>11500.000000000002</v>
      </c>
      <c r="EL20" s="81">
        <f>Costs!EL21</f>
        <v>11500.000000000002</v>
      </c>
      <c r="EM20" s="81">
        <f>Costs!EM21</f>
        <v>11500.000000000002</v>
      </c>
      <c r="EN20" s="81">
        <f>Costs!EN21</f>
        <v>11500.000000000002</v>
      </c>
      <c r="EO20" s="81">
        <f>Costs!EO21</f>
        <v>11500.000000000002</v>
      </c>
      <c r="EP20" s="81">
        <f>Costs!EP21</f>
        <v>11500.000000000002</v>
      </c>
      <c r="EQ20" s="81">
        <f>Costs!EQ21</f>
        <v>11800.000000000002</v>
      </c>
      <c r="ER20" s="81">
        <f>Costs!ER21</f>
        <v>11800.000000000002</v>
      </c>
      <c r="ES20" s="81">
        <f>Costs!ES21</f>
        <v>11800.000000000002</v>
      </c>
      <c r="ET20" s="81">
        <f>Costs!ET21</f>
        <v>11800.000000000002</v>
      </c>
      <c r="EU20" s="81">
        <f>Costs!EU21</f>
        <v>11800.000000000002</v>
      </c>
      <c r="EV20" s="81">
        <f>Costs!EV21</f>
        <v>11800.000000000002</v>
      </c>
      <c r="EW20" s="81">
        <f>Costs!EW21</f>
        <v>11800.000000000002</v>
      </c>
      <c r="EX20" s="81">
        <f>Costs!EX21</f>
        <v>11800.000000000002</v>
      </c>
      <c r="EY20" s="81">
        <f>Costs!EY21</f>
        <v>11800.000000000002</v>
      </c>
      <c r="EZ20" s="81">
        <f>Costs!EZ21</f>
        <v>11800.000000000002</v>
      </c>
      <c r="FA20" s="81">
        <f>Costs!FA21</f>
        <v>11800.000000000002</v>
      </c>
      <c r="FB20" s="81">
        <f>Costs!FB21</f>
        <v>11800.000000000002</v>
      </c>
      <c r="FC20" s="81">
        <f>Costs!FC21</f>
        <v>12100.000000000002</v>
      </c>
      <c r="FD20" s="81">
        <f>Costs!FD21</f>
        <v>12100.000000000002</v>
      </c>
      <c r="FE20" s="81">
        <f>Costs!FE21</f>
        <v>12100.000000000002</v>
      </c>
      <c r="FF20" s="81">
        <f>Costs!FF21</f>
        <v>12100.000000000002</v>
      </c>
      <c r="FG20" s="81">
        <f>Costs!FG21</f>
        <v>12100.000000000002</v>
      </c>
      <c r="FH20" s="81">
        <f>Costs!FH21</f>
        <v>12100.000000000002</v>
      </c>
      <c r="FI20" s="81">
        <f>Costs!FI21</f>
        <v>12100.000000000002</v>
      </c>
      <c r="FJ20" s="81">
        <f>Costs!FJ21</f>
        <v>12100.000000000002</v>
      </c>
      <c r="FK20" s="81">
        <f>Costs!FK21</f>
        <v>12100.000000000002</v>
      </c>
      <c r="FL20" s="81">
        <f>Costs!FL21</f>
        <v>12100.000000000002</v>
      </c>
      <c r="FM20" s="81">
        <f>Costs!FM21</f>
        <v>12100.000000000002</v>
      </c>
      <c r="FN20" s="81">
        <f>Costs!FN21</f>
        <v>12100.000000000002</v>
      </c>
      <c r="FO20" s="81">
        <f>Costs!FO21</f>
        <v>12400.000000000002</v>
      </c>
      <c r="FP20" s="81">
        <f>Costs!FP21</f>
        <v>12400.000000000002</v>
      </c>
      <c r="FQ20" s="81">
        <f>Costs!FQ21</f>
        <v>12400.000000000002</v>
      </c>
      <c r="FR20" s="81">
        <f>Costs!FR21</f>
        <v>12400.000000000002</v>
      </c>
      <c r="FS20" s="81">
        <f>Costs!FS21</f>
        <v>12400.000000000002</v>
      </c>
      <c r="FT20" s="81">
        <f>Costs!FT21</f>
        <v>12400.000000000002</v>
      </c>
      <c r="FU20" s="81">
        <f>Costs!FU21</f>
        <v>12400.000000000002</v>
      </c>
      <c r="FV20" s="81">
        <f>Costs!FV21</f>
        <v>12400.000000000002</v>
      </c>
      <c r="FW20" s="81">
        <f>Costs!FW21</f>
        <v>12400.000000000002</v>
      </c>
      <c r="FX20" s="81">
        <f>Costs!FX21</f>
        <v>12400.000000000002</v>
      </c>
      <c r="FY20" s="81">
        <f>Costs!FY21</f>
        <v>12400.000000000002</v>
      </c>
      <c r="FZ20" s="81">
        <f>Costs!FZ21</f>
        <v>12400.000000000002</v>
      </c>
      <c r="GA20" s="81">
        <f>Costs!GA21</f>
        <v>12700.000000000002</v>
      </c>
      <c r="GB20" s="81">
        <f>Costs!GB21</f>
        <v>12700.000000000002</v>
      </c>
      <c r="GC20" s="81">
        <f>Costs!GC21</f>
        <v>12700.000000000002</v>
      </c>
      <c r="GD20" s="81">
        <f>Costs!GD21</f>
        <v>12700.000000000002</v>
      </c>
      <c r="GE20" s="81">
        <f>Costs!GE21</f>
        <v>12700.000000000002</v>
      </c>
      <c r="GF20" s="81">
        <f>Costs!GF21</f>
        <v>12700.000000000002</v>
      </c>
      <c r="GG20" s="81">
        <f>Costs!GG21</f>
        <v>12700.000000000002</v>
      </c>
      <c r="GH20" s="81">
        <f>Costs!GH21</f>
        <v>12700.000000000002</v>
      </c>
      <c r="GI20" s="81">
        <f>Costs!GI21</f>
        <v>12700.000000000002</v>
      </c>
      <c r="GJ20" s="81">
        <f>Costs!GJ21</f>
        <v>12700.000000000002</v>
      </c>
      <c r="GK20" s="81">
        <f>Costs!GK21</f>
        <v>12700.000000000002</v>
      </c>
      <c r="GL20" s="81">
        <f>Costs!GL21</f>
        <v>12700.000000000002</v>
      </c>
      <c r="GM20" s="81">
        <f>Costs!GM21</f>
        <v>13000.000000000002</v>
      </c>
      <c r="GN20" s="81">
        <f>Costs!GN21</f>
        <v>13000.000000000002</v>
      </c>
      <c r="GO20" s="81">
        <f>Costs!GO21</f>
        <v>13000.000000000002</v>
      </c>
      <c r="GP20" s="81">
        <f>Costs!GP21</f>
        <v>13000.000000000002</v>
      </c>
      <c r="GQ20" s="81">
        <f>Costs!GQ21</f>
        <v>13000.000000000002</v>
      </c>
      <c r="GR20" s="81">
        <f>Costs!GR21</f>
        <v>13000.000000000002</v>
      </c>
      <c r="GS20" s="81">
        <f>Costs!GS21</f>
        <v>13000.000000000002</v>
      </c>
      <c r="GT20" s="81">
        <f>Costs!GT21</f>
        <v>13000.000000000002</v>
      </c>
      <c r="GU20" s="81">
        <f>Costs!GU21</f>
        <v>13000.000000000002</v>
      </c>
      <c r="GV20" s="81">
        <f>Costs!GV21</f>
        <v>13000.000000000002</v>
      </c>
      <c r="GW20" s="81">
        <f>Costs!GW21</f>
        <v>13000.000000000002</v>
      </c>
      <c r="GX20" s="81">
        <f>Costs!GX21</f>
        <v>13000.000000000002</v>
      </c>
      <c r="GY20" s="81">
        <f>Costs!GY21</f>
        <v>13300.000000000004</v>
      </c>
      <c r="GZ20" s="81">
        <f>Costs!GZ21</f>
        <v>13300.000000000004</v>
      </c>
      <c r="HA20" s="81">
        <f>Costs!HA21</f>
        <v>13300.000000000004</v>
      </c>
      <c r="HB20" s="81">
        <f>Costs!HB21</f>
        <v>13300.000000000004</v>
      </c>
      <c r="HC20" s="81">
        <f>Costs!HC21</f>
        <v>13300.000000000004</v>
      </c>
      <c r="HD20" s="81">
        <f>Costs!HD21</f>
        <v>13300.000000000004</v>
      </c>
      <c r="HE20" s="81">
        <f>Costs!HE21</f>
        <v>13300.000000000004</v>
      </c>
      <c r="HF20" s="81">
        <f>Costs!HF21</f>
        <v>13300.000000000004</v>
      </c>
      <c r="HG20" s="81">
        <f>Costs!HG21</f>
        <v>13300.000000000004</v>
      </c>
      <c r="HH20" s="81">
        <f>Costs!HH21</f>
        <v>13300.000000000004</v>
      </c>
      <c r="HI20" s="81">
        <f>Costs!HI21</f>
        <v>13300.000000000004</v>
      </c>
      <c r="HJ20" s="81">
        <f>Costs!HJ21</f>
        <v>13300.000000000004</v>
      </c>
      <c r="HK20" s="81">
        <f>Costs!HK21</f>
        <v>13300.000000000004</v>
      </c>
      <c r="HL20" s="81">
        <f>Costs!HL21</f>
        <v>13300.000000000004</v>
      </c>
      <c r="HM20" s="81">
        <f>Costs!HM21</f>
        <v>13300.000000000004</v>
      </c>
      <c r="HN20" s="81">
        <f>Costs!HN21</f>
        <v>13300.000000000004</v>
      </c>
      <c r="HO20" s="81">
        <f>Costs!HO21</f>
        <v>13300.000000000004</v>
      </c>
      <c r="HP20" s="81">
        <f>Costs!HP21</f>
        <v>13300.000000000004</v>
      </c>
      <c r="HQ20" s="81">
        <f>Costs!HQ21</f>
        <v>13300.000000000004</v>
      </c>
      <c r="HR20" s="81">
        <f>Costs!HR21</f>
        <v>13300.000000000004</v>
      </c>
      <c r="HS20" s="81">
        <f>Costs!HS21</f>
        <v>13300.000000000004</v>
      </c>
      <c r="HT20" s="81">
        <f>Costs!HT21</f>
        <v>13300.000000000004</v>
      </c>
      <c r="HU20" s="81">
        <f>Costs!HU21</f>
        <v>13300.000000000004</v>
      </c>
      <c r="HV20" s="81">
        <f>Costs!HV21</f>
        <v>13300.000000000004</v>
      </c>
      <c r="HW20" s="81">
        <f>Costs!HW21</f>
        <v>13300.000000000004</v>
      </c>
      <c r="HX20" s="81">
        <f>Costs!HX21</f>
        <v>13300.000000000004</v>
      </c>
      <c r="HY20" s="81">
        <f>Costs!HY21</f>
        <v>13300.000000000004</v>
      </c>
      <c r="HZ20" s="81">
        <f>Costs!HZ21</f>
        <v>13300.000000000004</v>
      </c>
      <c r="IA20" s="81">
        <f>Costs!IA21</f>
        <v>13300.000000000004</v>
      </c>
      <c r="IB20" s="81">
        <f>Costs!IB21</f>
        <v>13300.000000000004</v>
      </c>
      <c r="IC20" s="81">
        <f>Costs!IC21</f>
        <v>13300.000000000004</v>
      </c>
      <c r="ID20" s="81">
        <f>Costs!ID21</f>
        <v>13300.000000000004</v>
      </c>
      <c r="IE20" s="81">
        <f>Costs!IE21</f>
        <v>13300.000000000004</v>
      </c>
      <c r="IF20" s="81">
        <f>Costs!IF21</f>
        <v>13300.000000000004</v>
      </c>
      <c r="IG20" s="81">
        <f>Costs!IG21</f>
        <v>13300.000000000004</v>
      </c>
      <c r="IH20" s="81">
        <f>Costs!IH21</f>
        <v>13300.000000000004</v>
      </c>
    </row>
    <row r="21" spans="1:242" x14ac:dyDescent="0.45">
      <c r="A21" s="895" t="s">
        <v>222</v>
      </c>
      <c r="B21" s="896"/>
      <c r="C21" s="81">
        <f>Costs!C22</f>
        <v>11250</v>
      </c>
      <c r="D21" s="81">
        <f>Costs!D22</f>
        <v>11250</v>
      </c>
      <c r="E21" s="81">
        <f>Costs!E22</f>
        <v>11250</v>
      </c>
      <c r="F21" s="81">
        <f>Costs!F22</f>
        <v>11250</v>
      </c>
      <c r="G21" s="81">
        <f>Costs!G22</f>
        <v>11250</v>
      </c>
      <c r="H21" s="81">
        <f>Costs!H22</f>
        <v>11250</v>
      </c>
      <c r="I21" s="81">
        <f>Costs!I22</f>
        <v>11250</v>
      </c>
      <c r="J21" s="81">
        <f>Costs!J22</f>
        <v>11250</v>
      </c>
      <c r="K21" s="81">
        <f>Costs!K22</f>
        <v>11250</v>
      </c>
      <c r="L21" s="81">
        <f>Costs!L22</f>
        <v>11250</v>
      </c>
      <c r="M21" s="81">
        <f>Costs!M22</f>
        <v>11250</v>
      </c>
      <c r="N21" s="81">
        <f>Costs!N22</f>
        <v>11250</v>
      </c>
      <c r="O21" s="81">
        <f>Costs!O22</f>
        <v>11250</v>
      </c>
      <c r="P21" s="81">
        <f>Costs!P22</f>
        <v>11250</v>
      </c>
      <c r="Q21" s="81">
        <f>Costs!Q22</f>
        <v>11250</v>
      </c>
      <c r="R21" s="81">
        <f>Costs!R22</f>
        <v>11250</v>
      </c>
      <c r="S21" s="81">
        <f>Costs!S22</f>
        <v>11250</v>
      </c>
      <c r="T21" s="81">
        <f>Costs!T22</f>
        <v>11250</v>
      </c>
      <c r="U21" s="81">
        <f>Costs!U22</f>
        <v>11250</v>
      </c>
      <c r="V21" s="81">
        <f>Costs!V22</f>
        <v>11250</v>
      </c>
      <c r="W21" s="81">
        <f>Costs!W22</f>
        <v>11250</v>
      </c>
      <c r="X21" s="81">
        <f>Costs!X22</f>
        <v>11250</v>
      </c>
      <c r="Y21" s="81">
        <f>Costs!Y22</f>
        <v>11250</v>
      </c>
      <c r="Z21" s="81">
        <f>Costs!Z22</f>
        <v>11250</v>
      </c>
      <c r="AA21" s="81">
        <f>Costs!AA22</f>
        <v>33750</v>
      </c>
      <c r="AB21" s="81">
        <f>Costs!AB22</f>
        <v>33750</v>
      </c>
      <c r="AC21" s="81">
        <f>Costs!AC22</f>
        <v>33750</v>
      </c>
      <c r="AD21" s="81">
        <f>Costs!AD22</f>
        <v>33750</v>
      </c>
      <c r="AE21" s="81">
        <f>Costs!AE22</f>
        <v>33750</v>
      </c>
      <c r="AF21" s="81">
        <f>Costs!AF22</f>
        <v>33750</v>
      </c>
      <c r="AG21" s="81">
        <f>Costs!AG22</f>
        <v>33750</v>
      </c>
      <c r="AH21" s="81">
        <f>Costs!AH22</f>
        <v>33750</v>
      </c>
      <c r="AI21" s="81">
        <f>Costs!AI22</f>
        <v>33750</v>
      </c>
      <c r="AJ21" s="81">
        <f>Costs!AJ22</f>
        <v>33750</v>
      </c>
      <c r="AK21" s="81">
        <f>Costs!AK22</f>
        <v>33750</v>
      </c>
      <c r="AL21" s="81">
        <f>Costs!AL22</f>
        <v>33750</v>
      </c>
      <c r="AM21" s="81">
        <f>Costs!AM22</f>
        <v>33750</v>
      </c>
      <c r="AN21" s="81">
        <f>Costs!AN22</f>
        <v>33750</v>
      </c>
      <c r="AO21" s="81">
        <f>Costs!AO22</f>
        <v>33750</v>
      </c>
      <c r="AP21" s="81">
        <f>Costs!AP22</f>
        <v>33750</v>
      </c>
      <c r="AQ21" s="81">
        <f>Costs!AQ22</f>
        <v>33750</v>
      </c>
      <c r="AR21" s="81">
        <f>Costs!AR22</f>
        <v>33750</v>
      </c>
      <c r="AS21" s="81">
        <f>Costs!AS22</f>
        <v>33750</v>
      </c>
      <c r="AT21" s="81">
        <f>Costs!AT22</f>
        <v>33750</v>
      </c>
      <c r="AU21" s="81">
        <f>Costs!AU22</f>
        <v>33750</v>
      </c>
      <c r="AV21" s="81">
        <f>Costs!AV22</f>
        <v>33750</v>
      </c>
      <c r="AW21" s="81">
        <f>Costs!AW22</f>
        <v>33750</v>
      </c>
      <c r="AX21" s="81">
        <f>Costs!AX22</f>
        <v>33750</v>
      </c>
      <c r="AY21" s="81">
        <f>Costs!AY22</f>
        <v>33750</v>
      </c>
      <c r="AZ21" s="81">
        <f>Costs!AZ22</f>
        <v>33750</v>
      </c>
      <c r="BA21" s="81">
        <f>Costs!BA22</f>
        <v>33750</v>
      </c>
      <c r="BB21" s="81">
        <f>Costs!BB22</f>
        <v>33750</v>
      </c>
      <c r="BC21" s="81">
        <f>Costs!BC22</f>
        <v>33750</v>
      </c>
      <c r="BD21" s="81">
        <f>Costs!BD22</f>
        <v>33750</v>
      </c>
      <c r="BE21" s="81">
        <f>Costs!BE22</f>
        <v>33750</v>
      </c>
      <c r="BF21" s="81">
        <f>Costs!BF22</f>
        <v>33750</v>
      </c>
      <c r="BG21" s="81">
        <f>Costs!BG22</f>
        <v>33750</v>
      </c>
      <c r="BH21" s="81">
        <f>Costs!BH22</f>
        <v>33750</v>
      </c>
      <c r="BI21" s="81">
        <f>Costs!BI22</f>
        <v>33750</v>
      </c>
      <c r="BJ21" s="81">
        <f>Costs!BJ22</f>
        <v>33750</v>
      </c>
      <c r="BK21" s="81">
        <f>Costs!BK22</f>
        <v>33750</v>
      </c>
      <c r="BL21" s="81">
        <f>Costs!BL22</f>
        <v>33750</v>
      </c>
      <c r="BM21" s="81">
        <f>Costs!BM22</f>
        <v>33750</v>
      </c>
      <c r="BN21" s="81">
        <f>Costs!BN22</f>
        <v>33750</v>
      </c>
      <c r="BO21" s="81">
        <f>Costs!BO22</f>
        <v>33750</v>
      </c>
      <c r="BP21" s="81">
        <f>Costs!BP22</f>
        <v>33750</v>
      </c>
      <c r="BQ21" s="81">
        <f>Costs!BQ22</f>
        <v>33750</v>
      </c>
      <c r="BR21" s="81">
        <f>Costs!BR22</f>
        <v>33750</v>
      </c>
      <c r="BS21" s="81">
        <f>Costs!BS22</f>
        <v>33750</v>
      </c>
      <c r="BT21" s="81">
        <f>Costs!BT22</f>
        <v>33750</v>
      </c>
      <c r="BU21" s="81">
        <f>Costs!BU22</f>
        <v>33750</v>
      </c>
      <c r="BV21" s="81">
        <f>Costs!BV22</f>
        <v>33750</v>
      </c>
      <c r="BW21" s="81">
        <f>Costs!BW22</f>
        <v>45000</v>
      </c>
      <c r="BX21" s="81">
        <f>Costs!BX22</f>
        <v>45000</v>
      </c>
      <c r="BY21" s="81">
        <f>Costs!BY22</f>
        <v>45000</v>
      </c>
      <c r="BZ21" s="81">
        <f>Costs!BZ22</f>
        <v>45000</v>
      </c>
      <c r="CA21" s="81">
        <f>Costs!CA22</f>
        <v>45000</v>
      </c>
      <c r="CB21" s="81">
        <f>Costs!CB22</f>
        <v>45000</v>
      </c>
      <c r="CC21" s="81">
        <f>Costs!CC22</f>
        <v>45000</v>
      </c>
      <c r="CD21" s="81">
        <f>Costs!CD22</f>
        <v>45000</v>
      </c>
      <c r="CE21" s="81">
        <f>Costs!CE22</f>
        <v>45000</v>
      </c>
      <c r="CF21" s="81">
        <f>Costs!CF22</f>
        <v>45000</v>
      </c>
      <c r="CG21" s="81">
        <f>Costs!CG22</f>
        <v>45000</v>
      </c>
      <c r="CH21" s="81">
        <f>Costs!CH22</f>
        <v>45000</v>
      </c>
      <c r="CI21" s="81">
        <f>Costs!CI22</f>
        <v>45000</v>
      </c>
      <c r="CJ21" s="81">
        <f>Costs!CJ22</f>
        <v>45000</v>
      </c>
      <c r="CK21" s="81">
        <f>Costs!CK22</f>
        <v>45000</v>
      </c>
      <c r="CL21" s="81">
        <f>Costs!CL22</f>
        <v>45000</v>
      </c>
      <c r="CM21" s="81">
        <f>Costs!CM22</f>
        <v>45000</v>
      </c>
      <c r="CN21" s="81">
        <f>Costs!CN22</f>
        <v>46350</v>
      </c>
      <c r="CO21" s="81">
        <f>Costs!CO22</f>
        <v>46350</v>
      </c>
      <c r="CP21" s="81">
        <f>Costs!CP22</f>
        <v>46350</v>
      </c>
      <c r="CQ21" s="81">
        <f>Costs!CQ22</f>
        <v>46350</v>
      </c>
      <c r="CR21" s="81">
        <f>Costs!CR22</f>
        <v>46350</v>
      </c>
      <c r="CS21" s="81">
        <f>Costs!CS22</f>
        <v>46350</v>
      </c>
      <c r="CT21" s="81">
        <f>Costs!CT22</f>
        <v>46350</v>
      </c>
      <c r="CU21" s="81">
        <f>Costs!CU22</f>
        <v>47700</v>
      </c>
      <c r="CV21" s="81">
        <f>Costs!CV22</f>
        <v>47700</v>
      </c>
      <c r="CW21" s="81">
        <f>Costs!CW22</f>
        <v>47700</v>
      </c>
      <c r="CX21" s="81">
        <f>Costs!CX22</f>
        <v>47700</v>
      </c>
      <c r="CY21" s="81">
        <f>Costs!CY22</f>
        <v>47700</v>
      </c>
      <c r="CZ21" s="81">
        <f>Costs!CZ22</f>
        <v>47700</v>
      </c>
      <c r="DA21" s="81">
        <f>Costs!DA22</f>
        <v>47700</v>
      </c>
      <c r="DB21" s="81">
        <f>Costs!DB22</f>
        <v>47700</v>
      </c>
      <c r="DC21" s="81">
        <f>Costs!DC22</f>
        <v>47700</v>
      </c>
      <c r="DD21" s="81">
        <f>Costs!DD22</f>
        <v>47700</v>
      </c>
      <c r="DE21" s="81">
        <f>Costs!DE22</f>
        <v>47700</v>
      </c>
      <c r="DF21" s="81">
        <f>Costs!DF22</f>
        <v>47700</v>
      </c>
      <c r="DG21" s="81">
        <f>Costs!DG22</f>
        <v>49050</v>
      </c>
      <c r="DH21" s="81">
        <f>Costs!DH22</f>
        <v>49050</v>
      </c>
      <c r="DI21" s="81">
        <f>Costs!DI22</f>
        <v>49050</v>
      </c>
      <c r="DJ21" s="81">
        <f>Costs!DJ22</f>
        <v>49050</v>
      </c>
      <c r="DK21" s="81">
        <f>Costs!DK22</f>
        <v>49050</v>
      </c>
      <c r="DL21" s="81">
        <f>Costs!DL22</f>
        <v>49050</v>
      </c>
      <c r="DM21" s="81">
        <f>Costs!DM22</f>
        <v>49050</v>
      </c>
      <c r="DN21" s="81">
        <f>Costs!DN22</f>
        <v>49050</v>
      </c>
      <c r="DO21" s="81">
        <f>Costs!DO22</f>
        <v>49050</v>
      </c>
      <c r="DP21" s="81">
        <f>Costs!DP22</f>
        <v>49050</v>
      </c>
      <c r="DQ21" s="81">
        <f>Costs!DQ22</f>
        <v>49050</v>
      </c>
      <c r="DR21" s="81">
        <f>Costs!DR22</f>
        <v>49050</v>
      </c>
      <c r="DS21" s="81">
        <f>Costs!DS22</f>
        <v>50400.000000000007</v>
      </c>
      <c r="DT21" s="81">
        <f>Costs!DT22</f>
        <v>50400.000000000007</v>
      </c>
      <c r="DU21" s="81">
        <f>Costs!DU22</f>
        <v>50400.000000000007</v>
      </c>
      <c r="DV21" s="81">
        <f>Costs!DV22</f>
        <v>50400.000000000007</v>
      </c>
      <c r="DW21" s="81">
        <f>Costs!DW22</f>
        <v>50400.000000000007</v>
      </c>
      <c r="DX21" s="81">
        <f>Costs!DX22</f>
        <v>50400.000000000007</v>
      </c>
      <c r="DY21" s="81">
        <f>Costs!DY22</f>
        <v>50400.000000000007</v>
      </c>
      <c r="DZ21" s="81">
        <f>Costs!DZ22</f>
        <v>50400.000000000007</v>
      </c>
      <c r="EA21" s="81">
        <f>Costs!EA22</f>
        <v>50400.000000000007</v>
      </c>
      <c r="EB21" s="81">
        <f>Costs!EB22</f>
        <v>50400.000000000007</v>
      </c>
      <c r="EC21" s="81">
        <f>Costs!EC22</f>
        <v>50400.000000000007</v>
      </c>
      <c r="ED21" s="81">
        <f>Costs!ED22</f>
        <v>50400.000000000007</v>
      </c>
      <c r="EE21" s="81">
        <f>Costs!EE22</f>
        <v>51750.000000000007</v>
      </c>
      <c r="EF21" s="81">
        <f>Costs!EF22</f>
        <v>51750.000000000007</v>
      </c>
      <c r="EG21" s="81">
        <f>Costs!EG22</f>
        <v>51750.000000000007</v>
      </c>
      <c r="EH21" s="81">
        <f>Costs!EH22</f>
        <v>51750.000000000007</v>
      </c>
      <c r="EI21" s="81">
        <f>Costs!EI22</f>
        <v>51750.000000000007</v>
      </c>
      <c r="EJ21" s="81">
        <f>Costs!EJ22</f>
        <v>51750.000000000007</v>
      </c>
      <c r="EK21" s="81">
        <f>Costs!EK22</f>
        <v>51750.000000000007</v>
      </c>
      <c r="EL21" s="81">
        <f>Costs!EL22</f>
        <v>51750.000000000007</v>
      </c>
      <c r="EM21" s="81">
        <f>Costs!EM22</f>
        <v>51750.000000000007</v>
      </c>
      <c r="EN21" s="81">
        <f>Costs!EN22</f>
        <v>51750.000000000007</v>
      </c>
      <c r="EO21" s="81">
        <f>Costs!EO22</f>
        <v>51750.000000000007</v>
      </c>
      <c r="EP21" s="81">
        <f>Costs!EP22</f>
        <v>51750.000000000007</v>
      </c>
      <c r="EQ21" s="81">
        <f>Costs!EQ22</f>
        <v>53100.000000000007</v>
      </c>
      <c r="ER21" s="81">
        <f>Costs!ER22</f>
        <v>53100.000000000007</v>
      </c>
      <c r="ES21" s="81">
        <f>Costs!ES22</f>
        <v>53100.000000000007</v>
      </c>
      <c r="ET21" s="81">
        <f>Costs!ET22</f>
        <v>53100.000000000007</v>
      </c>
      <c r="EU21" s="81">
        <f>Costs!EU22</f>
        <v>53100.000000000007</v>
      </c>
      <c r="EV21" s="81">
        <f>Costs!EV22</f>
        <v>53100.000000000007</v>
      </c>
      <c r="EW21" s="81">
        <f>Costs!EW22</f>
        <v>53100.000000000007</v>
      </c>
      <c r="EX21" s="81">
        <f>Costs!EX22</f>
        <v>53100.000000000007</v>
      </c>
      <c r="EY21" s="81">
        <f>Costs!EY22</f>
        <v>53100.000000000007</v>
      </c>
      <c r="EZ21" s="81">
        <f>Costs!EZ22</f>
        <v>53100.000000000007</v>
      </c>
      <c r="FA21" s="81">
        <f>Costs!FA22</f>
        <v>53100.000000000007</v>
      </c>
      <c r="FB21" s="81">
        <f>Costs!FB22</f>
        <v>53100.000000000007</v>
      </c>
      <c r="FC21" s="81">
        <f>Costs!FC22</f>
        <v>54450.000000000007</v>
      </c>
      <c r="FD21" s="81">
        <f>Costs!FD22</f>
        <v>54450.000000000007</v>
      </c>
      <c r="FE21" s="81">
        <f>Costs!FE22</f>
        <v>54450.000000000007</v>
      </c>
      <c r="FF21" s="81">
        <f>Costs!FF22</f>
        <v>54450.000000000007</v>
      </c>
      <c r="FG21" s="81">
        <f>Costs!FG22</f>
        <v>54450.000000000007</v>
      </c>
      <c r="FH21" s="81">
        <f>Costs!FH22</f>
        <v>54450.000000000007</v>
      </c>
      <c r="FI21" s="81">
        <f>Costs!FI22</f>
        <v>54450.000000000007</v>
      </c>
      <c r="FJ21" s="81">
        <f>Costs!FJ22</f>
        <v>54450.000000000007</v>
      </c>
      <c r="FK21" s="81">
        <f>Costs!FK22</f>
        <v>54450.000000000007</v>
      </c>
      <c r="FL21" s="81">
        <f>Costs!FL22</f>
        <v>54450.000000000007</v>
      </c>
      <c r="FM21" s="81">
        <f>Costs!FM22</f>
        <v>54450.000000000007</v>
      </c>
      <c r="FN21" s="81">
        <f>Costs!FN22</f>
        <v>54450.000000000007</v>
      </c>
      <c r="FO21" s="81">
        <f>Costs!FO22</f>
        <v>55800.000000000007</v>
      </c>
      <c r="FP21" s="81">
        <f>Costs!FP22</f>
        <v>55800.000000000007</v>
      </c>
      <c r="FQ21" s="81">
        <f>Costs!FQ22</f>
        <v>55800.000000000007</v>
      </c>
      <c r="FR21" s="81">
        <f>Costs!FR22</f>
        <v>55800.000000000007</v>
      </c>
      <c r="FS21" s="81">
        <f>Costs!FS22</f>
        <v>55800.000000000007</v>
      </c>
      <c r="FT21" s="81">
        <f>Costs!FT22</f>
        <v>55800.000000000007</v>
      </c>
      <c r="FU21" s="81">
        <f>Costs!FU22</f>
        <v>55800.000000000007</v>
      </c>
      <c r="FV21" s="81">
        <f>Costs!FV22</f>
        <v>55800.000000000007</v>
      </c>
      <c r="FW21" s="81">
        <f>Costs!FW22</f>
        <v>55800.000000000007</v>
      </c>
      <c r="FX21" s="81">
        <f>Costs!FX22</f>
        <v>55800.000000000007</v>
      </c>
      <c r="FY21" s="81">
        <f>Costs!FY22</f>
        <v>55800.000000000007</v>
      </c>
      <c r="FZ21" s="81">
        <f>Costs!FZ22</f>
        <v>55800.000000000007</v>
      </c>
      <c r="GA21" s="81">
        <f>Costs!GA22</f>
        <v>57150.000000000007</v>
      </c>
      <c r="GB21" s="81">
        <f>Costs!GB22</f>
        <v>57150.000000000007</v>
      </c>
      <c r="GC21" s="81">
        <f>Costs!GC22</f>
        <v>57150.000000000007</v>
      </c>
      <c r="GD21" s="81">
        <f>Costs!GD22</f>
        <v>57150.000000000007</v>
      </c>
      <c r="GE21" s="81">
        <f>Costs!GE22</f>
        <v>57150.000000000007</v>
      </c>
      <c r="GF21" s="81">
        <f>Costs!GF22</f>
        <v>57150.000000000007</v>
      </c>
      <c r="GG21" s="81">
        <f>Costs!GG22</f>
        <v>57150.000000000007</v>
      </c>
      <c r="GH21" s="81">
        <f>Costs!GH22</f>
        <v>57150.000000000007</v>
      </c>
      <c r="GI21" s="81">
        <f>Costs!GI22</f>
        <v>57150.000000000007</v>
      </c>
      <c r="GJ21" s="81">
        <f>Costs!GJ22</f>
        <v>57150.000000000007</v>
      </c>
      <c r="GK21" s="81">
        <f>Costs!GK22</f>
        <v>57150.000000000007</v>
      </c>
      <c r="GL21" s="81">
        <f>Costs!GL22</f>
        <v>57150.000000000007</v>
      </c>
      <c r="GM21" s="81">
        <f>Costs!GM22</f>
        <v>58500.000000000015</v>
      </c>
      <c r="GN21" s="81">
        <f>Costs!GN22</f>
        <v>58500.000000000015</v>
      </c>
      <c r="GO21" s="81">
        <f>Costs!GO22</f>
        <v>58500.000000000015</v>
      </c>
      <c r="GP21" s="81">
        <f>Costs!GP22</f>
        <v>58500.000000000015</v>
      </c>
      <c r="GQ21" s="81">
        <f>Costs!GQ22</f>
        <v>58500.000000000015</v>
      </c>
      <c r="GR21" s="81">
        <f>Costs!GR22</f>
        <v>58500.000000000015</v>
      </c>
      <c r="GS21" s="81">
        <f>Costs!GS22</f>
        <v>58500.000000000015</v>
      </c>
      <c r="GT21" s="81">
        <f>Costs!GT22</f>
        <v>58500.000000000015</v>
      </c>
      <c r="GU21" s="81">
        <f>Costs!GU22</f>
        <v>58500.000000000015</v>
      </c>
      <c r="GV21" s="81">
        <f>Costs!GV22</f>
        <v>58500.000000000015</v>
      </c>
      <c r="GW21" s="81">
        <f>Costs!GW22</f>
        <v>58500.000000000015</v>
      </c>
      <c r="GX21" s="81">
        <f>Costs!GX22</f>
        <v>58500.000000000015</v>
      </c>
      <c r="GY21" s="81">
        <f>Costs!GY22</f>
        <v>59850.000000000015</v>
      </c>
      <c r="GZ21" s="81">
        <f>Costs!GZ22</f>
        <v>59850.000000000015</v>
      </c>
      <c r="HA21" s="81">
        <f>Costs!HA22</f>
        <v>59850.000000000015</v>
      </c>
      <c r="HB21" s="81">
        <f>Costs!HB22</f>
        <v>59850.000000000015</v>
      </c>
      <c r="HC21" s="81">
        <f>Costs!HC22</f>
        <v>59850.000000000015</v>
      </c>
      <c r="HD21" s="81">
        <f>Costs!HD22</f>
        <v>59850.000000000015</v>
      </c>
      <c r="HE21" s="81">
        <f>Costs!HE22</f>
        <v>59850.000000000015</v>
      </c>
      <c r="HF21" s="81">
        <f>Costs!HF22</f>
        <v>59850.000000000015</v>
      </c>
      <c r="HG21" s="81">
        <f>Costs!HG22</f>
        <v>59850.000000000015</v>
      </c>
      <c r="HH21" s="81">
        <f>Costs!HH22</f>
        <v>59850.000000000015</v>
      </c>
      <c r="HI21" s="81">
        <f>Costs!HI22</f>
        <v>59850.000000000015</v>
      </c>
      <c r="HJ21" s="81">
        <f>Costs!HJ22</f>
        <v>59850.000000000015</v>
      </c>
      <c r="HK21" s="81">
        <f>Costs!HK22</f>
        <v>59850.000000000015</v>
      </c>
      <c r="HL21" s="81">
        <f>Costs!HL22</f>
        <v>59850.000000000015</v>
      </c>
      <c r="HM21" s="81">
        <f>Costs!HM22</f>
        <v>59850.000000000015</v>
      </c>
      <c r="HN21" s="81">
        <f>Costs!HN22</f>
        <v>59850.000000000015</v>
      </c>
      <c r="HO21" s="81">
        <f>Costs!HO22</f>
        <v>59850.000000000015</v>
      </c>
      <c r="HP21" s="81">
        <f>Costs!HP22</f>
        <v>59850.000000000015</v>
      </c>
      <c r="HQ21" s="81">
        <f>Costs!HQ22</f>
        <v>59850.000000000015</v>
      </c>
      <c r="HR21" s="81">
        <f>Costs!HR22</f>
        <v>59850.000000000015</v>
      </c>
      <c r="HS21" s="81">
        <f>Costs!HS22</f>
        <v>59850.000000000015</v>
      </c>
      <c r="HT21" s="81">
        <f>Costs!HT22</f>
        <v>59850.000000000015</v>
      </c>
      <c r="HU21" s="81">
        <f>Costs!HU22</f>
        <v>59850.000000000015</v>
      </c>
      <c r="HV21" s="81">
        <f>Costs!HV22</f>
        <v>59850.000000000015</v>
      </c>
      <c r="HW21" s="81">
        <f>Costs!HW22</f>
        <v>59850.000000000015</v>
      </c>
      <c r="HX21" s="81">
        <f>Costs!HX22</f>
        <v>59850.000000000015</v>
      </c>
      <c r="HY21" s="81">
        <f>Costs!HY22</f>
        <v>59850.000000000015</v>
      </c>
      <c r="HZ21" s="81">
        <f>Costs!HZ22</f>
        <v>59850.000000000015</v>
      </c>
      <c r="IA21" s="81">
        <f>Costs!IA22</f>
        <v>59850.000000000015</v>
      </c>
      <c r="IB21" s="81">
        <f>Costs!IB22</f>
        <v>59850.000000000015</v>
      </c>
      <c r="IC21" s="81">
        <f>Costs!IC22</f>
        <v>59850.000000000015</v>
      </c>
      <c r="ID21" s="81">
        <f>Costs!ID22</f>
        <v>59850.000000000015</v>
      </c>
      <c r="IE21" s="81">
        <f>Costs!IE22</f>
        <v>59850.000000000015</v>
      </c>
      <c r="IF21" s="81">
        <f>Costs!IF22</f>
        <v>59850.000000000015</v>
      </c>
      <c r="IG21" s="81">
        <f>Costs!IG22</f>
        <v>59850.000000000015</v>
      </c>
      <c r="IH21" s="81">
        <f>Costs!IH22</f>
        <v>59850.000000000015</v>
      </c>
    </row>
    <row r="22" spans="1:242" x14ac:dyDescent="0.45">
      <c r="A22" s="895" t="s">
        <v>229</v>
      </c>
      <c r="B22" s="896"/>
      <c r="C22" s="81">
        <f>Costs!C23</f>
        <v>70932.324449973967</v>
      </c>
      <c r="D22" s="81">
        <f>Costs!D23</f>
        <v>70932.324449973967</v>
      </c>
      <c r="E22" s="81">
        <f>Costs!E23</f>
        <v>70932.324449973967</v>
      </c>
      <c r="F22" s="81">
        <f>Costs!F23</f>
        <v>70932.324449973967</v>
      </c>
      <c r="G22" s="81">
        <f>Costs!G23</f>
        <v>70932.324449973967</v>
      </c>
      <c r="H22" s="81">
        <f>Costs!H23</f>
        <v>70932.324449973967</v>
      </c>
      <c r="I22" s="81">
        <f>Costs!I23</f>
        <v>70932.324449973967</v>
      </c>
      <c r="J22" s="81">
        <f>Costs!J23</f>
        <v>70932.324449973967</v>
      </c>
      <c r="K22" s="81">
        <f>Costs!K23</f>
        <v>70932.324449973967</v>
      </c>
      <c r="L22" s="81">
        <f>Costs!L23</f>
        <v>70932.324449973967</v>
      </c>
      <c r="M22" s="81">
        <f>Costs!M23</f>
        <v>70932.324449973967</v>
      </c>
      <c r="N22" s="81">
        <f>Costs!N23</f>
        <v>70932.324449973967</v>
      </c>
      <c r="O22" s="81">
        <f>Costs!O23</f>
        <v>70932.324449973967</v>
      </c>
      <c r="P22" s="81">
        <f>Costs!P23</f>
        <v>70932.324449973967</v>
      </c>
      <c r="Q22" s="81">
        <f>Costs!Q23</f>
        <v>70932.324449973967</v>
      </c>
      <c r="R22" s="81">
        <f>Costs!R23</f>
        <v>70932.324449973967</v>
      </c>
      <c r="S22" s="81">
        <f>Costs!S23</f>
        <v>70932.324449973967</v>
      </c>
      <c r="T22" s="81">
        <f>Costs!T23</f>
        <v>70932.324449973967</v>
      </c>
      <c r="U22" s="81">
        <f>Costs!U23</f>
        <v>70932.324449973967</v>
      </c>
      <c r="V22" s="81">
        <f>Costs!V23</f>
        <v>70932.324449973967</v>
      </c>
      <c r="W22" s="81">
        <f>Costs!W23</f>
        <v>70932.324449973967</v>
      </c>
      <c r="X22" s="81">
        <f>Costs!X23</f>
        <v>70932.324449973967</v>
      </c>
      <c r="Y22" s="81">
        <f>Costs!Y23</f>
        <v>70932.324449973967</v>
      </c>
      <c r="Z22" s="81">
        <f>Costs!Z23</f>
        <v>70932.324449973967</v>
      </c>
      <c r="AA22" s="81">
        <f>Costs!AA23</f>
        <v>212796.9733499219</v>
      </c>
      <c r="AB22" s="81">
        <f>Costs!AB23</f>
        <v>212796.9733499219</v>
      </c>
      <c r="AC22" s="81">
        <f>Costs!AC23</f>
        <v>212796.9733499219</v>
      </c>
      <c r="AD22" s="81">
        <f>Costs!AD23</f>
        <v>212796.9733499219</v>
      </c>
      <c r="AE22" s="81">
        <f>Costs!AE23</f>
        <v>212796.9733499219</v>
      </c>
      <c r="AF22" s="81">
        <f>Costs!AF23</f>
        <v>212796.9733499219</v>
      </c>
      <c r="AG22" s="81">
        <f>Costs!AG23</f>
        <v>212796.9733499219</v>
      </c>
      <c r="AH22" s="81">
        <f>Costs!AH23</f>
        <v>212796.9733499219</v>
      </c>
      <c r="AI22" s="81">
        <f>Costs!AI23</f>
        <v>212796.9733499219</v>
      </c>
      <c r="AJ22" s="81">
        <f>Costs!AJ23</f>
        <v>212796.9733499219</v>
      </c>
      <c r="AK22" s="81">
        <f>Costs!AK23</f>
        <v>212796.9733499219</v>
      </c>
      <c r="AL22" s="81">
        <f>Costs!AL23</f>
        <v>212796.9733499219</v>
      </c>
      <c r="AM22" s="81">
        <f>Costs!AM23</f>
        <v>212796.9733499219</v>
      </c>
      <c r="AN22" s="81">
        <f>Costs!AN23</f>
        <v>212796.9733499219</v>
      </c>
      <c r="AO22" s="81">
        <f>Costs!AO23</f>
        <v>212796.9733499219</v>
      </c>
      <c r="AP22" s="81">
        <f>Costs!AP23</f>
        <v>212796.9733499219</v>
      </c>
      <c r="AQ22" s="81">
        <f>Costs!AQ23</f>
        <v>212796.9733499219</v>
      </c>
      <c r="AR22" s="81">
        <f>Costs!AR23</f>
        <v>212796.9733499219</v>
      </c>
      <c r="AS22" s="81">
        <f>Costs!AS23</f>
        <v>212796.9733499219</v>
      </c>
      <c r="AT22" s="81">
        <f>Costs!AT23</f>
        <v>212796.9733499219</v>
      </c>
      <c r="AU22" s="81">
        <f>Costs!AU23</f>
        <v>212796.9733499219</v>
      </c>
      <c r="AV22" s="81">
        <f>Costs!AV23</f>
        <v>212796.9733499219</v>
      </c>
      <c r="AW22" s="81">
        <f>Costs!AW23</f>
        <v>212796.9733499219</v>
      </c>
      <c r="AX22" s="81">
        <f>Costs!AX23</f>
        <v>212796.9733499219</v>
      </c>
      <c r="AY22" s="81">
        <f>Costs!AY23</f>
        <v>212796.9733499219</v>
      </c>
      <c r="AZ22" s="81">
        <f>Costs!AZ23</f>
        <v>212796.9733499219</v>
      </c>
      <c r="BA22" s="81">
        <f>Costs!BA23</f>
        <v>212796.9733499219</v>
      </c>
      <c r="BB22" s="81">
        <f>Costs!BB23</f>
        <v>212796.9733499219</v>
      </c>
      <c r="BC22" s="81">
        <f>Costs!BC23</f>
        <v>212796.9733499219</v>
      </c>
      <c r="BD22" s="81">
        <f>Costs!BD23</f>
        <v>212796.9733499219</v>
      </c>
      <c r="BE22" s="81">
        <f>Costs!BE23</f>
        <v>212796.9733499219</v>
      </c>
      <c r="BF22" s="81">
        <f>Costs!BF23</f>
        <v>212796.9733499219</v>
      </c>
      <c r="BG22" s="81">
        <f>Costs!BG23</f>
        <v>212796.9733499219</v>
      </c>
      <c r="BH22" s="81">
        <f>Costs!BH23</f>
        <v>212796.9733499219</v>
      </c>
      <c r="BI22" s="81">
        <f>Costs!BI23</f>
        <v>212796.9733499219</v>
      </c>
      <c r="BJ22" s="81">
        <f>Costs!BJ23</f>
        <v>212796.9733499219</v>
      </c>
      <c r="BK22" s="81">
        <f>Costs!BK23</f>
        <v>212796.9733499219</v>
      </c>
      <c r="BL22" s="81">
        <f>Costs!BL23</f>
        <v>212796.9733499219</v>
      </c>
      <c r="BM22" s="81">
        <f>Costs!BM23</f>
        <v>212796.9733499219</v>
      </c>
      <c r="BN22" s="81">
        <f>Costs!BN23</f>
        <v>212796.9733499219</v>
      </c>
      <c r="BO22" s="81">
        <f>Costs!BO23</f>
        <v>212796.9733499219</v>
      </c>
      <c r="BP22" s="81">
        <f>Costs!BP23</f>
        <v>212796.9733499219</v>
      </c>
      <c r="BQ22" s="81">
        <f>Costs!BQ23</f>
        <v>212796.9733499219</v>
      </c>
      <c r="BR22" s="81">
        <f>Costs!BR23</f>
        <v>212796.9733499219</v>
      </c>
      <c r="BS22" s="81">
        <f>Costs!BS23</f>
        <v>212796.9733499219</v>
      </c>
      <c r="BT22" s="81">
        <f>Costs!BT23</f>
        <v>212796.9733499219</v>
      </c>
      <c r="BU22" s="81">
        <f>Costs!BU23</f>
        <v>212796.9733499219</v>
      </c>
      <c r="BV22" s="81">
        <f>Costs!BV23</f>
        <v>212796.9733499219</v>
      </c>
      <c r="BW22" s="81">
        <f>Costs!BW23</f>
        <v>283729.29779989587</v>
      </c>
      <c r="BX22" s="81">
        <f>Costs!BX23</f>
        <v>283729.29779989587</v>
      </c>
      <c r="BY22" s="81">
        <f>Costs!BY23</f>
        <v>283729.29779989587</v>
      </c>
      <c r="BZ22" s="81">
        <f>Costs!BZ23</f>
        <v>283729.29779989587</v>
      </c>
      <c r="CA22" s="81">
        <f>Costs!CA23</f>
        <v>283729.29779989587</v>
      </c>
      <c r="CB22" s="81">
        <f>Costs!CB23</f>
        <v>283729.29779989587</v>
      </c>
      <c r="CC22" s="81">
        <f>Costs!CC23</f>
        <v>283729.29779989587</v>
      </c>
      <c r="CD22" s="81">
        <f>Costs!CD23</f>
        <v>283729.29779989587</v>
      </c>
      <c r="CE22" s="81">
        <f>Costs!CE23</f>
        <v>283729.29779989587</v>
      </c>
      <c r="CF22" s="81">
        <f>Costs!CF23</f>
        <v>283729.29779989587</v>
      </c>
      <c r="CG22" s="81">
        <f>Costs!CG23</f>
        <v>283729.29779989587</v>
      </c>
      <c r="CH22" s="81">
        <f>Costs!CH23</f>
        <v>283729.29779989587</v>
      </c>
      <c r="CI22" s="81">
        <f>Costs!CI23</f>
        <v>283729.29779989587</v>
      </c>
      <c r="CJ22" s="81">
        <f>Costs!CJ23</f>
        <v>283729.29779989587</v>
      </c>
      <c r="CK22" s="81">
        <f>Costs!CK23</f>
        <v>283729.29779989587</v>
      </c>
      <c r="CL22" s="81">
        <f>Costs!CL23</f>
        <v>283729.29779989587</v>
      </c>
      <c r="CM22" s="81">
        <f>Costs!CM23</f>
        <v>283729.29779989587</v>
      </c>
      <c r="CN22" s="81">
        <f>Costs!CN23</f>
        <v>292241.17673389276</v>
      </c>
      <c r="CO22" s="81">
        <f>Costs!CO23</f>
        <v>292241.17673389276</v>
      </c>
      <c r="CP22" s="81">
        <f>Costs!CP23</f>
        <v>292241.17673389276</v>
      </c>
      <c r="CQ22" s="81">
        <f>Costs!CQ23</f>
        <v>292241.17673389276</v>
      </c>
      <c r="CR22" s="81">
        <f>Costs!CR23</f>
        <v>292241.17673389276</v>
      </c>
      <c r="CS22" s="81">
        <f>Costs!CS23</f>
        <v>292241.17673389276</v>
      </c>
      <c r="CT22" s="81">
        <f>Costs!CT23</f>
        <v>292241.17673389276</v>
      </c>
      <c r="CU22" s="81">
        <f>Costs!CU23</f>
        <v>300753.05566788965</v>
      </c>
      <c r="CV22" s="81">
        <f>Costs!CV23</f>
        <v>300753.05566788965</v>
      </c>
      <c r="CW22" s="81">
        <f>Costs!CW23</f>
        <v>300753.05566788965</v>
      </c>
      <c r="CX22" s="81">
        <f>Costs!CX23</f>
        <v>300753.05566788965</v>
      </c>
      <c r="CY22" s="81">
        <f>Costs!CY23</f>
        <v>300753.05566788965</v>
      </c>
      <c r="CZ22" s="81">
        <f>Costs!CZ23</f>
        <v>300753.05566788965</v>
      </c>
      <c r="DA22" s="81">
        <f>Costs!DA23</f>
        <v>300753.05566788965</v>
      </c>
      <c r="DB22" s="81">
        <f>Costs!DB23</f>
        <v>300753.05566788965</v>
      </c>
      <c r="DC22" s="81">
        <f>Costs!DC23</f>
        <v>300753.05566788965</v>
      </c>
      <c r="DD22" s="81">
        <f>Costs!DD23</f>
        <v>300753.05566788965</v>
      </c>
      <c r="DE22" s="81">
        <f>Costs!DE23</f>
        <v>300753.05566788965</v>
      </c>
      <c r="DF22" s="81">
        <f>Costs!DF23</f>
        <v>300753.05566788965</v>
      </c>
      <c r="DG22" s="81">
        <f>Costs!DG23</f>
        <v>309264.93460188649</v>
      </c>
      <c r="DH22" s="81">
        <f>Costs!DH23</f>
        <v>309264.93460188649</v>
      </c>
      <c r="DI22" s="81">
        <f>Costs!DI23</f>
        <v>309264.93460188649</v>
      </c>
      <c r="DJ22" s="81">
        <f>Costs!DJ23</f>
        <v>309264.93460188649</v>
      </c>
      <c r="DK22" s="81">
        <f>Costs!DK23</f>
        <v>309264.93460188649</v>
      </c>
      <c r="DL22" s="81">
        <f>Costs!DL23</f>
        <v>309264.93460188649</v>
      </c>
      <c r="DM22" s="81">
        <f>Costs!DM23</f>
        <v>309264.93460188649</v>
      </c>
      <c r="DN22" s="81">
        <f>Costs!DN23</f>
        <v>309264.93460188649</v>
      </c>
      <c r="DO22" s="81">
        <f>Costs!DO23</f>
        <v>309264.93460188649</v>
      </c>
      <c r="DP22" s="81">
        <f>Costs!DP23</f>
        <v>309264.93460188649</v>
      </c>
      <c r="DQ22" s="81">
        <f>Costs!DQ23</f>
        <v>309264.93460188649</v>
      </c>
      <c r="DR22" s="81">
        <f>Costs!DR23</f>
        <v>309264.93460188649</v>
      </c>
      <c r="DS22" s="81">
        <f>Costs!DS23</f>
        <v>317776.81353588338</v>
      </c>
      <c r="DT22" s="81">
        <f>Costs!DT23</f>
        <v>317776.81353588338</v>
      </c>
      <c r="DU22" s="81">
        <f>Costs!DU23</f>
        <v>317776.81353588338</v>
      </c>
      <c r="DV22" s="81">
        <f>Costs!DV23</f>
        <v>317776.81353588338</v>
      </c>
      <c r="DW22" s="81">
        <f>Costs!DW23</f>
        <v>317776.81353588338</v>
      </c>
      <c r="DX22" s="81">
        <f>Costs!DX23</f>
        <v>317776.81353588338</v>
      </c>
      <c r="DY22" s="81">
        <f>Costs!DY23</f>
        <v>317776.81353588338</v>
      </c>
      <c r="DZ22" s="81">
        <f>Costs!DZ23</f>
        <v>317776.81353588338</v>
      </c>
      <c r="EA22" s="81">
        <f>Costs!EA23</f>
        <v>317776.81353588338</v>
      </c>
      <c r="EB22" s="81">
        <f>Costs!EB23</f>
        <v>317776.81353588338</v>
      </c>
      <c r="EC22" s="81">
        <f>Costs!EC23</f>
        <v>317776.81353588338</v>
      </c>
      <c r="ED22" s="81">
        <f>Costs!ED23</f>
        <v>317776.81353588338</v>
      </c>
      <c r="EE22" s="81">
        <f>Costs!EE23</f>
        <v>326288.69246988028</v>
      </c>
      <c r="EF22" s="81">
        <f>Costs!EF23</f>
        <v>326288.69246988028</v>
      </c>
      <c r="EG22" s="81">
        <f>Costs!EG23</f>
        <v>326288.69246988028</v>
      </c>
      <c r="EH22" s="81">
        <f>Costs!EH23</f>
        <v>326288.69246988028</v>
      </c>
      <c r="EI22" s="81">
        <f>Costs!EI23</f>
        <v>326288.69246988028</v>
      </c>
      <c r="EJ22" s="81">
        <f>Costs!EJ23</f>
        <v>326288.69246988028</v>
      </c>
      <c r="EK22" s="81">
        <f>Costs!EK23</f>
        <v>326288.69246988028</v>
      </c>
      <c r="EL22" s="81">
        <f>Costs!EL23</f>
        <v>326288.69246988028</v>
      </c>
      <c r="EM22" s="81">
        <f>Costs!EM23</f>
        <v>326288.69246988028</v>
      </c>
      <c r="EN22" s="81">
        <f>Costs!EN23</f>
        <v>326288.69246988028</v>
      </c>
      <c r="EO22" s="81">
        <f>Costs!EO23</f>
        <v>326288.69246988028</v>
      </c>
      <c r="EP22" s="81">
        <f>Costs!EP23</f>
        <v>326288.69246988028</v>
      </c>
      <c r="EQ22" s="81">
        <f>Costs!EQ23</f>
        <v>334800.57140387717</v>
      </c>
      <c r="ER22" s="81">
        <f>Costs!ER23</f>
        <v>334800.57140387717</v>
      </c>
      <c r="ES22" s="81">
        <f>Costs!ES23</f>
        <v>334800.57140387717</v>
      </c>
      <c r="ET22" s="81">
        <f>Costs!ET23</f>
        <v>334800.57140387717</v>
      </c>
      <c r="EU22" s="81">
        <f>Costs!EU23</f>
        <v>334800.57140387717</v>
      </c>
      <c r="EV22" s="81">
        <f>Costs!EV23</f>
        <v>334800.57140387717</v>
      </c>
      <c r="EW22" s="81">
        <f>Costs!EW23</f>
        <v>334800.57140387717</v>
      </c>
      <c r="EX22" s="81">
        <f>Costs!EX23</f>
        <v>334800.57140387717</v>
      </c>
      <c r="EY22" s="81">
        <f>Costs!EY23</f>
        <v>334800.57140387717</v>
      </c>
      <c r="EZ22" s="81">
        <f>Costs!EZ23</f>
        <v>334800.57140387717</v>
      </c>
      <c r="FA22" s="81">
        <f>Costs!FA23</f>
        <v>334800.57140387717</v>
      </c>
      <c r="FB22" s="81">
        <f>Costs!FB23</f>
        <v>334800.57140387717</v>
      </c>
      <c r="FC22" s="81">
        <f>Costs!FC23</f>
        <v>343312.45033787406</v>
      </c>
      <c r="FD22" s="81">
        <f>Costs!FD23</f>
        <v>343312.45033787406</v>
      </c>
      <c r="FE22" s="81">
        <f>Costs!FE23</f>
        <v>343312.45033787406</v>
      </c>
      <c r="FF22" s="81">
        <f>Costs!FF23</f>
        <v>343312.45033787406</v>
      </c>
      <c r="FG22" s="81">
        <f>Costs!FG23</f>
        <v>343312.45033787406</v>
      </c>
      <c r="FH22" s="81">
        <f>Costs!FH23</f>
        <v>343312.45033787406</v>
      </c>
      <c r="FI22" s="81">
        <f>Costs!FI23</f>
        <v>343312.45033787406</v>
      </c>
      <c r="FJ22" s="81">
        <f>Costs!FJ23</f>
        <v>343312.45033787406</v>
      </c>
      <c r="FK22" s="81">
        <f>Costs!FK23</f>
        <v>343312.45033787406</v>
      </c>
      <c r="FL22" s="81">
        <f>Costs!FL23</f>
        <v>343312.45033787406</v>
      </c>
      <c r="FM22" s="81">
        <f>Costs!FM23</f>
        <v>343312.45033787406</v>
      </c>
      <c r="FN22" s="81">
        <f>Costs!FN23</f>
        <v>343312.45033787406</v>
      </c>
      <c r="FO22" s="81">
        <f>Costs!FO23</f>
        <v>351824.32927187096</v>
      </c>
      <c r="FP22" s="81">
        <f>Costs!FP23</f>
        <v>351824.32927187096</v>
      </c>
      <c r="FQ22" s="81">
        <f>Costs!FQ23</f>
        <v>351824.32927187096</v>
      </c>
      <c r="FR22" s="81">
        <f>Costs!FR23</f>
        <v>351824.32927187096</v>
      </c>
      <c r="FS22" s="81">
        <f>Costs!FS23</f>
        <v>351824.32927187096</v>
      </c>
      <c r="FT22" s="81">
        <f>Costs!FT23</f>
        <v>351824.32927187096</v>
      </c>
      <c r="FU22" s="81">
        <f>Costs!FU23</f>
        <v>351824.32927187096</v>
      </c>
      <c r="FV22" s="81">
        <f>Costs!FV23</f>
        <v>351824.32927187096</v>
      </c>
      <c r="FW22" s="81">
        <f>Costs!FW23</f>
        <v>351824.32927187096</v>
      </c>
      <c r="FX22" s="81">
        <f>Costs!FX23</f>
        <v>351824.32927187096</v>
      </c>
      <c r="FY22" s="81">
        <f>Costs!FY23</f>
        <v>351824.32927187096</v>
      </c>
      <c r="FZ22" s="81">
        <f>Costs!FZ23</f>
        <v>351824.32927187096</v>
      </c>
      <c r="GA22" s="81">
        <f>Costs!GA23</f>
        <v>360336.20820586779</v>
      </c>
      <c r="GB22" s="81">
        <f>Costs!GB23</f>
        <v>360336.20820586779</v>
      </c>
      <c r="GC22" s="81">
        <f>Costs!GC23</f>
        <v>360336.20820586779</v>
      </c>
      <c r="GD22" s="81">
        <f>Costs!GD23</f>
        <v>360336.20820586779</v>
      </c>
      <c r="GE22" s="81">
        <f>Costs!GE23</f>
        <v>360336.20820586779</v>
      </c>
      <c r="GF22" s="81">
        <f>Costs!GF23</f>
        <v>360336.20820586779</v>
      </c>
      <c r="GG22" s="81">
        <f>Costs!GG23</f>
        <v>360336.20820586779</v>
      </c>
      <c r="GH22" s="81">
        <f>Costs!GH23</f>
        <v>360336.20820586779</v>
      </c>
      <c r="GI22" s="81">
        <f>Costs!GI23</f>
        <v>360336.20820586779</v>
      </c>
      <c r="GJ22" s="81">
        <f>Costs!GJ23</f>
        <v>360336.20820586779</v>
      </c>
      <c r="GK22" s="81">
        <f>Costs!GK23</f>
        <v>360336.20820586779</v>
      </c>
      <c r="GL22" s="81">
        <f>Costs!GL23</f>
        <v>360336.20820586779</v>
      </c>
      <c r="GM22" s="81">
        <f>Costs!GM23</f>
        <v>368848.08713986469</v>
      </c>
      <c r="GN22" s="81">
        <f>Costs!GN23</f>
        <v>368848.08713986469</v>
      </c>
      <c r="GO22" s="81">
        <f>Costs!GO23</f>
        <v>368848.08713986469</v>
      </c>
      <c r="GP22" s="81">
        <f>Costs!GP23</f>
        <v>368848.08713986469</v>
      </c>
      <c r="GQ22" s="81">
        <f>Costs!GQ23</f>
        <v>368848.08713986469</v>
      </c>
      <c r="GR22" s="81">
        <f>Costs!GR23</f>
        <v>368848.08713986469</v>
      </c>
      <c r="GS22" s="81">
        <f>Costs!GS23</f>
        <v>368848.08713986469</v>
      </c>
      <c r="GT22" s="81">
        <f>Costs!GT23</f>
        <v>368848.08713986469</v>
      </c>
      <c r="GU22" s="81">
        <f>Costs!GU23</f>
        <v>368848.08713986469</v>
      </c>
      <c r="GV22" s="81">
        <f>Costs!GV23</f>
        <v>368848.08713986469</v>
      </c>
      <c r="GW22" s="81">
        <f>Costs!GW23</f>
        <v>368848.08713986469</v>
      </c>
      <c r="GX22" s="81">
        <f>Costs!GX23</f>
        <v>368848.08713986469</v>
      </c>
      <c r="GY22" s="81">
        <f>Costs!GY23</f>
        <v>377359.96607386158</v>
      </c>
      <c r="GZ22" s="81">
        <f>Costs!GZ23</f>
        <v>377359.96607386158</v>
      </c>
      <c r="HA22" s="81">
        <f>Costs!HA23</f>
        <v>377359.96607386158</v>
      </c>
      <c r="HB22" s="81">
        <f>Costs!HB23</f>
        <v>377359.96607386158</v>
      </c>
      <c r="HC22" s="81">
        <f>Costs!HC23</f>
        <v>377359.96607386158</v>
      </c>
      <c r="HD22" s="81">
        <f>Costs!HD23</f>
        <v>377359.96607386158</v>
      </c>
      <c r="HE22" s="81">
        <f>Costs!HE23</f>
        <v>377359.96607386158</v>
      </c>
      <c r="HF22" s="81">
        <f>Costs!HF23</f>
        <v>377359.96607386158</v>
      </c>
      <c r="HG22" s="81">
        <f>Costs!HG23</f>
        <v>377359.96607386158</v>
      </c>
      <c r="HH22" s="81">
        <f>Costs!HH23</f>
        <v>377359.96607386158</v>
      </c>
      <c r="HI22" s="81">
        <f>Costs!HI23</f>
        <v>377359.96607386158</v>
      </c>
      <c r="HJ22" s="81">
        <f>Costs!HJ23</f>
        <v>377359.96607386158</v>
      </c>
      <c r="HK22" s="81">
        <f>Costs!HK23</f>
        <v>377359.96607386158</v>
      </c>
      <c r="HL22" s="81">
        <f>Costs!HL23</f>
        <v>377359.96607386158</v>
      </c>
      <c r="HM22" s="81">
        <f>Costs!HM23</f>
        <v>377359.96607386158</v>
      </c>
      <c r="HN22" s="81">
        <f>Costs!HN23</f>
        <v>377359.96607386158</v>
      </c>
      <c r="HO22" s="81">
        <f>Costs!HO23</f>
        <v>377359.96607386158</v>
      </c>
      <c r="HP22" s="81">
        <f>Costs!HP23</f>
        <v>377359.96607386158</v>
      </c>
      <c r="HQ22" s="81">
        <f>Costs!HQ23</f>
        <v>377359.96607386158</v>
      </c>
      <c r="HR22" s="81">
        <f>Costs!HR23</f>
        <v>377359.96607386158</v>
      </c>
      <c r="HS22" s="81">
        <f>Costs!HS23</f>
        <v>377359.96607386158</v>
      </c>
      <c r="HT22" s="81">
        <f>Costs!HT23</f>
        <v>377359.96607386158</v>
      </c>
      <c r="HU22" s="81">
        <f>Costs!HU23</f>
        <v>377359.96607386158</v>
      </c>
      <c r="HV22" s="81">
        <f>Costs!HV23</f>
        <v>377359.96607386158</v>
      </c>
      <c r="HW22" s="81">
        <f>Costs!HW23</f>
        <v>377359.96607386158</v>
      </c>
      <c r="HX22" s="81">
        <f>Costs!HX23</f>
        <v>377359.96607386158</v>
      </c>
      <c r="HY22" s="81">
        <f>Costs!HY23</f>
        <v>377359.96607386158</v>
      </c>
      <c r="HZ22" s="81">
        <f>Costs!HZ23</f>
        <v>377359.96607386158</v>
      </c>
      <c r="IA22" s="81">
        <f>Costs!IA23</f>
        <v>377359.96607386158</v>
      </c>
      <c r="IB22" s="81">
        <f>Costs!IB23</f>
        <v>377359.96607386158</v>
      </c>
      <c r="IC22" s="81">
        <f>Costs!IC23</f>
        <v>377359.96607386158</v>
      </c>
      <c r="ID22" s="81">
        <f>Costs!ID23</f>
        <v>377359.96607386158</v>
      </c>
      <c r="IE22" s="81">
        <f>Costs!IE23</f>
        <v>377359.96607386158</v>
      </c>
      <c r="IF22" s="81">
        <f>Costs!IF23</f>
        <v>377359.96607386158</v>
      </c>
      <c r="IG22" s="81">
        <f>Costs!IG23</f>
        <v>377359.96607386158</v>
      </c>
      <c r="IH22" s="81">
        <f>Costs!IH23</f>
        <v>377359.96607386158</v>
      </c>
    </row>
    <row r="23" spans="1:242" x14ac:dyDescent="0.45">
      <c r="A23" s="895" t="s">
        <v>223</v>
      </c>
      <c r="B23" s="896"/>
      <c r="C23" s="81">
        <f>Costs!C24</f>
        <v>5000</v>
      </c>
      <c r="D23" s="81">
        <f>Costs!D24</f>
        <v>5000</v>
      </c>
      <c r="E23" s="81">
        <f>Costs!E24</f>
        <v>5000</v>
      </c>
      <c r="F23" s="81">
        <f>Costs!F24</f>
        <v>5000</v>
      </c>
      <c r="G23" s="81">
        <f>Costs!G24</f>
        <v>5000</v>
      </c>
      <c r="H23" s="81">
        <f>Costs!H24</f>
        <v>5000</v>
      </c>
      <c r="I23" s="81">
        <f>Costs!I24</f>
        <v>5000</v>
      </c>
      <c r="J23" s="81">
        <f>Costs!J24</f>
        <v>5000</v>
      </c>
      <c r="K23" s="81">
        <f>Costs!K24</f>
        <v>5000</v>
      </c>
      <c r="L23" s="81">
        <f>Costs!L24</f>
        <v>5000</v>
      </c>
      <c r="M23" s="81">
        <f>Costs!M24</f>
        <v>5000</v>
      </c>
      <c r="N23" s="81">
        <f>Costs!N24</f>
        <v>5000</v>
      </c>
      <c r="O23" s="81">
        <f>Costs!O24</f>
        <v>5000</v>
      </c>
      <c r="P23" s="81">
        <f>Costs!P24</f>
        <v>5000</v>
      </c>
      <c r="Q23" s="81">
        <f>Costs!Q24</f>
        <v>5000</v>
      </c>
      <c r="R23" s="81">
        <f>Costs!R24</f>
        <v>5000</v>
      </c>
      <c r="S23" s="81">
        <f>Costs!S24</f>
        <v>5000</v>
      </c>
      <c r="T23" s="81">
        <f>Costs!T24</f>
        <v>5000</v>
      </c>
      <c r="U23" s="81">
        <f>Costs!U24</f>
        <v>5000</v>
      </c>
      <c r="V23" s="81">
        <f>Costs!V24</f>
        <v>5000</v>
      </c>
      <c r="W23" s="81">
        <f>Costs!W24</f>
        <v>5000</v>
      </c>
      <c r="X23" s="81">
        <f>Costs!X24</f>
        <v>5000</v>
      </c>
      <c r="Y23" s="81">
        <f>Costs!Y24</f>
        <v>5000</v>
      </c>
      <c r="Z23" s="81">
        <f>Costs!Z24</f>
        <v>5000</v>
      </c>
      <c r="AA23" s="81">
        <f>Costs!AA24</f>
        <v>15000</v>
      </c>
      <c r="AB23" s="81">
        <f>Costs!AB24</f>
        <v>15000</v>
      </c>
      <c r="AC23" s="81">
        <f>Costs!AC24</f>
        <v>15000</v>
      </c>
      <c r="AD23" s="81">
        <f>Costs!AD24</f>
        <v>15000</v>
      </c>
      <c r="AE23" s="81">
        <f>Costs!AE24</f>
        <v>15000</v>
      </c>
      <c r="AF23" s="81">
        <f>Costs!AF24</f>
        <v>15000</v>
      </c>
      <c r="AG23" s="81">
        <f>Costs!AG24</f>
        <v>15000</v>
      </c>
      <c r="AH23" s="81">
        <f>Costs!AH24</f>
        <v>15000</v>
      </c>
      <c r="AI23" s="81">
        <f>Costs!AI24</f>
        <v>15000</v>
      </c>
      <c r="AJ23" s="81">
        <f>Costs!AJ24</f>
        <v>15000</v>
      </c>
      <c r="AK23" s="81">
        <f>Costs!AK24</f>
        <v>15000</v>
      </c>
      <c r="AL23" s="81">
        <f>Costs!AL24</f>
        <v>15000</v>
      </c>
      <c r="AM23" s="81">
        <f>Costs!AM24</f>
        <v>15000</v>
      </c>
      <c r="AN23" s="81">
        <f>Costs!AN24</f>
        <v>15000</v>
      </c>
      <c r="AO23" s="81">
        <f>Costs!AO24</f>
        <v>15000</v>
      </c>
      <c r="AP23" s="81">
        <f>Costs!AP24</f>
        <v>15000</v>
      </c>
      <c r="AQ23" s="81">
        <f>Costs!AQ24</f>
        <v>15000</v>
      </c>
      <c r="AR23" s="81">
        <f>Costs!AR24</f>
        <v>15000</v>
      </c>
      <c r="AS23" s="81">
        <f>Costs!AS24</f>
        <v>15000</v>
      </c>
      <c r="AT23" s="81">
        <f>Costs!AT24</f>
        <v>15000</v>
      </c>
      <c r="AU23" s="81">
        <f>Costs!AU24</f>
        <v>15000</v>
      </c>
      <c r="AV23" s="81">
        <f>Costs!AV24</f>
        <v>15000</v>
      </c>
      <c r="AW23" s="81">
        <f>Costs!AW24</f>
        <v>15000</v>
      </c>
      <c r="AX23" s="81">
        <f>Costs!AX24</f>
        <v>15000</v>
      </c>
      <c r="AY23" s="81">
        <f>Costs!AY24</f>
        <v>15000</v>
      </c>
      <c r="AZ23" s="81">
        <f>Costs!AZ24</f>
        <v>15000</v>
      </c>
      <c r="BA23" s="81">
        <f>Costs!BA24</f>
        <v>15000</v>
      </c>
      <c r="BB23" s="81">
        <f>Costs!BB24</f>
        <v>15000</v>
      </c>
      <c r="BC23" s="81">
        <f>Costs!BC24</f>
        <v>15000</v>
      </c>
      <c r="BD23" s="81">
        <f>Costs!BD24</f>
        <v>15000</v>
      </c>
      <c r="BE23" s="81">
        <f>Costs!BE24</f>
        <v>15000</v>
      </c>
      <c r="BF23" s="81">
        <f>Costs!BF24</f>
        <v>15000</v>
      </c>
      <c r="BG23" s="81">
        <f>Costs!BG24</f>
        <v>15000</v>
      </c>
      <c r="BH23" s="81">
        <f>Costs!BH24</f>
        <v>15000</v>
      </c>
      <c r="BI23" s="81">
        <f>Costs!BI24</f>
        <v>15000</v>
      </c>
      <c r="BJ23" s="81">
        <f>Costs!BJ24</f>
        <v>15000</v>
      </c>
      <c r="BK23" s="81">
        <f>Costs!BK24</f>
        <v>15000</v>
      </c>
      <c r="BL23" s="81">
        <f>Costs!BL24</f>
        <v>15000</v>
      </c>
      <c r="BM23" s="81">
        <f>Costs!BM24</f>
        <v>15000</v>
      </c>
      <c r="BN23" s="81">
        <f>Costs!BN24</f>
        <v>15000</v>
      </c>
      <c r="BO23" s="81">
        <f>Costs!BO24</f>
        <v>15000</v>
      </c>
      <c r="BP23" s="81">
        <f>Costs!BP24</f>
        <v>15000</v>
      </c>
      <c r="BQ23" s="81">
        <f>Costs!BQ24</f>
        <v>15000</v>
      </c>
      <c r="BR23" s="81">
        <f>Costs!BR24</f>
        <v>15000</v>
      </c>
      <c r="BS23" s="81">
        <f>Costs!BS24</f>
        <v>15000</v>
      </c>
      <c r="BT23" s="81">
        <f>Costs!BT24</f>
        <v>15000</v>
      </c>
      <c r="BU23" s="81">
        <f>Costs!BU24</f>
        <v>15000</v>
      </c>
      <c r="BV23" s="81">
        <f>Costs!BV24</f>
        <v>15000</v>
      </c>
      <c r="BW23" s="81">
        <f>Costs!BW24</f>
        <v>20000</v>
      </c>
      <c r="BX23" s="81">
        <f>Costs!BX24</f>
        <v>20000</v>
      </c>
      <c r="BY23" s="81">
        <f>Costs!BY24</f>
        <v>20000</v>
      </c>
      <c r="BZ23" s="81">
        <f>Costs!BZ24</f>
        <v>20000</v>
      </c>
      <c r="CA23" s="81">
        <f>Costs!CA24</f>
        <v>20000</v>
      </c>
      <c r="CB23" s="81">
        <f>Costs!CB24</f>
        <v>20000</v>
      </c>
      <c r="CC23" s="81">
        <f>Costs!CC24</f>
        <v>20000</v>
      </c>
      <c r="CD23" s="81">
        <f>Costs!CD24</f>
        <v>20000</v>
      </c>
      <c r="CE23" s="81">
        <f>Costs!CE24</f>
        <v>20000</v>
      </c>
      <c r="CF23" s="81">
        <f>Costs!CF24</f>
        <v>20000</v>
      </c>
      <c r="CG23" s="81">
        <f>Costs!CG24</f>
        <v>20000</v>
      </c>
      <c r="CH23" s="81">
        <f>Costs!CH24</f>
        <v>20000</v>
      </c>
      <c r="CI23" s="81">
        <f>Costs!CI24</f>
        <v>20000</v>
      </c>
      <c r="CJ23" s="81">
        <f>Costs!CJ24</f>
        <v>20000</v>
      </c>
      <c r="CK23" s="81">
        <f>Costs!CK24</f>
        <v>20000</v>
      </c>
      <c r="CL23" s="81">
        <f>Costs!CL24</f>
        <v>20000</v>
      </c>
      <c r="CM23" s="81">
        <f>Costs!CM24</f>
        <v>20000</v>
      </c>
      <c r="CN23" s="81">
        <f>Costs!CN24</f>
        <v>20600</v>
      </c>
      <c r="CO23" s="81">
        <f>Costs!CO24</f>
        <v>20600</v>
      </c>
      <c r="CP23" s="81">
        <f>Costs!CP24</f>
        <v>20600</v>
      </c>
      <c r="CQ23" s="81">
        <f>Costs!CQ24</f>
        <v>20600</v>
      </c>
      <c r="CR23" s="81">
        <f>Costs!CR24</f>
        <v>20600</v>
      </c>
      <c r="CS23" s="81">
        <f>Costs!CS24</f>
        <v>20600</v>
      </c>
      <c r="CT23" s="81">
        <f>Costs!CT24</f>
        <v>20600</v>
      </c>
      <c r="CU23" s="81">
        <f>Costs!CU24</f>
        <v>21200</v>
      </c>
      <c r="CV23" s="81">
        <f>Costs!CV24</f>
        <v>21200</v>
      </c>
      <c r="CW23" s="81">
        <f>Costs!CW24</f>
        <v>21200</v>
      </c>
      <c r="CX23" s="81">
        <f>Costs!CX24</f>
        <v>21200</v>
      </c>
      <c r="CY23" s="81">
        <f>Costs!CY24</f>
        <v>21200</v>
      </c>
      <c r="CZ23" s="81">
        <f>Costs!CZ24</f>
        <v>21200</v>
      </c>
      <c r="DA23" s="81">
        <f>Costs!DA24</f>
        <v>21200</v>
      </c>
      <c r="DB23" s="81">
        <f>Costs!DB24</f>
        <v>21200</v>
      </c>
      <c r="DC23" s="81">
        <f>Costs!DC24</f>
        <v>21200</v>
      </c>
      <c r="DD23" s="81">
        <f>Costs!DD24</f>
        <v>21200</v>
      </c>
      <c r="DE23" s="81">
        <f>Costs!DE24</f>
        <v>21200</v>
      </c>
      <c r="DF23" s="81">
        <f>Costs!DF24</f>
        <v>21200</v>
      </c>
      <c r="DG23" s="81">
        <f>Costs!DG24</f>
        <v>21800</v>
      </c>
      <c r="DH23" s="81">
        <f>Costs!DH24</f>
        <v>21800</v>
      </c>
      <c r="DI23" s="81">
        <f>Costs!DI24</f>
        <v>21800</v>
      </c>
      <c r="DJ23" s="81">
        <f>Costs!DJ24</f>
        <v>21800</v>
      </c>
      <c r="DK23" s="81">
        <f>Costs!DK24</f>
        <v>21800</v>
      </c>
      <c r="DL23" s="81">
        <f>Costs!DL24</f>
        <v>21800</v>
      </c>
      <c r="DM23" s="81">
        <f>Costs!DM24</f>
        <v>21800</v>
      </c>
      <c r="DN23" s="81">
        <f>Costs!DN24</f>
        <v>21800</v>
      </c>
      <c r="DO23" s="81">
        <f>Costs!DO24</f>
        <v>21800</v>
      </c>
      <c r="DP23" s="81">
        <f>Costs!DP24</f>
        <v>21800</v>
      </c>
      <c r="DQ23" s="81">
        <f>Costs!DQ24</f>
        <v>21800</v>
      </c>
      <c r="DR23" s="81">
        <f>Costs!DR24</f>
        <v>21800</v>
      </c>
      <c r="DS23" s="81">
        <f>Costs!DS24</f>
        <v>22400.000000000004</v>
      </c>
      <c r="DT23" s="81">
        <f>Costs!DT24</f>
        <v>22400.000000000004</v>
      </c>
      <c r="DU23" s="81">
        <f>Costs!DU24</f>
        <v>22400.000000000004</v>
      </c>
      <c r="DV23" s="81">
        <f>Costs!DV24</f>
        <v>22400.000000000004</v>
      </c>
      <c r="DW23" s="81">
        <f>Costs!DW24</f>
        <v>22400.000000000004</v>
      </c>
      <c r="DX23" s="81">
        <f>Costs!DX24</f>
        <v>22400.000000000004</v>
      </c>
      <c r="DY23" s="81">
        <f>Costs!DY24</f>
        <v>22400.000000000004</v>
      </c>
      <c r="DZ23" s="81">
        <f>Costs!DZ24</f>
        <v>22400.000000000004</v>
      </c>
      <c r="EA23" s="81">
        <f>Costs!EA24</f>
        <v>22400.000000000004</v>
      </c>
      <c r="EB23" s="81">
        <f>Costs!EB24</f>
        <v>22400.000000000004</v>
      </c>
      <c r="EC23" s="81">
        <f>Costs!EC24</f>
        <v>22400.000000000004</v>
      </c>
      <c r="ED23" s="81">
        <f>Costs!ED24</f>
        <v>22400.000000000004</v>
      </c>
      <c r="EE23" s="81">
        <f>Costs!EE24</f>
        <v>23000.000000000004</v>
      </c>
      <c r="EF23" s="81">
        <f>Costs!EF24</f>
        <v>23000.000000000004</v>
      </c>
      <c r="EG23" s="81">
        <f>Costs!EG24</f>
        <v>23000.000000000004</v>
      </c>
      <c r="EH23" s="81">
        <f>Costs!EH24</f>
        <v>23000.000000000004</v>
      </c>
      <c r="EI23" s="81">
        <f>Costs!EI24</f>
        <v>23000.000000000004</v>
      </c>
      <c r="EJ23" s="81">
        <f>Costs!EJ24</f>
        <v>23000.000000000004</v>
      </c>
      <c r="EK23" s="81">
        <f>Costs!EK24</f>
        <v>23000.000000000004</v>
      </c>
      <c r="EL23" s="81">
        <f>Costs!EL24</f>
        <v>23000.000000000004</v>
      </c>
      <c r="EM23" s="81">
        <f>Costs!EM24</f>
        <v>23000.000000000004</v>
      </c>
      <c r="EN23" s="81">
        <f>Costs!EN24</f>
        <v>23000.000000000004</v>
      </c>
      <c r="EO23" s="81">
        <f>Costs!EO24</f>
        <v>23000.000000000004</v>
      </c>
      <c r="EP23" s="81">
        <f>Costs!EP24</f>
        <v>23000.000000000004</v>
      </c>
      <c r="EQ23" s="81">
        <f>Costs!EQ24</f>
        <v>23600.000000000004</v>
      </c>
      <c r="ER23" s="81">
        <f>Costs!ER24</f>
        <v>23600.000000000004</v>
      </c>
      <c r="ES23" s="81">
        <f>Costs!ES24</f>
        <v>23600.000000000004</v>
      </c>
      <c r="ET23" s="81">
        <f>Costs!ET24</f>
        <v>23600.000000000004</v>
      </c>
      <c r="EU23" s="81">
        <f>Costs!EU24</f>
        <v>23600.000000000004</v>
      </c>
      <c r="EV23" s="81">
        <f>Costs!EV24</f>
        <v>23600.000000000004</v>
      </c>
      <c r="EW23" s="81">
        <f>Costs!EW24</f>
        <v>23600.000000000004</v>
      </c>
      <c r="EX23" s="81">
        <f>Costs!EX24</f>
        <v>23600.000000000004</v>
      </c>
      <c r="EY23" s="81">
        <f>Costs!EY24</f>
        <v>23600.000000000004</v>
      </c>
      <c r="EZ23" s="81">
        <f>Costs!EZ24</f>
        <v>23600.000000000004</v>
      </c>
      <c r="FA23" s="81">
        <f>Costs!FA24</f>
        <v>23600.000000000004</v>
      </c>
      <c r="FB23" s="81">
        <f>Costs!FB24</f>
        <v>23600.000000000004</v>
      </c>
      <c r="FC23" s="81">
        <f>Costs!FC24</f>
        <v>24200.000000000004</v>
      </c>
      <c r="FD23" s="81">
        <f>Costs!FD24</f>
        <v>24200.000000000004</v>
      </c>
      <c r="FE23" s="81">
        <f>Costs!FE24</f>
        <v>24200.000000000004</v>
      </c>
      <c r="FF23" s="81">
        <f>Costs!FF24</f>
        <v>24200.000000000004</v>
      </c>
      <c r="FG23" s="81">
        <f>Costs!FG24</f>
        <v>24200.000000000004</v>
      </c>
      <c r="FH23" s="81">
        <f>Costs!FH24</f>
        <v>24200.000000000004</v>
      </c>
      <c r="FI23" s="81">
        <f>Costs!FI24</f>
        <v>24200.000000000004</v>
      </c>
      <c r="FJ23" s="81">
        <f>Costs!FJ24</f>
        <v>24200.000000000004</v>
      </c>
      <c r="FK23" s="81">
        <f>Costs!FK24</f>
        <v>24200.000000000004</v>
      </c>
      <c r="FL23" s="81">
        <f>Costs!FL24</f>
        <v>24200.000000000004</v>
      </c>
      <c r="FM23" s="81">
        <f>Costs!FM24</f>
        <v>24200.000000000004</v>
      </c>
      <c r="FN23" s="81">
        <f>Costs!FN24</f>
        <v>24200.000000000004</v>
      </c>
      <c r="FO23" s="81">
        <f>Costs!FO24</f>
        <v>24800.000000000004</v>
      </c>
      <c r="FP23" s="81">
        <f>Costs!FP24</f>
        <v>24800.000000000004</v>
      </c>
      <c r="FQ23" s="81">
        <f>Costs!FQ24</f>
        <v>24800.000000000004</v>
      </c>
      <c r="FR23" s="81">
        <f>Costs!FR24</f>
        <v>24800.000000000004</v>
      </c>
      <c r="FS23" s="81">
        <f>Costs!FS24</f>
        <v>24800.000000000004</v>
      </c>
      <c r="FT23" s="81">
        <f>Costs!FT24</f>
        <v>24800.000000000004</v>
      </c>
      <c r="FU23" s="81">
        <f>Costs!FU24</f>
        <v>24800.000000000004</v>
      </c>
      <c r="FV23" s="81">
        <f>Costs!FV24</f>
        <v>24800.000000000004</v>
      </c>
      <c r="FW23" s="81">
        <f>Costs!FW24</f>
        <v>24800.000000000004</v>
      </c>
      <c r="FX23" s="81">
        <f>Costs!FX24</f>
        <v>24800.000000000004</v>
      </c>
      <c r="FY23" s="81">
        <f>Costs!FY24</f>
        <v>24800.000000000004</v>
      </c>
      <c r="FZ23" s="81">
        <f>Costs!FZ24</f>
        <v>24800.000000000004</v>
      </c>
      <c r="GA23" s="81">
        <f>Costs!GA24</f>
        <v>25400.000000000004</v>
      </c>
      <c r="GB23" s="81">
        <f>Costs!GB24</f>
        <v>25400.000000000004</v>
      </c>
      <c r="GC23" s="81">
        <f>Costs!GC24</f>
        <v>25400.000000000004</v>
      </c>
      <c r="GD23" s="81">
        <f>Costs!GD24</f>
        <v>25400.000000000004</v>
      </c>
      <c r="GE23" s="81">
        <f>Costs!GE24</f>
        <v>25400.000000000004</v>
      </c>
      <c r="GF23" s="81">
        <f>Costs!GF24</f>
        <v>25400.000000000004</v>
      </c>
      <c r="GG23" s="81">
        <f>Costs!GG24</f>
        <v>25400.000000000004</v>
      </c>
      <c r="GH23" s="81">
        <f>Costs!GH24</f>
        <v>25400.000000000004</v>
      </c>
      <c r="GI23" s="81">
        <f>Costs!GI24</f>
        <v>25400.000000000004</v>
      </c>
      <c r="GJ23" s="81">
        <f>Costs!GJ24</f>
        <v>25400.000000000004</v>
      </c>
      <c r="GK23" s="81">
        <f>Costs!GK24</f>
        <v>25400.000000000004</v>
      </c>
      <c r="GL23" s="81">
        <f>Costs!GL24</f>
        <v>25400.000000000004</v>
      </c>
      <c r="GM23" s="81">
        <f>Costs!GM24</f>
        <v>26000.000000000004</v>
      </c>
      <c r="GN23" s="81">
        <f>Costs!GN24</f>
        <v>26000.000000000004</v>
      </c>
      <c r="GO23" s="81">
        <f>Costs!GO24</f>
        <v>26000.000000000004</v>
      </c>
      <c r="GP23" s="81">
        <f>Costs!GP24</f>
        <v>26000.000000000004</v>
      </c>
      <c r="GQ23" s="81">
        <f>Costs!GQ24</f>
        <v>26000.000000000004</v>
      </c>
      <c r="GR23" s="81">
        <f>Costs!GR24</f>
        <v>26000.000000000004</v>
      </c>
      <c r="GS23" s="81">
        <f>Costs!GS24</f>
        <v>26000.000000000004</v>
      </c>
      <c r="GT23" s="81">
        <f>Costs!GT24</f>
        <v>26000.000000000004</v>
      </c>
      <c r="GU23" s="81">
        <f>Costs!GU24</f>
        <v>26000.000000000004</v>
      </c>
      <c r="GV23" s="81">
        <f>Costs!GV24</f>
        <v>26000.000000000004</v>
      </c>
      <c r="GW23" s="81">
        <f>Costs!GW24</f>
        <v>26000.000000000004</v>
      </c>
      <c r="GX23" s="81">
        <f>Costs!GX24</f>
        <v>26000.000000000004</v>
      </c>
      <c r="GY23" s="81">
        <f>Costs!GY24</f>
        <v>26600.000000000007</v>
      </c>
      <c r="GZ23" s="81">
        <f>Costs!GZ24</f>
        <v>26600.000000000007</v>
      </c>
      <c r="HA23" s="81">
        <f>Costs!HA24</f>
        <v>26600.000000000007</v>
      </c>
      <c r="HB23" s="81">
        <f>Costs!HB24</f>
        <v>26600.000000000007</v>
      </c>
      <c r="HC23" s="81">
        <f>Costs!HC24</f>
        <v>26600.000000000007</v>
      </c>
      <c r="HD23" s="81">
        <f>Costs!HD24</f>
        <v>26600.000000000007</v>
      </c>
      <c r="HE23" s="81">
        <f>Costs!HE24</f>
        <v>26600.000000000007</v>
      </c>
      <c r="HF23" s="81">
        <f>Costs!HF24</f>
        <v>26600.000000000007</v>
      </c>
      <c r="HG23" s="81">
        <f>Costs!HG24</f>
        <v>26600.000000000007</v>
      </c>
      <c r="HH23" s="81">
        <f>Costs!HH24</f>
        <v>26600.000000000007</v>
      </c>
      <c r="HI23" s="81">
        <f>Costs!HI24</f>
        <v>26600.000000000007</v>
      </c>
      <c r="HJ23" s="81">
        <f>Costs!HJ24</f>
        <v>26600.000000000007</v>
      </c>
      <c r="HK23" s="81">
        <f>Costs!HK24</f>
        <v>26600.000000000007</v>
      </c>
      <c r="HL23" s="81">
        <f>Costs!HL24</f>
        <v>26600.000000000007</v>
      </c>
      <c r="HM23" s="81">
        <f>Costs!HM24</f>
        <v>26600.000000000007</v>
      </c>
      <c r="HN23" s="81">
        <f>Costs!HN24</f>
        <v>26600.000000000007</v>
      </c>
      <c r="HO23" s="81">
        <f>Costs!HO24</f>
        <v>26600.000000000007</v>
      </c>
      <c r="HP23" s="81">
        <f>Costs!HP24</f>
        <v>26600.000000000007</v>
      </c>
      <c r="HQ23" s="81">
        <f>Costs!HQ24</f>
        <v>26600.000000000007</v>
      </c>
      <c r="HR23" s="81">
        <f>Costs!HR24</f>
        <v>26600.000000000007</v>
      </c>
      <c r="HS23" s="81">
        <f>Costs!HS24</f>
        <v>26600.000000000007</v>
      </c>
      <c r="HT23" s="81">
        <f>Costs!HT24</f>
        <v>26600.000000000007</v>
      </c>
      <c r="HU23" s="81">
        <f>Costs!HU24</f>
        <v>26600.000000000007</v>
      </c>
      <c r="HV23" s="81">
        <f>Costs!HV24</f>
        <v>26600.000000000007</v>
      </c>
      <c r="HW23" s="81">
        <f>Costs!HW24</f>
        <v>26600.000000000007</v>
      </c>
      <c r="HX23" s="81">
        <f>Costs!HX24</f>
        <v>26600.000000000007</v>
      </c>
      <c r="HY23" s="81">
        <f>Costs!HY24</f>
        <v>26600.000000000007</v>
      </c>
      <c r="HZ23" s="81">
        <f>Costs!HZ24</f>
        <v>26600.000000000007</v>
      </c>
      <c r="IA23" s="81">
        <f>Costs!IA24</f>
        <v>26600.000000000007</v>
      </c>
      <c r="IB23" s="81">
        <f>Costs!IB24</f>
        <v>26600.000000000007</v>
      </c>
      <c r="IC23" s="81">
        <f>Costs!IC24</f>
        <v>26600.000000000007</v>
      </c>
      <c r="ID23" s="81">
        <f>Costs!ID24</f>
        <v>26600.000000000007</v>
      </c>
      <c r="IE23" s="81">
        <f>Costs!IE24</f>
        <v>26600.000000000007</v>
      </c>
      <c r="IF23" s="81">
        <f>Costs!IF24</f>
        <v>26600.000000000007</v>
      </c>
      <c r="IG23" s="81">
        <f>Costs!IG24</f>
        <v>26600.000000000007</v>
      </c>
      <c r="IH23" s="81">
        <f>Costs!IH24</f>
        <v>26600.000000000007</v>
      </c>
    </row>
    <row r="24" spans="1:242" x14ac:dyDescent="0.45">
      <c r="A24" s="895" t="s">
        <v>224</v>
      </c>
      <c r="B24" s="896"/>
      <c r="C24" s="81">
        <f>Costs!C25</f>
        <v>12500</v>
      </c>
      <c r="D24" s="81">
        <f>Costs!D25</f>
        <v>12500</v>
      </c>
      <c r="E24" s="81">
        <f>Costs!E25</f>
        <v>12500</v>
      </c>
      <c r="F24" s="81">
        <f>Costs!F25</f>
        <v>12500</v>
      </c>
      <c r="G24" s="81">
        <f>Costs!G25</f>
        <v>12500</v>
      </c>
      <c r="H24" s="81">
        <f>Costs!H25</f>
        <v>12500</v>
      </c>
      <c r="I24" s="81">
        <f>Costs!I25</f>
        <v>12500</v>
      </c>
      <c r="J24" s="81">
        <f>Costs!J25</f>
        <v>12500</v>
      </c>
      <c r="K24" s="81">
        <f>Costs!K25</f>
        <v>12500</v>
      </c>
      <c r="L24" s="81">
        <f>Costs!L25</f>
        <v>12500</v>
      </c>
      <c r="M24" s="81">
        <f>Costs!M25</f>
        <v>12500</v>
      </c>
      <c r="N24" s="81">
        <f>Costs!N25</f>
        <v>12500</v>
      </c>
      <c r="O24" s="81">
        <f>Costs!O25</f>
        <v>12500</v>
      </c>
      <c r="P24" s="81">
        <f>Costs!P25</f>
        <v>12500</v>
      </c>
      <c r="Q24" s="81">
        <f>Costs!Q25</f>
        <v>12500</v>
      </c>
      <c r="R24" s="81">
        <f>Costs!R25</f>
        <v>12500</v>
      </c>
      <c r="S24" s="81">
        <f>Costs!S25</f>
        <v>12500</v>
      </c>
      <c r="T24" s="81">
        <f>Costs!T25</f>
        <v>12500</v>
      </c>
      <c r="U24" s="81">
        <f>Costs!U25</f>
        <v>12500</v>
      </c>
      <c r="V24" s="81">
        <f>Costs!V25</f>
        <v>12500</v>
      </c>
      <c r="W24" s="81">
        <f>Costs!W25</f>
        <v>12500</v>
      </c>
      <c r="X24" s="81">
        <f>Costs!X25</f>
        <v>12500</v>
      </c>
      <c r="Y24" s="81">
        <f>Costs!Y25</f>
        <v>12500</v>
      </c>
      <c r="Z24" s="81">
        <f>Costs!Z25</f>
        <v>12500</v>
      </c>
      <c r="AA24" s="81">
        <f>Costs!AA25</f>
        <v>37500</v>
      </c>
      <c r="AB24" s="81">
        <f>Costs!AB25</f>
        <v>37500</v>
      </c>
      <c r="AC24" s="81">
        <f>Costs!AC25</f>
        <v>37500</v>
      </c>
      <c r="AD24" s="81">
        <f>Costs!AD25</f>
        <v>37500</v>
      </c>
      <c r="AE24" s="81">
        <f>Costs!AE25</f>
        <v>37500</v>
      </c>
      <c r="AF24" s="81">
        <f>Costs!AF25</f>
        <v>37500</v>
      </c>
      <c r="AG24" s="81">
        <f>Costs!AG25</f>
        <v>37500</v>
      </c>
      <c r="AH24" s="81">
        <f>Costs!AH25</f>
        <v>37500</v>
      </c>
      <c r="AI24" s="81">
        <f>Costs!AI25</f>
        <v>37500</v>
      </c>
      <c r="AJ24" s="81">
        <f>Costs!AJ25</f>
        <v>37500</v>
      </c>
      <c r="AK24" s="81">
        <f>Costs!AK25</f>
        <v>37500</v>
      </c>
      <c r="AL24" s="81">
        <f>Costs!AL25</f>
        <v>37500</v>
      </c>
      <c r="AM24" s="81">
        <f>Costs!AM25</f>
        <v>37500</v>
      </c>
      <c r="AN24" s="81">
        <f>Costs!AN25</f>
        <v>37500</v>
      </c>
      <c r="AO24" s="81">
        <f>Costs!AO25</f>
        <v>37500</v>
      </c>
      <c r="AP24" s="81">
        <f>Costs!AP25</f>
        <v>37500</v>
      </c>
      <c r="AQ24" s="81">
        <f>Costs!AQ25</f>
        <v>37500</v>
      </c>
      <c r="AR24" s="81">
        <f>Costs!AR25</f>
        <v>37500</v>
      </c>
      <c r="AS24" s="81">
        <f>Costs!AS25</f>
        <v>37500</v>
      </c>
      <c r="AT24" s="81">
        <f>Costs!AT25</f>
        <v>37500</v>
      </c>
      <c r="AU24" s="81">
        <f>Costs!AU25</f>
        <v>37500</v>
      </c>
      <c r="AV24" s="81">
        <f>Costs!AV25</f>
        <v>37500</v>
      </c>
      <c r="AW24" s="81">
        <f>Costs!AW25</f>
        <v>37500</v>
      </c>
      <c r="AX24" s="81">
        <f>Costs!AX25</f>
        <v>37500</v>
      </c>
      <c r="AY24" s="81">
        <f>Costs!AY25</f>
        <v>37500</v>
      </c>
      <c r="AZ24" s="81">
        <f>Costs!AZ25</f>
        <v>37500</v>
      </c>
      <c r="BA24" s="81">
        <f>Costs!BA25</f>
        <v>37500</v>
      </c>
      <c r="BB24" s="81">
        <f>Costs!BB25</f>
        <v>37500</v>
      </c>
      <c r="BC24" s="81">
        <f>Costs!BC25</f>
        <v>37500</v>
      </c>
      <c r="BD24" s="81">
        <f>Costs!BD25</f>
        <v>37500</v>
      </c>
      <c r="BE24" s="81">
        <f>Costs!BE25</f>
        <v>37500</v>
      </c>
      <c r="BF24" s="81">
        <f>Costs!BF25</f>
        <v>37500</v>
      </c>
      <c r="BG24" s="81">
        <f>Costs!BG25</f>
        <v>37500</v>
      </c>
      <c r="BH24" s="81">
        <f>Costs!BH25</f>
        <v>37500</v>
      </c>
      <c r="BI24" s="81">
        <f>Costs!BI25</f>
        <v>37500</v>
      </c>
      <c r="BJ24" s="81">
        <f>Costs!BJ25</f>
        <v>37500</v>
      </c>
      <c r="BK24" s="81">
        <f>Costs!BK25</f>
        <v>37500</v>
      </c>
      <c r="BL24" s="81">
        <f>Costs!BL25</f>
        <v>37500</v>
      </c>
      <c r="BM24" s="81">
        <f>Costs!BM25</f>
        <v>37500</v>
      </c>
      <c r="BN24" s="81">
        <f>Costs!BN25</f>
        <v>37500</v>
      </c>
      <c r="BO24" s="81">
        <f>Costs!BO25</f>
        <v>37500</v>
      </c>
      <c r="BP24" s="81">
        <f>Costs!BP25</f>
        <v>37500</v>
      </c>
      <c r="BQ24" s="81">
        <f>Costs!BQ25</f>
        <v>37500</v>
      </c>
      <c r="BR24" s="81">
        <f>Costs!BR25</f>
        <v>37500</v>
      </c>
      <c r="BS24" s="81">
        <f>Costs!BS25</f>
        <v>37500</v>
      </c>
      <c r="BT24" s="81">
        <f>Costs!BT25</f>
        <v>37500</v>
      </c>
      <c r="BU24" s="81">
        <f>Costs!BU25</f>
        <v>37500</v>
      </c>
      <c r="BV24" s="81">
        <f>Costs!BV25</f>
        <v>37500</v>
      </c>
      <c r="BW24" s="81">
        <f>Costs!BW25</f>
        <v>50000</v>
      </c>
      <c r="BX24" s="81">
        <f>Costs!BX25</f>
        <v>50000</v>
      </c>
      <c r="BY24" s="81">
        <f>Costs!BY25</f>
        <v>50000</v>
      </c>
      <c r="BZ24" s="81">
        <f>Costs!BZ25</f>
        <v>50000</v>
      </c>
      <c r="CA24" s="81">
        <f>Costs!CA25</f>
        <v>50000</v>
      </c>
      <c r="CB24" s="81">
        <f>Costs!CB25</f>
        <v>50000</v>
      </c>
      <c r="CC24" s="81">
        <f>Costs!CC25</f>
        <v>50000</v>
      </c>
      <c r="CD24" s="81">
        <f>Costs!CD25</f>
        <v>50000</v>
      </c>
      <c r="CE24" s="81">
        <f>Costs!CE25</f>
        <v>50000</v>
      </c>
      <c r="CF24" s="81">
        <f>Costs!CF25</f>
        <v>50000</v>
      </c>
      <c r="CG24" s="81">
        <f>Costs!CG25</f>
        <v>50000</v>
      </c>
      <c r="CH24" s="81">
        <f>Costs!CH25</f>
        <v>50000</v>
      </c>
      <c r="CI24" s="81">
        <f>Costs!CI25</f>
        <v>50000</v>
      </c>
      <c r="CJ24" s="81">
        <f>Costs!CJ25</f>
        <v>50000</v>
      </c>
      <c r="CK24" s="81">
        <f>Costs!CK25</f>
        <v>50000</v>
      </c>
      <c r="CL24" s="81">
        <f>Costs!CL25</f>
        <v>50000</v>
      </c>
      <c r="CM24" s="81">
        <f>Costs!CM25</f>
        <v>50000</v>
      </c>
      <c r="CN24" s="81">
        <f>Costs!CN25</f>
        <v>51500</v>
      </c>
      <c r="CO24" s="81">
        <f>Costs!CO25</f>
        <v>51500</v>
      </c>
      <c r="CP24" s="81">
        <f>Costs!CP25</f>
        <v>51500</v>
      </c>
      <c r="CQ24" s="81">
        <f>Costs!CQ25</f>
        <v>51500</v>
      </c>
      <c r="CR24" s="81">
        <f>Costs!CR25</f>
        <v>51500</v>
      </c>
      <c r="CS24" s="81">
        <f>Costs!CS25</f>
        <v>51500</v>
      </c>
      <c r="CT24" s="81">
        <f>Costs!CT25</f>
        <v>51500</v>
      </c>
      <c r="CU24" s="81">
        <f>Costs!CU25</f>
        <v>53000</v>
      </c>
      <c r="CV24" s="81">
        <f>Costs!CV25</f>
        <v>53000</v>
      </c>
      <c r="CW24" s="81">
        <f>Costs!CW25</f>
        <v>53000</v>
      </c>
      <c r="CX24" s="81">
        <f>Costs!CX25</f>
        <v>53000</v>
      </c>
      <c r="CY24" s="81">
        <f>Costs!CY25</f>
        <v>53000</v>
      </c>
      <c r="CZ24" s="81">
        <f>Costs!CZ25</f>
        <v>53000</v>
      </c>
      <c r="DA24" s="81">
        <f>Costs!DA25</f>
        <v>53000</v>
      </c>
      <c r="DB24" s="81">
        <f>Costs!DB25</f>
        <v>53000</v>
      </c>
      <c r="DC24" s="81">
        <f>Costs!DC25</f>
        <v>53000</v>
      </c>
      <c r="DD24" s="81">
        <f>Costs!DD25</f>
        <v>53000</v>
      </c>
      <c r="DE24" s="81">
        <f>Costs!DE25</f>
        <v>53000</v>
      </c>
      <c r="DF24" s="81">
        <f>Costs!DF25</f>
        <v>53000</v>
      </c>
      <c r="DG24" s="81">
        <f>Costs!DG25</f>
        <v>54500.000000000007</v>
      </c>
      <c r="DH24" s="81">
        <f>Costs!DH25</f>
        <v>54500.000000000007</v>
      </c>
      <c r="DI24" s="81">
        <f>Costs!DI25</f>
        <v>54500.000000000007</v>
      </c>
      <c r="DJ24" s="81">
        <f>Costs!DJ25</f>
        <v>54500.000000000007</v>
      </c>
      <c r="DK24" s="81">
        <f>Costs!DK25</f>
        <v>54500.000000000007</v>
      </c>
      <c r="DL24" s="81">
        <f>Costs!DL25</f>
        <v>54500.000000000007</v>
      </c>
      <c r="DM24" s="81">
        <f>Costs!DM25</f>
        <v>54500.000000000007</v>
      </c>
      <c r="DN24" s="81">
        <f>Costs!DN25</f>
        <v>54500.000000000007</v>
      </c>
      <c r="DO24" s="81">
        <f>Costs!DO25</f>
        <v>54500.000000000007</v>
      </c>
      <c r="DP24" s="81">
        <f>Costs!DP25</f>
        <v>54500.000000000007</v>
      </c>
      <c r="DQ24" s="81">
        <f>Costs!DQ25</f>
        <v>54500.000000000007</v>
      </c>
      <c r="DR24" s="81">
        <f>Costs!DR25</f>
        <v>54500.000000000007</v>
      </c>
      <c r="DS24" s="81">
        <f>Costs!DS25</f>
        <v>56000.000000000007</v>
      </c>
      <c r="DT24" s="81">
        <f>Costs!DT25</f>
        <v>56000.000000000007</v>
      </c>
      <c r="DU24" s="81">
        <f>Costs!DU25</f>
        <v>56000.000000000007</v>
      </c>
      <c r="DV24" s="81">
        <f>Costs!DV25</f>
        <v>56000.000000000007</v>
      </c>
      <c r="DW24" s="81">
        <f>Costs!DW25</f>
        <v>56000.000000000007</v>
      </c>
      <c r="DX24" s="81">
        <f>Costs!DX25</f>
        <v>56000.000000000007</v>
      </c>
      <c r="DY24" s="81">
        <f>Costs!DY25</f>
        <v>56000.000000000007</v>
      </c>
      <c r="DZ24" s="81">
        <f>Costs!DZ25</f>
        <v>56000.000000000007</v>
      </c>
      <c r="EA24" s="81">
        <f>Costs!EA25</f>
        <v>56000.000000000007</v>
      </c>
      <c r="EB24" s="81">
        <f>Costs!EB25</f>
        <v>56000.000000000007</v>
      </c>
      <c r="EC24" s="81">
        <f>Costs!EC25</f>
        <v>56000.000000000007</v>
      </c>
      <c r="ED24" s="81">
        <f>Costs!ED25</f>
        <v>56000.000000000007</v>
      </c>
      <c r="EE24" s="81">
        <f>Costs!EE25</f>
        <v>57500.000000000007</v>
      </c>
      <c r="EF24" s="81">
        <f>Costs!EF25</f>
        <v>57500.000000000007</v>
      </c>
      <c r="EG24" s="81">
        <f>Costs!EG25</f>
        <v>57500.000000000007</v>
      </c>
      <c r="EH24" s="81">
        <f>Costs!EH25</f>
        <v>57500.000000000007</v>
      </c>
      <c r="EI24" s="81">
        <f>Costs!EI25</f>
        <v>57500.000000000007</v>
      </c>
      <c r="EJ24" s="81">
        <f>Costs!EJ25</f>
        <v>57500.000000000007</v>
      </c>
      <c r="EK24" s="81">
        <f>Costs!EK25</f>
        <v>57500.000000000007</v>
      </c>
      <c r="EL24" s="81">
        <f>Costs!EL25</f>
        <v>57500.000000000007</v>
      </c>
      <c r="EM24" s="81">
        <f>Costs!EM25</f>
        <v>57500.000000000007</v>
      </c>
      <c r="EN24" s="81">
        <f>Costs!EN25</f>
        <v>57500.000000000007</v>
      </c>
      <c r="EO24" s="81">
        <f>Costs!EO25</f>
        <v>57500.000000000007</v>
      </c>
      <c r="EP24" s="81">
        <f>Costs!EP25</f>
        <v>57500.000000000007</v>
      </c>
      <c r="EQ24" s="81">
        <f>Costs!EQ25</f>
        <v>59000.000000000007</v>
      </c>
      <c r="ER24" s="81">
        <f>Costs!ER25</f>
        <v>59000.000000000007</v>
      </c>
      <c r="ES24" s="81">
        <f>Costs!ES25</f>
        <v>59000.000000000007</v>
      </c>
      <c r="ET24" s="81">
        <f>Costs!ET25</f>
        <v>59000.000000000007</v>
      </c>
      <c r="EU24" s="81">
        <f>Costs!EU25</f>
        <v>59000.000000000007</v>
      </c>
      <c r="EV24" s="81">
        <f>Costs!EV25</f>
        <v>59000.000000000007</v>
      </c>
      <c r="EW24" s="81">
        <f>Costs!EW25</f>
        <v>59000.000000000007</v>
      </c>
      <c r="EX24" s="81">
        <f>Costs!EX25</f>
        <v>59000.000000000007</v>
      </c>
      <c r="EY24" s="81">
        <f>Costs!EY25</f>
        <v>59000.000000000007</v>
      </c>
      <c r="EZ24" s="81">
        <f>Costs!EZ25</f>
        <v>59000.000000000007</v>
      </c>
      <c r="FA24" s="81">
        <f>Costs!FA25</f>
        <v>59000.000000000007</v>
      </c>
      <c r="FB24" s="81">
        <f>Costs!FB25</f>
        <v>59000.000000000007</v>
      </c>
      <c r="FC24" s="81">
        <f>Costs!FC25</f>
        <v>60500.000000000007</v>
      </c>
      <c r="FD24" s="81">
        <f>Costs!FD25</f>
        <v>60500.000000000007</v>
      </c>
      <c r="FE24" s="81">
        <f>Costs!FE25</f>
        <v>60500.000000000007</v>
      </c>
      <c r="FF24" s="81">
        <f>Costs!FF25</f>
        <v>60500.000000000007</v>
      </c>
      <c r="FG24" s="81">
        <f>Costs!FG25</f>
        <v>60500.000000000007</v>
      </c>
      <c r="FH24" s="81">
        <f>Costs!FH25</f>
        <v>60500.000000000007</v>
      </c>
      <c r="FI24" s="81">
        <f>Costs!FI25</f>
        <v>60500.000000000007</v>
      </c>
      <c r="FJ24" s="81">
        <f>Costs!FJ25</f>
        <v>60500.000000000007</v>
      </c>
      <c r="FK24" s="81">
        <f>Costs!FK25</f>
        <v>60500.000000000007</v>
      </c>
      <c r="FL24" s="81">
        <f>Costs!FL25</f>
        <v>60500.000000000007</v>
      </c>
      <c r="FM24" s="81">
        <f>Costs!FM25</f>
        <v>60500.000000000007</v>
      </c>
      <c r="FN24" s="81">
        <f>Costs!FN25</f>
        <v>60500.000000000007</v>
      </c>
      <c r="FO24" s="81">
        <f>Costs!FO25</f>
        <v>62000.000000000007</v>
      </c>
      <c r="FP24" s="81">
        <f>Costs!FP25</f>
        <v>62000.000000000007</v>
      </c>
      <c r="FQ24" s="81">
        <f>Costs!FQ25</f>
        <v>62000.000000000007</v>
      </c>
      <c r="FR24" s="81">
        <f>Costs!FR25</f>
        <v>62000.000000000007</v>
      </c>
      <c r="FS24" s="81">
        <f>Costs!FS25</f>
        <v>62000.000000000007</v>
      </c>
      <c r="FT24" s="81">
        <f>Costs!FT25</f>
        <v>62000.000000000007</v>
      </c>
      <c r="FU24" s="81">
        <f>Costs!FU25</f>
        <v>62000.000000000007</v>
      </c>
      <c r="FV24" s="81">
        <f>Costs!FV25</f>
        <v>62000.000000000007</v>
      </c>
      <c r="FW24" s="81">
        <f>Costs!FW25</f>
        <v>62000.000000000007</v>
      </c>
      <c r="FX24" s="81">
        <f>Costs!FX25</f>
        <v>62000.000000000007</v>
      </c>
      <c r="FY24" s="81">
        <f>Costs!FY25</f>
        <v>62000.000000000007</v>
      </c>
      <c r="FZ24" s="81">
        <f>Costs!FZ25</f>
        <v>62000.000000000007</v>
      </c>
      <c r="GA24" s="81">
        <f>Costs!GA25</f>
        <v>63500.000000000015</v>
      </c>
      <c r="GB24" s="81">
        <f>Costs!GB25</f>
        <v>63500.000000000015</v>
      </c>
      <c r="GC24" s="81">
        <f>Costs!GC25</f>
        <v>63500.000000000015</v>
      </c>
      <c r="GD24" s="81">
        <f>Costs!GD25</f>
        <v>63500.000000000015</v>
      </c>
      <c r="GE24" s="81">
        <f>Costs!GE25</f>
        <v>63500.000000000015</v>
      </c>
      <c r="GF24" s="81">
        <f>Costs!GF25</f>
        <v>63500.000000000015</v>
      </c>
      <c r="GG24" s="81">
        <f>Costs!GG25</f>
        <v>63500.000000000015</v>
      </c>
      <c r="GH24" s="81">
        <f>Costs!GH25</f>
        <v>63500.000000000015</v>
      </c>
      <c r="GI24" s="81">
        <f>Costs!GI25</f>
        <v>63500.000000000015</v>
      </c>
      <c r="GJ24" s="81">
        <f>Costs!GJ25</f>
        <v>63500.000000000015</v>
      </c>
      <c r="GK24" s="81">
        <f>Costs!GK25</f>
        <v>63500.000000000015</v>
      </c>
      <c r="GL24" s="81">
        <f>Costs!GL25</f>
        <v>63500.000000000015</v>
      </c>
      <c r="GM24" s="81">
        <f>Costs!GM25</f>
        <v>65000.000000000015</v>
      </c>
      <c r="GN24" s="81">
        <f>Costs!GN25</f>
        <v>65000.000000000015</v>
      </c>
      <c r="GO24" s="81">
        <f>Costs!GO25</f>
        <v>65000.000000000015</v>
      </c>
      <c r="GP24" s="81">
        <f>Costs!GP25</f>
        <v>65000.000000000015</v>
      </c>
      <c r="GQ24" s="81">
        <f>Costs!GQ25</f>
        <v>65000.000000000015</v>
      </c>
      <c r="GR24" s="81">
        <f>Costs!GR25</f>
        <v>65000.000000000015</v>
      </c>
      <c r="GS24" s="81">
        <f>Costs!GS25</f>
        <v>65000.000000000015</v>
      </c>
      <c r="GT24" s="81">
        <f>Costs!GT25</f>
        <v>65000.000000000015</v>
      </c>
      <c r="GU24" s="81">
        <f>Costs!GU25</f>
        <v>65000.000000000015</v>
      </c>
      <c r="GV24" s="81">
        <f>Costs!GV25</f>
        <v>65000.000000000015</v>
      </c>
      <c r="GW24" s="81">
        <f>Costs!GW25</f>
        <v>65000.000000000015</v>
      </c>
      <c r="GX24" s="81">
        <f>Costs!GX25</f>
        <v>65000.000000000015</v>
      </c>
      <c r="GY24" s="81">
        <f>Costs!GY25</f>
        <v>66500.000000000015</v>
      </c>
      <c r="GZ24" s="81">
        <f>Costs!GZ25</f>
        <v>66500.000000000015</v>
      </c>
      <c r="HA24" s="81">
        <f>Costs!HA25</f>
        <v>66500.000000000015</v>
      </c>
      <c r="HB24" s="81">
        <f>Costs!HB25</f>
        <v>66500.000000000015</v>
      </c>
      <c r="HC24" s="81">
        <f>Costs!HC25</f>
        <v>66500.000000000015</v>
      </c>
      <c r="HD24" s="81">
        <f>Costs!HD25</f>
        <v>66500.000000000015</v>
      </c>
      <c r="HE24" s="81">
        <f>Costs!HE25</f>
        <v>66500.000000000015</v>
      </c>
      <c r="HF24" s="81">
        <f>Costs!HF25</f>
        <v>66500.000000000015</v>
      </c>
      <c r="HG24" s="81">
        <f>Costs!HG25</f>
        <v>66500.000000000015</v>
      </c>
      <c r="HH24" s="81">
        <f>Costs!HH25</f>
        <v>66500.000000000015</v>
      </c>
      <c r="HI24" s="81">
        <f>Costs!HI25</f>
        <v>66500.000000000015</v>
      </c>
      <c r="HJ24" s="81">
        <f>Costs!HJ25</f>
        <v>66500.000000000015</v>
      </c>
      <c r="HK24" s="81">
        <f>Costs!HK25</f>
        <v>66500.000000000015</v>
      </c>
      <c r="HL24" s="81">
        <f>Costs!HL25</f>
        <v>66500.000000000015</v>
      </c>
      <c r="HM24" s="81">
        <f>Costs!HM25</f>
        <v>66500.000000000015</v>
      </c>
      <c r="HN24" s="81">
        <f>Costs!HN25</f>
        <v>66500.000000000015</v>
      </c>
      <c r="HO24" s="81">
        <f>Costs!HO25</f>
        <v>66500.000000000015</v>
      </c>
      <c r="HP24" s="81">
        <f>Costs!HP25</f>
        <v>66500.000000000015</v>
      </c>
      <c r="HQ24" s="81">
        <f>Costs!HQ25</f>
        <v>66500.000000000015</v>
      </c>
      <c r="HR24" s="81">
        <f>Costs!HR25</f>
        <v>66500.000000000015</v>
      </c>
      <c r="HS24" s="81">
        <f>Costs!HS25</f>
        <v>66500.000000000015</v>
      </c>
      <c r="HT24" s="81">
        <f>Costs!HT25</f>
        <v>66500.000000000015</v>
      </c>
      <c r="HU24" s="81">
        <f>Costs!HU25</f>
        <v>66500.000000000015</v>
      </c>
      <c r="HV24" s="81">
        <f>Costs!HV25</f>
        <v>66500.000000000015</v>
      </c>
      <c r="HW24" s="81">
        <f>Costs!HW25</f>
        <v>66500.000000000015</v>
      </c>
      <c r="HX24" s="81">
        <f>Costs!HX25</f>
        <v>66500.000000000015</v>
      </c>
      <c r="HY24" s="81">
        <f>Costs!HY25</f>
        <v>66500.000000000015</v>
      </c>
      <c r="HZ24" s="81">
        <f>Costs!HZ25</f>
        <v>66500.000000000015</v>
      </c>
      <c r="IA24" s="81">
        <f>Costs!IA25</f>
        <v>66500.000000000015</v>
      </c>
      <c r="IB24" s="81">
        <f>Costs!IB25</f>
        <v>66500.000000000015</v>
      </c>
      <c r="IC24" s="81">
        <f>Costs!IC25</f>
        <v>66500.000000000015</v>
      </c>
      <c r="ID24" s="81">
        <f>Costs!ID25</f>
        <v>66500.000000000015</v>
      </c>
      <c r="IE24" s="81">
        <f>Costs!IE25</f>
        <v>66500.000000000015</v>
      </c>
      <c r="IF24" s="81">
        <f>Costs!IF25</f>
        <v>66500.000000000015</v>
      </c>
      <c r="IG24" s="81">
        <f>Costs!IG25</f>
        <v>66500.000000000015</v>
      </c>
      <c r="IH24" s="81">
        <f>Costs!IH25</f>
        <v>66500.000000000015</v>
      </c>
    </row>
    <row r="25" spans="1:242" x14ac:dyDescent="0.45">
      <c r="A25" s="895" t="s">
        <v>225</v>
      </c>
      <c r="B25" s="896"/>
      <c r="C25" s="81">
        <f>Costs!C26</f>
        <v>200000</v>
      </c>
      <c r="D25" s="81">
        <f>Costs!D26</f>
        <v>10000</v>
      </c>
      <c r="E25" s="81">
        <f>Costs!E26</f>
        <v>10000</v>
      </c>
      <c r="F25" s="81">
        <f>Costs!F26</f>
        <v>10000</v>
      </c>
      <c r="G25" s="81">
        <f>Costs!G26</f>
        <v>10000</v>
      </c>
      <c r="H25" s="81">
        <f>Costs!H26</f>
        <v>10000</v>
      </c>
      <c r="I25" s="81">
        <f>Costs!I26</f>
        <v>10000</v>
      </c>
      <c r="J25" s="81">
        <f>Costs!J26</f>
        <v>10000</v>
      </c>
      <c r="K25" s="81">
        <f>Costs!K26</f>
        <v>10000</v>
      </c>
      <c r="L25" s="81">
        <f>Costs!L26</f>
        <v>10000</v>
      </c>
      <c r="M25" s="81">
        <f>Costs!M26</f>
        <v>10000</v>
      </c>
      <c r="N25" s="81">
        <f>Costs!N26</f>
        <v>10000</v>
      </c>
      <c r="O25" s="81">
        <f>Costs!O26</f>
        <v>150000</v>
      </c>
      <c r="P25" s="81">
        <f>Costs!P26</f>
        <v>10000</v>
      </c>
      <c r="Q25" s="81">
        <f>Costs!Q26</f>
        <v>10000</v>
      </c>
      <c r="R25" s="81">
        <f>Costs!R26</f>
        <v>10000</v>
      </c>
      <c r="S25" s="81">
        <f>Costs!S26</f>
        <v>10000</v>
      </c>
      <c r="T25" s="81">
        <f>Costs!T26</f>
        <v>10000</v>
      </c>
      <c r="U25" s="81">
        <f>Costs!U26</f>
        <v>10000</v>
      </c>
      <c r="V25" s="81">
        <f>Costs!V26</f>
        <v>10000</v>
      </c>
      <c r="W25" s="81">
        <f>Costs!W26</f>
        <v>10000</v>
      </c>
      <c r="X25" s="81">
        <f>Costs!X26</f>
        <v>10000</v>
      </c>
      <c r="Y25" s="81">
        <f>Costs!Y26</f>
        <v>10000</v>
      </c>
      <c r="Z25" s="81">
        <f>Costs!Z26</f>
        <v>10000</v>
      </c>
      <c r="AA25" s="81">
        <f>Costs!AA26</f>
        <v>10000</v>
      </c>
      <c r="AB25" s="81">
        <f>Costs!AB26</f>
        <v>10000</v>
      </c>
      <c r="AC25" s="81">
        <f>Costs!AC26</f>
        <v>10000</v>
      </c>
      <c r="AD25" s="81">
        <f>Costs!AD26</f>
        <v>10000</v>
      </c>
      <c r="AE25" s="81">
        <f>Costs!AE26</f>
        <v>10000</v>
      </c>
      <c r="AF25" s="81">
        <f>Costs!AF26</f>
        <v>10000</v>
      </c>
      <c r="AG25" s="81">
        <f>Costs!AG26</f>
        <v>10000</v>
      </c>
      <c r="AH25" s="81">
        <f>Costs!AH26</f>
        <v>10000</v>
      </c>
      <c r="AI25" s="81">
        <f>Costs!AI26</f>
        <v>10000</v>
      </c>
      <c r="AJ25" s="81">
        <f>Costs!AJ26</f>
        <v>10000</v>
      </c>
      <c r="AK25" s="81">
        <f>Costs!AK26</f>
        <v>10000</v>
      </c>
      <c r="AL25" s="81">
        <f>Costs!AL26</f>
        <v>10000</v>
      </c>
      <c r="AM25" s="81">
        <f>Costs!AM26</f>
        <v>10000</v>
      </c>
      <c r="AN25" s="81">
        <f>Costs!AN26</f>
        <v>10000</v>
      </c>
      <c r="AO25" s="81">
        <f>Costs!AO26</f>
        <v>10000</v>
      </c>
      <c r="AP25" s="81">
        <f>Costs!AP26</f>
        <v>10000</v>
      </c>
      <c r="AQ25" s="81">
        <f>Costs!AQ26</f>
        <v>10000</v>
      </c>
      <c r="AR25" s="81">
        <f>Costs!AR26</f>
        <v>10000</v>
      </c>
      <c r="AS25" s="81">
        <f>Costs!AS26</f>
        <v>10000</v>
      </c>
      <c r="AT25" s="81">
        <f>Costs!AT26</f>
        <v>10000</v>
      </c>
      <c r="AU25" s="81">
        <f>Costs!AU26</f>
        <v>10000</v>
      </c>
      <c r="AV25" s="81">
        <f>Costs!AV26</f>
        <v>10000</v>
      </c>
      <c r="AW25" s="81">
        <f>Costs!AW26</f>
        <v>10000</v>
      </c>
      <c r="AX25" s="81">
        <f>Costs!AX26</f>
        <v>10000</v>
      </c>
      <c r="AY25" s="81">
        <f>Costs!AY26</f>
        <v>10000</v>
      </c>
      <c r="AZ25" s="81">
        <f>Costs!AZ26</f>
        <v>10000</v>
      </c>
      <c r="BA25" s="81">
        <f>Costs!BA26</f>
        <v>10000</v>
      </c>
      <c r="BB25" s="81">
        <f>Costs!BB26</f>
        <v>10000</v>
      </c>
      <c r="BC25" s="81">
        <f>Costs!BC26</f>
        <v>10000</v>
      </c>
      <c r="BD25" s="81">
        <f>Costs!BD26</f>
        <v>10000</v>
      </c>
      <c r="BE25" s="81">
        <f>Costs!BE26</f>
        <v>10000</v>
      </c>
      <c r="BF25" s="81">
        <f>Costs!BF26</f>
        <v>10000</v>
      </c>
      <c r="BG25" s="81">
        <f>Costs!BG26</f>
        <v>10000</v>
      </c>
      <c r="BH25" s="81">
        <f>Costs!BH26</f>
        <v>10000</v>
      </c>
      <c r="BI25" s="81">
        <f>Costs!BI26</f>
        <v>10000</v>
      </c>
      <c r="BJ25" s="81">
        <f>Costs!BJ26</f>
        <v>10000</v>
      </c>
      <c r="BK25" s="81">
        <f>Costs!BK26</f>
        <v>10000</v>
      </c>
      <c r="BL25" s="81">
        <f>Costs!BL26</f>
        <v>10000</v>
      </c>
      <c r="BM25" s="81">
        <f>Costs!BM26</f>
        <v>10000</v>
      </c>
      <c r="BN25" s="81">
        <f>Costs!BN26</f>
        <v>10000</v>
      </c>
      <c r="BO25" s="81">
        <f>Costs!BO26</f>
        <v>10000</v>
      </c>
      <c r="BP25" s="81">
        <f>Costs!BP26</f>
        <v>10000</v>
      </c>
      <c r="BQ25" s="81">
        <f>Costs!BQ26</f>
        <v>10000</v>
      </c>
      <c r="BR25" s="81">
        <f>Costs!BR26</f>
        <v>10000</v>
      </c>
      <c r="BS25" s="81">
        <f>Costs!BS26</f>
        <v>10000</v>
      </c>
      <c r="BT25" s="81">
        <f>Costs!BT26</f>
        <v>10000</v>
      </c>
      <c r="BU25" s="81">
        <f>Costs!BU26</f>
        <v>10000</v>
      </c>
      <c r="BV25" s="81">
        <f>Costs!BV26</f>
        <v>10000</v>
      </c>
      <c r="BW25" s="81">
        <f>Costs!BW26</f>
        <v>10000</v>
      </c>
      <c r="BX25" s="81">
        <f>Costs!BX26</f>
        <v>10000</v>
      </c>
      <c r="BY25" s="81">
        <f>Costs!BY26</f>
        <v>10000</v>
      </c>
      <c r="BZ25" s="81">
        <f>Costs!BZ26</f>
        <v>10000</v>
      </c>
      <c r="CA25" s="81">
        <f>Costs!CA26</f>
        <v>10000</v>
      </c>
      <c r="CB25" s="81">
        <f>Costs!CB26</f>
        <v>10000</v>
      </c>
      <c r="CC25" s="81">
        <f>Costs!CC26</f>
        <v>10000</v>
      </c>
      <c r="CD25" s="81">
        <f>Costs!CD26</f>
        <v>10000</v>
      </c>
      <c r="CE25" s="81">
        <f>Costs!CE26</f>
        <v>10000</v>
      </c>
      <c r="CF25" s="81">
        <f>Costs!CF26</f>
        <v>10000</v>
      </c>
      <c r="CG25" s="81">
        <f>Costs!CG26</f>
        <v>10000</v>
      </c>
      <c r="CH25" s="81">
        <f>Costs!CH26</f>
        <v>10000</v>
      </c>
      <c r="CI25" s="81">
        <f>Costs!CI26</f>
        <v>10000</v>
      </c>
      <c r="CJ25" s="81">
        <f>Costs!CJ26</f>
        <v>10000</v>
      </c>
      <c r="CK25" s="81">
        <f>Costs!CK26</f>
        <v>10000</v>
      </c>
      <c r="CL25" s="81">
        <f>Costs!CL26</f>
        <v>10000</v>
      </c>
      <c r="CM25" s="81">
        <f>Costs!CM26</f>
        <v>10000</v>
      </c>
      <c r="CN25" s="81">
        <f>Costs!CN26</f>
        <v>10000</v>
      </c>
      <c r="CO25" s="81">
        <f>Costs!CO26</f>
        <v>10000</v>
      </c>
      <c r="CP25" s="81">
        <f>Costs!CP26</f>
        <v>10000</v>
      </c>
      <c r="CQ25" s="81">
        <f>Costs!CQ26</f>
        <v>10000</v>
      </c>
      <c r="CR25" s="81">
        <f>Costs!CR26</f>
        <v>10000</v>
      </c>
      <c r="CS25" s="81">
        <f>Costs!CS26</f>
        <v>10000</v>
      </c>
      <c r="CT25" s="81">
        <f>Costs!CT26</f>
        <v>10000</v>
      </c>
      <c r="CU25" s="81">
        <f>Costs!CU26</f>
        <v>10000</v>
      </c>
      <c r="CV25" s="81">
        <f>Costs!CV26</f>
        <v>10000</v>
      </c>
      <c r="CW25" s="81">
        <f>Costs!CW26</f>
        <v>10000</v>
      </c>
      <c r="CX25" s="81">
        <f>Costs!CX26</f>
        <v>10000</v>
      </c>
      <c r="CY25" s="81">
        <f>Costs!CY26</f>
        <v>10000</v>
      </c>
      <c r="CZ25" s="81">
        <f>Costs!CZ26</f>
        <v>10000</v>
      </c>
      <c r="DA25" s="81">
        <f>Costs!DA26</f>
        <v>10000</v>
      </c>
      <c r="DB25" s="81">
        <f>Costs!DB26</f>
        <v>10000</v>
      </c>
      <c r="DC25" s="81">
        <f>Costs!DC26</f>
        <v>10000</v>
      </c>
      <c r="DD25" s="81">
        <f>Costs!DD26</f>
        <v>10000</v>
      </c>
      <c r="DE25" s="81">
        <f>Costs!DE26</f>
        <v>10000</v>
      </c>
      <c r="DF25" s="81">
        <f>Costs!DF26</f>
        <v>10000</v>
      </c>
      <c r="DG25" s="81">
        <f>Costs!DG26</f>
        <v>10000</v>
      </c>
      <c r="DH25" s="81">
        <f>Costs!DH26</f>
        <v>10000</v>
      </c>
      <c r="DI25" s="81">
        <f>Costs!DI26</f>
        <v>10000</v>
      </c>
      <c r="DJ25" s="81">
        <f>Costs!DJ26</f>
        <v>10000</v>
      </c>
      <c r="DK25" s="81">
        <f>Costs!DK26</f>
        <v>10000</v>
      </c>
      <c r="DL25" s="81">
        <f>Costs!DL26</f>
        <v>10000</v>
      </c>
      <c r="DM25" s="81">
        <f>Costs!DM26</f>
        <v>10000</v>
      </c>
      <c r="DN25" s="81">
        <f>Costs!DN26</f>
        <v>10000</v>
      </c>
      <c r="DO25" s="81">
        <f>Costs!DO26</f>
        <v>10000</v>
      </c>
      <c r="DP25" s="81">
        <f>Costs!DP26</f>
        <v>10000</v>
      </c>
      <c r="DQ25" s="81">
        <f>Costs!DQ26</f>
        <v>10000</v>
      </c>
      <c r="DR25" s="81">
        <f>Costs!DR26</f>
        <v>10000</v>
      </c>
      <c r="DS25" s="81">
        <f>Costs!DS26</f>
        <v>10000</v>
      </c>
      <c r="DT25" s="81">
        <f>Costs!DT26</f>
        <v>10000</v>
      </c>
      <c r="DU25" s="81">
        <f>Costs!DU26</f>
        <v>10000</v>
      </c>
      <c r="DV25" s="81">
        <f>Costs!DV26</f>
        <v>10000</v>
      </c>
      <c r="DW25" s="81">
        <f>Costs!DW26</f>
        <v>10000</v>
      </c>
      <c r="DX25" s="81">
        <f>Costs!DX26</f>
        <v>10000</v>
      </c>
      <c r="DY25" s="81">
        <f>Costs!DY26</f>
        <v>10000</v>
      </c>
      <c r="DZ25" s="81">
        <f>Costs!DZ26</f>
        <v>10000</v>
      </c>
      <c r="EA25" s="81">
        <f>Costs!EA26</f>
        <v>10000</v>
      </c>
      <c r="EB25" s="81">
        <f>Costs!EB26</f>
        <v>10000</v>
      </c>
      <c r="EC25" s="81">
        <f>Costs!EC26</f>
        <v>10000</v>
      </c>
      <c r="ED25" s="81">
        <f>Costs!ED26</f>
        <v>10000</v>
      </c>
      <c r="EE25" s="81">
        <f>Costs!EE26</f>
        <v>10000</v>
      </c>
      <c r="EF25" s="81">
        <f>Costs!EF26</f>
        <v>10000</v>
      </c>
      <c r="EG25" s="81">
        <f>Costs!EG26</f>
        <v>10000</v>
      </c>
      <c r="EH25" s="81">
        <f>Costs!EH26</f>
        <v>10000</v>
      </c>
      <c r="EI25" s="81">
        <f>Costs!EI26</f>
        <v>10000</v>
      </c>
      <c r="EJ25" s="81">
        <f>Costs!EJ26</f>
        <v>10000</v>
      </c>
      <c r="EK25" s="81">
        <f>Costs!EK26</f>
        <v>10000</v>
      </c>
      <c r="EL25" s="81">
        <f>Costs!EL26</f>
        <v>10000</v>
      </c>
      <c r="EM25" s="81">
        <f>Costs!EM26</f>
        <v>10000</v>
      </c>
      <c r="EN25" s="81">
        <f>Costs!EN26</f>
        <v>10000</v>
      </c>
      <c r="EO25" s="81">
        <f>Costs!EO26</f>
        <v>10000</v>
      </c>
      <c r="EP25" s="81">
        <f>Costs!EP26</f>
        <v>10000</v>
      </c>
      <c r="EQ25" s="81">
        <f>Costs!EQ26</f>
        <v>10000</v>
      </c>
      <c r="ER25" s="81">
        <f>Costs!ER26</f>
        <v>10000</v>
      </c>
      <c r="ES25" s="81">
        <f>Costs!ES26</f>
        <v>10000</v>
      </c>
      <c r="ET25" s="81">
        <f>Costs!ET26</f>
        <v>10000</v>
      </c>
      <c r="EU25" s="81">
        <f>Costs!EU26</f>
        <v>10000</v>
      </c>
      <c r="EV25" s="81">
        <f>Costs!EV26</f>
        <v>10000</v>
      </c>
      <c r="EW25" s="81">
        <f>Costs!EW26</f>
        <v>10000</v>
      </c>
      <c r="EX25" s="81">
        <f>Costs!EX26</f>
        <v>10000</v>
      </c>
      <c r="EY25" s="81">
        <f>Costs!EY26</f>
        <v>10000</v>
      </c>
      <c r="EZ25" s="81">
        <f>Costs!EZ26</f>
        <v>10000</v>
      </c>
      <c r="FA25" s="81">
        <f>Costs!FA26</f>
        <v>10000</v>
      </c>
      <c r="FB25" s="81">
        <f>Costs!FB26</f>
        <v>10000</v>
      </c>
      <c r="FC25" s="81">
        <f>Costs!FC26</f>
        <v>10000</v>
      </c>
      <c r="FD25" s="81">
        <f>Costs!FD26</f>
        <v>10000</v>
      </c>
      <c r="FE25" s="81">
        <f>Costs!FE26</f>
        <v>10000</v>
      </c>
      <c r="FF25" s="81">
        <f>Costs!FF26</f>
        <v>10000</v>
      </c>
      <c r="FG25" s="81">
        <f>Costs!FG26</f>
        <v>10000</v>
      </c>
      <c r="FH25" s="81">
        <f>Costs!FH26</f>
        <v>10000</v>
      </c>
      <c r="FI25" s="81">
        <f>Costs!FI26</f>
        <v>10000</v>
      </c>
      <c r="FJ25" s="81">
        <f>Costs!FJ26</f>
        <v>10000</v>
      </c>
      <c r="FK25" s="81">
        <f>Costs!FK26</f>
        <v>10000</v>
      </c>
      <c r="FL25" s="81">
        <f>Costs!FL26</f>
        <v>10000</v>
      </c>
      <c r="FM25" s="81">
        <f>Costs!FM26</f>
        <v>10000</v>
      </c>
      <c r="FN25" s="81">
        <f>Costs!FN26</f>
        <v>10000</v>
      </c>
      <c r="FO25" s="81">
        <f>Costs!FO26</f>
        <v>10000</v>
      </c>
      <c r="FP25" s="81">
        <f>Costs!FP26</f>
        <v>10000</v>
      </c>
      <c r="FQ25" s="81">
        <f>Costs!FQ26</f>
        <v>10000</v>
      </c>
      <c r="FR25" s="81">
        <f>Costs!FR26</f>
        <v>10000</v>
      </c>
      <c r="FS25" s="81">
        <f>Costs!FS26</f>
        <v>10000</v>
      </c>
      <c r="FT25" s="81">
        <f>Costs!FT26</f>
        <v>10000</v>
      </c>
      <c r="FU25" s="81">
        <f>Costs!FU26</f>
        <v>10000</v>
      </c>
      <c r="FV25" s="81">
        <f>Costs!FV26</f>
        <v>10000</v>
      </c>
      <c r="FW25" s="81">
        <f>Costs!FW26</f>
        <v>10000</v>
      </c>
      <c r="FX25" s="81">
        <f>Costs!FX26</f>
        <v>10000</v>
      </c>
      <c r="FY25" s="81">
        <f>Costs!FY26</f>
        <v>10000</v>
      </c>
      <c r="FZ25" s="81">
        <f>Costs!FZ26</f>
        <v>10000</v>
      </c>
      <c r="GA25" s="81">
        <f>Costs!GA26</f>
        <v>10000</v>
      </c>
      <c r="GB25" s="81">
        <f>Costs!GB26</f>
        <v>10000</v>
      </c>
      <c r="GC25" s="81">
        <f>Costs!GC26</f>
        <v>10000</v>
      </c>
      <c r="GD25" s="81">
        <f>Costs!GD26</f>
        <v>10000</v>
      </c>
      <c r="GE25" s="81">
        <f>Costs!GE26</f>
        <v>10000</v>
      </c>
      <c r="GF25" s="81">
        <f>Costs!GF26</f>
        <v>10000</v>
      </c>
      <c r="GG25" s="81">
        <f>Costs!GG26</f>
        <v>10000</v>
      </c>
      <c r="GH25" s="81">
        <f>Costs!GH26</f>
        <v>10000</v>
      </c>
      <c r="GI25" s="81">
        <f>Costs!GI26</f>
        <v>10000</v>
      </c>
      <c r="GJ25" s="81">
        <f>Costs!GJ26</f>
        <v>10000</v>
      </c>
      <c r="GK25" s="81">
        <f>Costs!GK26</f>
        <v>10000</v>
      </c>
      <c r="GL25" s="81">
        <f>Costs!GL26</f>
        <v>10000</v>
      </c>
      <c r="GM25" s="81">
        <f>Costs!GM26</f>
        <v>10000</v>
      </c>
      <c r="GN25" s="81">
        <f>Costs!GN26</f>
        <v>10000</v>
      </c>
      <c r="GO25" s="81">
        <f>Costs!GO26</f>
        <v>10000</v>
      </c>
      <c r="GP25" s="81">
        <f>Costs!GP26</f>
        <v>10000</v>
      </c>
      <c r="GQ25" s="81">
        <f>Costs!GQ26</f>
        <v>10000</v>
      </c>
      <c r="GR25" s="81">
        <f>Costs!GR26</f>
        <v>10000</v>
      </c>
      <c r="GS25" s="81">
        <f>Costs!GS26</f>
        <v>10000</v>
      </c>
      <c r="GT25" s="81">
        <f>Costs!GT26</f>
        <v>10000</v>
      </c>
      <c r="GU25" s="81">
        <f>Costs!GU26</f>
        <v>10000</v>
      </c>
      <c r="GV25" s="81">
        <f>Costs!GV26</f>
        <v>10000</v>
      </c>
      <c r="GW25" s="81">
        <f>Costs!GW26</f>
        <v>10000</v>
      </c>
      <c r="GX25" s="81">
        <f>Costs!GX26</f>
        <v>10000</v>
      </c>
      <c r="GY25" s="81">
        <f>Costs!GY26</f>
        <v>10000</v>
      </c>
      <c r="GZ25" s="81">
        <f>Costs!GZ26</f>
        <v>10000</v>
      </c>
      <c r="HA25" s="81">
        <f>Costs!HA26</f>
        <v>10000</v>
      </c>
      <c r="HB25" s="81">
        <f>Costs!HB26</f>
        <v>10000</v>
      </c>
      <c r="HC25" s="81">
        <f>Costs!HC26</f>
        <v>10000</v>
      </c>
      <c r="HD25" s="81">
        <f>Costs!HD26</f>
        <v>10000</v>
      </c>
      <c r="HE25" s="81">
        <f>Costs!HE26</f>
        <v>10000</v>
      </c>
      <c r="HF25" s="81">
        <f>Costs!HF26</f>
        <v>10000</v>
      </c>
      <c r="HG25" s="81">
        <f>Costs!HG26</f>
        <v>10000</v>
      </c>
      <c r="HH25" s="81">
        <f>Costs!HH26</f>
        <v>10000</v>
      </c>
      <c r="HI25" s="81">
        <f>Costs!HI26</f>
        <v>10000</v>
      </c>
      <c r="HJ25" s="81">
        <f>Costs!HJ26</f>
        <v>10000</v>
      </c>
      <c r="HK25" s="81">
        <f>Costs!HK26</f>
        <v>10000</v>
      </c>
      <c r="HL25" s="81">
        <f>Costs!HL26</f>
        <v>10000</v>
      </c>
      <c r="HM25" s="81">
        <f>Costs!HM26</f>
        <v>10000</v>
      </c>
      <c r="HN25" s="81">
        <f>Costs!HN26</f>
        <v>10000</v>
      </c>
      <c r="HO25" s="81">
        <f>Costs!HO26</f>
        <v>10000</v>
      </c>
      <c r="HP25" s="81">
        <f>Costs!HP26</f>
        <v>10000</v>
      </c>
      <c r="HQ25" s="81">
        <f>Costs!HQ26</f>
        <v>10000</v>
      </c>
      <c r="HR25" s="81">
        <f>Costs!HR26</f>
        <v>10000</v>
      </c>
      <c r="HS25" s="81">
        <f>Costs!HS26</f>
        <v>10000</v>
      </c>
      <c r="HT25" s="81">
        <f>Costs!HT26</f>
        <v>10000</v>
      </c>
      <c r="HU25" s="81">
        <f>Costs!HU26</f>
        <v>10000</v>
      </c>
      <c r="HV25" s="81">
        <f>Costs!HV26</f>
        <v>10000</v>
      </c>
      <c r="HW25" s="81">
        <f>Costs!HW26</f>
        <v>10000</v>
      </c>
      <c r="HX25" s="81">
        <f>Costs!HX26</f>
        <v>10000</v>
      </c>
      <c r="HY25" s="81">
        <f>Costs!HY26</f>
        <v>10000</v>
      </c>
      <c r="HZ25" s="81">
        <f>Costs!HZ26</f>
        <v>10000</v>
      </c>
      <c r="IA25" s="81">
        <f>Costs!IA26</f>
        <v>10000</v>
      </c>
      <c r="IB25" s="81">
        <f>Costs!IB26</f>
        <v>10000</v>
      </c>
      <c r="IC25" s="81">
        <f>Costs!IC26</f>
        <v>10000</v>
      </c>
      <c r="ID25" s="81">
        <f>Costs!ID26</f>
        <v>10000</v>
      </c>
      <c r="IE25" s="81">
        <f>Costs!IE26</f>
        <v>10000</v>
      </c>
      <c r="IF25" s="81">
        <f>Costs!IF26</f>
        <v>10000</v>
      </c>
      <c r="IG25" s="81">
        <f>Costs!IG26</f>
        <v>10000</v>
      </c>
      <c r="IH25" s="81">
        <f>Costs!IH26</f>
        <v>10000</v>
      </c>
    </row>
    <row r="26" spans="1:242" x14ac:dyDescent="0.45">
      <c r="A26" s="895" t="s">
        <v>230</v>
      </c>
      <c r="B26" s="896"/>
      <c r="C26" s="81">
        <f>Costs!C27</f>
        <v>87500</v>
      </c>
      <c r="D26" s="81">
        <f>Costs!D27</f>
        <v>87500</v>
      </c>
      <c r="E26" s="81">
        <f>Costs!E27</f>
        <v>87500</v>
      </c>
      <c r="F26" s="81">
        <f>Costs!F27</f>
        <v>87500</v>
      </c>
      <c r="G26" s="81">
        <f>Costs!G27</f>
        <v>87500</v>
      </c>
      <c r="H26" s="81">
        <f>Costs!H27</f>
        <v>87500</v>
      </c>
      <c r="I26" s="81">
        <f>Costs!I27</f>
        <v>87500</v>
      </c>
      <c r="J26" s="81">
        <f>Costs!J27</f>
        <v>87500</v>
      </c>
      <c r="K26" s="81">
        <f>Costs!K27</f>
        <v>87500</v>
      </c>
      <c r="L26" s="81">
        <f>Costs!L27</f>
        <v>87500</v>
      </c>
      <c r="M26" s="81">
        <f>Costs!M27</f>
        <v>87500</v>
      </c>
      <c r="N26" s="81">
        <f>Costs!N27</f>
        <v>87500</v>
      </c>
      <c r="O26" s="81">
        <f>Costs!O27</f>
        <v>87500</v>
      </c>
      <c r="P26" s="81">
        <f>Costs!P27</f>
        <v>87500</v>
      </c>
      <c r="Q26" s="81">
        <f>Costs!Q27</f>
        <v>87500</v>
      </c>
      <c r="R26" s="81">
        <f>Costs!R27</f>
        <v>87500</v>
      </c>
      <c r="S26" s="81">
        <f>Costs!S27</f>
        <v>87500</v>
      </c>
      <c r="T26" s="81">
        <f>Costs!T27</f>
        <v>87500</v>
      </c>
      <c r="U26" s="81">
        <f>Costs!U27</f>
        <v>87500</v>
      </c>
      <c r="V26" s="81">
        <f>Costs!V27</f>
        <v>87500</v>
      </c>
      <c r="W26" s="81">
        <f>Costs!W27</f>
        <v>87500</v>
      </c>
      <c r="X26" s="81">
        <f>Costs!X27</f>
        <v>87500</v>
      </c>
      <c r="Y26" s="81">
        <f>Costs!Y27</f>
        <v>87500</v>
      </c>
      <c r="Z26" s="81">
        <f>Costs!Z27</f>
        <v>87500</v>
      </c>
      <c r="AA26" s="81">
        <f>Costs!AA27</f>
        <v>262500</v>
      </c>
      <c r="AB26" s="81">
        <f>Costs!AB27</f>
        <v>262500</v>
      </c>
      <c r="AC26" s="81">
        <f>Costs!AC27</f>
        <v>262500</v>
      </c>
      <c r="AD26" s="81">
        <f>Costs!AD27</f>
        <v>262500</v>
      </c>
      <c r="AE26" s="81">
        <f>Costs!AE27</f>
        <v>262500</v>
      </c>
      <c r="AF26" s="81">
        <f>Costs!AF27</f>
        <v>262500</v>
      </c>
      <c r="AG26" s="81">
        <f>Costs!AG27</f>
        <v>262500</v>
      </c>
      <c r="AH26" s="81">
        <f>Costs!AH27</f>
        <v>262500</v>
      </c>
      <c r="AI26" s="81">
        <f>Costs!AI27</f>
        <v>262500</v>
      </c>
      <c r="AJ26" s="81">
        <f>Costs!AJ27</f>
        <v>262500</v>
      </c>
      <c r="AK26" s="81">
        <f>Costs!AK27</f>
        <v>262500</v>
      </c>
      <c r="AL26" s="81">
        <f>Costs!AL27</f>
        <v>262500</v>
      </c>
      <c r="AM26" s="81">
        <f>Costs!AM27</f>
        <v>262500</v>
      </c>
      <c r="AN26" s="81">
        <f>Costs!AN27</f>
        <v>262500</v>
      </c>
      <c r="AO26" s="81">
        <f>Costs!AO27</f>
        <v>262500</v>
      </c>
      <c r="AP26" s="81">
        <f>Costs!AP27</f>
        <v>262500</v>
      </c>
      <c r="AQ26" s="81">
        <f>Costs!AQ27</f>
        <v>262500</v>
      </c>
      <c r="AR26" s="81">
        <f>Costs!AR27</f>
        <v>262500</v>
      </c>
      <c r="AS26" s="81">
        <f>Costs!AS27</f>
        <v>262500</v>
      </c>
      <c r="AT26" s="81">
        <f>Costs!AT27</f>
        <v>262500</v>
      </c>
      <c r="AU26" s="81">
        <f>Costs!AU27</f>
        <v>262500</v>
      </c>
      <c r="AV26" s="81">
        <f>Costs!AV27</f>
        <v>262500</v>
      </c>
      <c r="AW26" s="81">
        <f>Costs!AW27</f>
        <v>262500</v>
      </c>
      <c r="AX26" s="81">
        <f>Costs!AX27</f>
        <v>262500</v>
      </c>
      <c r="AY26" s="81">
        <f>Costs!AY27</f>
        <v>262500</v>
      </c>
      <c r="AZ26" s="81">
        <f>Costs!AZ27</f>
        <v>262500</v>
      </c>
      <c r="BA26" s="81">
        <f>Costs!BA27</f>
        <v>262500</v>
      </c>
      <c r="BB26" s="81">
        <f>Costs!BB27</f>
        <v>262500</v>
      </c>
      <c r="BC26" s="81">
        <f>Costs!BC27</f>
        <v>262500</v>
      </c>
      <c r="BD26" s="81">
        <f>Costs!BD27</f>
        <v>262500</v>
      </c>
      <c r="BE26" s="81">
        <f>Costs!BE27</f>
        <v>262500</v>
      </c>
      <c r="BF26" s="81">
        <f>Costs!BF27</f>
        <v>262500</v>
      </c>
      <c r="BG26" s="81">
        <f>Costs!BG27</f>
        <v>262500</v>
      </c>
      <c r="BH26" s="81">
        <f>Costs!BH27</f>
        <v>262500</v>
      </c>
      <c r="BI26" s="81">
        <f>Costs!BI27</f>
        <v>262500</v>
      </c>
      <c r="BJ26" s="81">
        <f>Costs!BJ27</f>
        <v>262500</v>
      </c>
      <c r="BK26" s="81">
        <f>Costs!BK27</f>
        <v>262500</v>
      </c>
      <c r="BL26" s="81">
        <f>Costs!BL27</f>
        <v>262500</v>
      </c>
      <c r="BM26" s="81">
        <f>Costs!BM27</f>
        <v>262500</v>
      </c>
      <c r="BN26" s="81">
        <f>Costs!BN27</f>
        <v>262500</v>
      </c>
      <c r="BO26" s="81">
        <f>Costs!BO27</f>
        <v>262500</v>
      </c>
      <c r="BP26" s="81">
        <f>Costs!BP27</f>
        <v>262500</v>
      </c>
      <c r="BQ26" s="81">
        <f>Costs!BQ27</f>
        <v>262500</v>
      </c>
      <c r="BR26" s="81">
        <f>Costs!BR27</f>
        <v>262500</v>
      </c>
      <c r="BS26" s="81">
        <f>Costs!BS27</f>
        <v>262500</v>
      </c>
      <c r="BT26" s="81">
        <f>Costs!BT27</f>
        <v>262500</v>
      </c>
      <c r="BU26" s="81">
        <f>Costs!BU27</f>
        <v>262500</v>
      </c>
      <c r="BV26" s="81">
        <f>Costs!BV27</f>
        <v>262500</v>
      </c>
      <c r="BW26" s="81">
        <f>Costs!BW27</f>
        <v>350000</v>
      </c>
      <c r="BX26" s="81">
        <f>Costs!BX27</f>
        <v>350000</v>
      </c>
      <c r="BY26" s="81">
        <f>Costs!BY27</f>
        <v>350000</v>
      </c>
      <c r="BZ26" s="81">
        <f>Costs!BZ27</f>
        <v>350000</v>
      </c>
      <c r="CA26" s="81">
        <f>Costs!CA27</f>
        <v>350000</v>
      </c>
      <c r="CB26" s="81">
        <f>Costs!CB27</f>
        <v>350000</v>
      </c>
      <c r="CC26" s="81">
        <f>Costs!CC27</f>
        <v>350000</v>
      </c>
      <c r="CD26" s="81">
        <f>Costs!CD27</f>
        <v>350000</v>
      </c>
      <c r="CE26" s="81">
        <f>Costs!CE27</f>
        <v>350000</v>
      </c>
      <c r="CF26" s="81">
        <f>Costs!CF27</f>
        <v>350000</v>
      </c>
      <c r="CG26" s="81">
        <f>Costs!CG27</f>
        <v>350000</v>
      </c>
      <c r="CH26" s="81">
        <f>Costs!CH27</f>
        <v>350000</v>
      </c>
      <c r="CI26" s="81">
        <f>Costs!CI27</f>
        <v>350000</v>
      </c>
      <c r="CJ26" s="81">
        <f>Costs!CJ27</f>
        <v>350000</v>
      </c>
      <c r="CK26" s="81">
        <f>Costs!CK27</f>
        <v>350000</v>
      </c>
      <c r="CL26" s="81">
        <f>Costs!CL27</f>
        <v>350000</v>
      </c>
      <c r="CM26" s="81">
        <f>Costs!CM27</f>
        <v>350000</v>
      </c>
      <c r="CN26" s="81">
        <f>Costs!CN27</f>
        <v>360500</v>
      </c>
      <c r="CO26" s="81">
        <f>Costs!CO27</f>
        <v>360500</v>
      </c>
      <c r="CP26" s="81">
        <f>Costs!CP27</f>
        <v>360500</v>
      </c>
      <c r="CQ26" s="81">
        <f>Costs!CQ27</f>
        <v>360500</v>
      </c>
      <c r="CR26" s="81">
        <f>Costs!CR27</f>
        <v>360500</v>
      </c>
      <c r="CS26" s="81">
        <f>Costs!CS27</f>
        <v>360500</v>
      </c>
      <c r="CT26" s="81">
        <f>Costs!CT27</f>
        <v>360500</v>
      </c>
      <c r="CU26" s="81">
        <f>Costs!CU27</f>
        <v>371000</v>
      </c>
      <c r="CV26" s="81">
        <f>Costs!CV27</f>
        <v>371000</v>
      </c>
      <c r="CW26" s="81">
        <f>Costs!CW27</f>
        <v>371000</v>
      </c>
      <c r="CX26" s="81">
        <f>Costs!CX27</f>
        <v>371000</v>
      </c>
      <c r="CY26" s="81">
        <f>Costs!CY27</f>
        <v>371000</v>
      </c>
      <c r="CZ26" s="81">
        <f>Costs!CZ27</f>
        <v>371000</v>
      </c>
      <c r="DA26" s="81">
        <f>Costs!DA27</f>
        <v>371000</v>
      </c>
      <c r="DB26" s="81">
        <f>Costs!DB27</f>
        <v>371000</v>
      </c>
      <c r="DC26" s="81">
        <f>Costs!DC27</f>
        <v>371000</v>
      </c>
      <c r="DD26" s="81">
        <f>Costs!DD27</f>
        <v>371000</v>
      </c>
      <c r="DE26" s="81">
        <f>Costs!DE27</f>
        <v>371000</v>
      </c>
      <c r="DF26" s="81">
        <f>Costs!DF27</f>
        <v>371000</v>
      </c>
      <c r="DG26" s="81">
        <f>Costs!DG27</f>
        <v>381500</v>
      </c>
      <c r="DH26" s="81">
        <f>Costs!DH27</f>
        <v>381500</v>
      </c>
      <c r="DI26" s="81">
        <f>Costs!DI27</f>
        <v>381500</v>
      </c>
      <c r="DJ26" s="81">
        <f>Costs!DJ27</f>
        <v>381500</v>
      </c>
      <c r="DK26" s="81">
        <f>Costs!DK27</f>
        <v>381500</v>
      </c>
      <c r="DL26" s="81">
        <f>Costs!DL27</f>
        <v>381500</v>
      </c>
      <c r="DM26" s="81">
        <f>Costs!DM27</f>
        <v>381500</v>
      </c>
      <c r="DN26" s="81">
        <f>Costs!DN27</f>
        <v>381500</v>
      </c>
      <c r="DO26" s="81">
        <f>Costs!DO27</f>
        <v>381500</v>
      </c>
      <c r="DP26" s="81">
        <f>Costs!DP27</f>
        <v>381500</v>
      </c>
      <c r="DQ26" s="81">
        <f>Costs!DQ27</f>
        <v>381500</v>
      </c>
      <c r="DR26" s="81">
        <f>Costs!DR27</f>
        <v>381500</v>
      </c>
      <c r="DS26" s="81">
        <f>Costs!DS27</f>
        <v>392000.00000000006</v>
      </c>
      <c r="DT26" s="81">
        <f>Costs!DT27</f>
        <v>392000.00000000006</v>
      </c>
      <c r="DU26" s="81">
        <f>Costs!DU27</f>
        <v>392000.00000000006</v>
      </c>
      <c r="DV26" s="81">
        <f>Costs!DV27</f>
        <v>392000.00000000006</v>
      </c>
      <c r="DW26" s="81">
        <f>Costs!DW27</f>
        <v>392000.00000000006</v>
      </c>
      <c r="DX26" s="81">
        <f>Costs!DX27</f>
        <v>392000.00000000006</v>
      </c>
      <c r="DY26" s="81">
        <f>Costs!DY27</f>
        <v>392000.00000000006</v>
      </c>
      <c r="DZ26" s="81">
        <f>Costs!DZ27</f>
        <v>392000.00000000006</v>
      </c>
      <c r="EA26" s="81">
        <f>Costs!EA27</f>
        <v>392000.00000000006</v>
      </c>
      <c r="EB26" s="81">
        <f>Costs!EB27</f>
        <v>392000.00000000006</v>
      </c>
      <c r="EC26" s="81">
        <f>Costs!EC27</f>
        <v>392000.00000000006</v>
      </c>
      <c r="ED26" s="81">
        <f>Costs!ED27</f>
        <v>392000.00000000006</v>
      </c>
      <c r="EE26" s="81">
        <f>Costs!EE27</f>
        <v>402500.00000000006</v>
      </c>
      <c r="EF26" s="81">
        <f>Costs!EF27</f>
        <v>402500.00000000006</v>
      </c>
      <c r="EG26" s="81">
        <f>Costs!EG27</f>
        <v>402500.00000000006</v>
      </c>
      <c r="EH26" s="81">
        <f>Costs!EH27</f>
        <v>402500.00000000006</v>
      </c>
      <c r="EI26" s="81">
        <f>Costs!EI27</f>
        <v>402500.00000000006</v>
      </c>
      <c r="EJ26" s="81">
        <f>Costs!EJ27</f>
        <v>402500.00000000006</v>
      </c>
      <c r="EK26" s="81">
        <f>Costs!EK27</f>
        <v>402500.00000000006</v>
      </c>
      <c r="EL26" s="81">
        <f>Costs!EL27</f>
        <v>402500.00000000006</v>
      </c>
      <c r="EM26" s="81">
        <f>Costs!EM27</f>
        <v>402500.00000000006</v>
      </c>
      <c r="EN26" s="81">
        <f>Costs!EN27</f>
        <v>402500.00000000006</v>
      </c>
      <c r="EO26" s="81">
        <f>Costs!EO27</f>
        <v>402500.00000000006</v>
      </c>
      <c r="EP26" s="81">
        <f>Costs!EP27</f>
        <v>402500.00000000006</v>
      </c>
      <c r="EQ26" s="81">
        <f>Costs!EQ27</f>
        <v>413000.00000000006</v>
      </c>
      <c r="ER26" s="81">
        <f>Costs!ER27</f>
        <v>413000.00000000006</v>
      </c>
      <c r="ES26" s="81">
        <f>Costs!ES27</f>
        <v>413000.00000000006</v>
      </c>
      <c r="ET26" s="81">
        <f>Costs!ET27</f>
        <v>413000.00000000006</v>
      </c>
      <c r="EU26" s="81">
        <f>Costs!EU27</f>
        <v>413000.00000000006</v>
      </c>
      <c r="EV26" s="81">
        <f>Costs!EV27</f>
        <v>413000.00000000006</v>
      </c>
      <c r="EW26" s="81">
        <f>Costs!EW27</f>
        <v>413000.00000000006</v>
      </c>
      <c r="EX26" s="81">
        <f>Costs!EX27</f>
        <v>413000.00000000006</v>
      </c>
      <c r="EY26" s="81">
        <f>Costs!EY27</f>
        <v>413000.00000000006</v>
      </c>
      <c r="EZ26" s="81">
        <f>Costs!EZ27</f>
        <v>413000.00000000006</v>
      </c>
      <c r="FA26" s="81">
        <f>Costs!FA27</f>
        <v>413000.00000000006</v>
      </c>
      <c r="FB26" s="81">
        <f>Costs!FB27</f>
        <v>413000.00000000006</v>
      </c>
      <c r="FC26" s="81">
        <f>Costs!FC27</f>
        <v>423500.00000000006</v>
      </c>
      <c r="FD26" s="81">
        <f>Costs!FD27</f>
        <v>423500.00000000006</v>
      </c>
      <c r="FE26" s="81">
        <f>Costs!FE27</f>
        <v>423500.00000000006</v>
      </c>
      <c r="FF26" s="81">
        <f>Costs!FF27</f>
        <v>423500.00000000006</v>
      </c>
      <c r="FG26" s="81">
        <f>Costs!FG27</f>
        <v>423500.00000000006</v>
      </c>
      <c r="FH26" s="81">
        <f>Costs!FH27</f>
        <v>423500.00000000006</v>
      </c>
      <c r="FI26" s="81">
        <f>Costs!FI27</f>
        <v>423500.00000000006</v>
      </c>
      <c r="FJ26" s="81">
        <f>Costs!FJ27</f>
        <v>423500.00000000006</v>
      </c>
      <c r="FK26" s="81">
        <f>Costs!FK27</f>
        <v>423500.00000000006</v>
      </c>
      <c r="FL26" s="81">
        <f>Costs!FL27</f>
        <v>423500.00000000006</v>
      </c>
      <c r="FM26" s="81">
        <f>Costs!FM27</f>
        <v>423500.00000000006</v>
      </c>
      <c r="FN26" s="81">
        <f>Costs!FN27</f>
        <v>423500.00000000006</v>
      </c>
      <c r="FO26" s="81">
        <f>Costs!FO27</f>
        <v>434000.00000000006</v>
      </c>
      <c r="FP26" s="81">
        <f>Costs!FP27</f>
        <v>434000.00000000006</v>
      </c>
      <c r="FQ26" s="81">
        <f>Costs!FQ27</f>
        <v>434000.00000000006</v>
      </c>
      <c r="FR26" s="81">
        <f>Costs!FR27</f>
        <v>434000.00000000006</v>
      </c>
      <c r="FS26" s="81">
        <f>Costs!FS27</f>
        <v>434000.00000000006</v>
      </c>
      <c r="FT26" s="81">
        <f>Costs!FT27</f>
        <v>434000.00000000006</v>
      </c>
      <c r="FU26" s="81">
        <f>Costs!FU27</f>
        <v>434000.00000000006</v>
      </c>
      <c r="FV26" s="81">
        <f>Costs!FV27</f>
        <v>434000.00000000006</v>
      </c>
      <c r="FW26" s="81">
        <f>Costs!FW27</f>
        <v>434000.00000000006</v>
      </c>
      <c r="FX26" s="81">
        <f>Costs!FX27</f>
        <v>434000.00000000006</v>
      </c>
      <c r="FY26" s="81">
        <f>Costs!FY27</f>
        <v>434000.00000000006</v>
      </c>
      <c r="FZ26" s="81">
        <f>Costs!FZ27</f>
        <v>434000.00000000006</v>
      </c>
      <c r="GA26" s="81">
        <f>Costs!GA27</f>
        <v>444500.00000000006</v>
      </c>
      <c r="GB26" s="81">
        <f>Costs!GB27</f>
        <v>444500.00000000006</v>
      </c>
      <c r="GC26" s="81">
        <f>Costs!GC27</f>
        <v>444500.00000000006</v>
      </c>
      <c r="GD26" s="81">
        <f>Costs!GD27</f>
        <v>444500.00000000006</v>
      </c>
      <c r="GE26" s="81">
        <f>Costs!GE27</f>
        <v>444500.00000000006</v>
      </c>
      <c r="GF26" s="81">
        <f>Costs!GF27</f>
        <v>444500.00000000006</v>
      </c>
      <c r="GG26" s="81">
        <f>Costs!GG27</f>
        <v>444500.00000000006</v>
      </c>
      <c r="GH26" s="81">
        <f>Costs!GH27</f>
        <v>444500.00000000006</v>
      </c>
      <c r="GI26" s="81">
        <f>Costs!GI27</f>
        <v>444500.00000000006</v>
      </c>
      <c r="GJ26" s="81">
        <f>Costs!GJ27</f>
        <v>444500.00000000006</v>
      </c>
      <c r="GK26" s="81">
        <f>Costs!GK27</f>
        <v>444500.00000000006</v>
      </c>
      <c r="GL26" s="81">
        <f>Costs!GL27</f>
        <v>444500.00000000006</v>
      </c>
      <c r="GM26" s="81">
        <f>Costs!GM27</f>
        <v>455000.00000000012</v>
      </c>
      <c r="GN26" s="81">
        <f>Costs!GN27</f>
        <v>455000.00000000012</v>
      </c>
      <c r="GO26" s="81">
        <f>Costs!GO27</f>
        <v>455000.00000000012</v>
      </c>
      <c r="GP26" s="81">
        <f>Costs!GP27</f>
        <v>455000.00000000012</v>
      </c>
      <c r="GQ26" s="81">
        <f>Costs!GQ27</f>
        <v>455000.00000000012</v>
      </c>
      <c r="GR26" s="81">
        <f>Costs!GR27</f>
        <v>455000.00000000012</v>
      </c>
      <c r="GS26" s="81">
        <f>Costs!GS27</f>
        <v>455000.00000000012</v>
      </c>
      <c r="GT26" s="81">
        <f>Costs!GT27</f>
        <v>455000.00000000012</v>
      </c>
      <c r="GU26" s="81">
        <f>Costs!GU27</f>
        <v>455000.00000000012</v>
      </c>
      <c r="GV26" s="81">
        <f>Costs!GV27</f>
        <v>455000.00000000012</v>
      </c>
      <c r="GW26" s="81">
        <f>Costs!GW27</f>
        <v>455000.00000000012</v>
      </c>
      <c r="GX26" s="81">
        <f>Costs!GX27</f>
        <v>455000.00000000012</v>
      </c>
      <c r="GY26" s="81">
        <f>Costs!GY27</f>
        <v>465500.00000000012</v>
      </c>
      <c r="GZ26" s="81">
        <f>Costs!GZ27</f>
        <v>465500.00000000012</v>
      </c>
      <c r="HA26" s="81">
        <f>Costs!HA27</f>
        <v>465500.00000000012</v>
      </c>
      <c r="HB26" s="81">
        <f>Costs!HB27</f>
        <v>465500.00000000012</v>
      </c>
      <c r="HC26" s="81">
        <f>Costs!HC27</f>
        <v>465500.00000000012</v>
      </c>
      <c r="HD26" s="81">
        <f>Costs!HD27</f>
        <v>465500.00000000012</v>
      </c>
      <c r="HE26" s="81">
        <f>Costs!HE27</f>
        <v>465500.00000000012</v>
      </c>
      <c r="HF26" s="81">
        <f>Costs!HF27</f>
        <v>465500.00000000012</v>
      </c>
      <c r="HG26" s="81">
        <f>Costs!HG27</f>
        <v>465500.00000000012</v>
      </c>
      <c r="HH26" s="81">
        <f>Costs!HH27</f>
        <v>465500.00000000012</v>
      </c>
      <c r="HI26" s="81">
        <f>Costs!HI27</f>
        <v>465500.00000000012</v>
      </c>
      <c r="HJ26" s="81">
        <f>Costs!HJ27</f>
        <v>465500.00000000012</v>
      </c>
      <c r="HK26" s="81">
        <f>Costs!HK27</f>
        <v>465500.00000000012</v>
      </c>
      <c r="HL26" s="81">
        <f>Costs!HL27</f>
        <v>465500.00000000012</v>
      </c>
      <c r="HM26" s="81">
        <f>Costs!HM27</f>
        <v>465500.00000000012</v>
      </c>
      <c r="HN26" s="81">
        <f>Costs!HN27</f>
        <v>465500.00000000012</v>
      </c>
      <c r="HO26" s="81">
        <f>Costs!HO27</f>
        <v>465500.00000000012</v>
      </c>
      <c r="HP26" s="81">
        <f>Costs!HP27</f>
        <v>465500.00000000012</v>
      </c>
      <c r="HQ26" s="81">
        <f>Costs!HQ27</f>
        <v>465500.00000000012</v>
      </c>
      <c r="HR26" s="81">
        <f>Costs!HR27</f>
        <v>465500.00000000012</v>
      </c>
      <c r="HS26" s="81">
        <f>Costs!HS27</f>
        <v>465500.00000000012</v>
      </c>
      <c r="HT26" s="81">
        <f>Costs!HT27</f>
        <v>465500.00000000012</v>
      </c>
      <c r="HU26" s="81">
        <f>Costs!HU27</f>
        <v>465500.00000000012</v>
      </c>
      <c r="HV26" s="81">
        <f>Costs!HV27</f>
        <v>465500.00000000012</v>
      </c>
      <c r="HW26" s="81">
        <f>Costs!HW27</f>
        <v>465500.00000000012</v>
      </c>
      <c r="HX26" s="81">
        <f>Costs!HX27</f>
        <v>465500.00000000012</v>
      </c>
      <c r="HY26" s="81">
        <f>Costs!HY27</f>
        <v>465500.00000000012</v>
      </c>
      <c r="HZ26" s="81">
        <f>Costs!HZ27</f>
        <v>465500.00000000012</v>
      </c>
      <c r="IA26" s="81">
        <f>Costs!IA27</f>
        <v>465500.00000000012</v>
      </c>
      <c r="IB26" s="81">
        <f>Costs!IB27</f>
        <v>465500.00000000012</v>
      </c>
      <c r="IC26" s="81">
        <f>Costs!IC27</f>
        <v>465500.00000000012</v>
      </c>
      <c r="ID26" s="81">
        <f>Costs!ID27</f>
        <v>465500.00000000012</v>
      </c>
      <c r="IE26" s="81">
        <f>Costs!IE27</f>
        <v>465500.00000000012</v>
      </c>
      <c r="IF26" s="81">
        <f>Costs!IF27</f>
        <v>465500.00000000012</v>
      </c>
      <c r="IG26" s="81">
        <f>Costs!IG27</f>
        <v>465500.00000000012</v>
      </c>
      <c r="IH26" s="81">
        <f>Costs!IH27</f>
        <v>465500.00000000012</v>
      </c>
    </row>
    <row r="27" spans="1:242" x14ac:dyDescent="0.45">
      <c r="A27" s="895" t="s">
        <v>226</v>
      </c>
      <c r="B27" s="896"/>
      <c r="C27" s="81">
        <f>Costs!C28</f>
        <v>54250</v>
      </c>
      <c r="D27" s="81">
        <f>Costs!D28</f>
        <v>54250</v>
      </c>
      <c r="E27" s="81">
        <f>Costs!E28</f>
        <v>54250</v>
      </c>
      <c r="F27" s="81">
        <f>Costs!F28</f>
        <v>54250</v>
      </c>
      <c r="G27" s="81">
        <f>Costs!G28</f>
        <v>54250</v>
      </c>
      <c r="H27" s="81">
        <f>Costs!H28</f>
        <v>54250</v>
      </c>
      <c r="I27" s="81">
        <f>Costs!I28</f>
        <v>54250</v>
      </c>
      <c r="J27" s="81">
        <f>Costs!J28</f>
        <v>54250</v>
      </c>
      <c r="K27" s="81">
        <f>Costs!K28</f>
        <v>54250</v>
      </c>
      <c r="L27" s="81">
        <f>Costs!L28</f>
        <v>54250</v>
      </c>
      <c r="M27" s="81">
        <f>Costs!M28</f>
        <v>54250</v>
      </c>
      <c r="N27" s="81">
        <f>Costs!N28</f>
        <v>54250</v>
      </c>
      <c r="O27" s="81">
        <f>Costs!O28</f>
        <v>54250</v>
      </c>
      <c r="P27" s="81">
        <f>Costs!P28</f>
        <v>54250</v>
      </c>
      <c r="Q27" s="81">
        <f>Costs!Q28</f>
        <v>54250</v>
      </c>
      <c r="R27" s="81">
        <f>Costs!R28</f>
        <v>54250</v>
      </c>
      <c r="S27" s="81">
        <f>Costs!S28</f>
        <v>54250</v>
      </c>
      <c r="T27" s="81">
        <f>Costs!T28</f>
        <v>54250</v>
      </c>
      <c r="U27" s="81">
        <f>Costs!U28</f>
        <v>54250</v>
      </c>
      <c r="V27" s="81">
        <f>Costs!V28</f>
        <v>54250</v>
      </c>
      <c r="W27" s="81">
        <f>Costs!W28</f>
        <v>54250</v>
      </c>
      <c r="X27" s="81">
        <f>Costs!X28</f>
        <v>54250</v>
      </c>
      <c r="Y27" s="81">
        <f>Costs!Y28</f>
        <v>54250</v>
      </c>
      <c r="Z27" s="81">
        <f>Costs!Z28</f>
        <v>54250</v>
      </c>
      <c r="AA27" s="81">
        <f>Costs!AA28</f>
        <v>162750</v>
      </c>
      <c r="AB27" s="81">
        <f>Costs!AB28</f>
        <v>162750</v>
      </c>
      <c r="AC27" s="81">
        <f>Costs!AC28</f>
        <v>162750</v>
      </c>
      <c r="AD27" s="81">
        <f>Costs!AD28</f>
        <v>162750</v>
      </c>
      <c r="AE27" s="81">
        <f>Costs!AE28</f>
        <v>162750</v>
      </c>
      <c r="AF27" s="81">
        <f>Costs!AF28</f>
        <v>162750</v>
      </c>
      <c r="AG27" s="81">
        <f>Costs!AG28</f>
        <v>162750</v>
      </c>
      <c r="AH27" s="81">
        <f>Costs!AH28</f>
        <v>162750</v>
      </c>
      <c r="AI27" s="81">
        <f>Costs!AI28</f>
        <v>162750</v>
      </c>
      <c r="AJ27" s="81">
        <f>Costs!AJ28</f>
        <v>162750</v>
      </c>
      <c r="AK27" s="81">
        <f>Costs!AK28</f>
        <v>162750</v>
      </c>
      <c r="AL27" s="81">
        <f>Costs!AL28</f>
        <v>162750</v>
      </c>
      <c r="AM27" s="81">
        <f>Costs!AM28</f>
        <v>162750</v>
      </c>
      <c r="AN27" s="81">
        <f>Costs!AN28</f>
        <v>162750</v>
      </c>
      <c r="AO27" s="81">
        <f>Costs!AO28</f>
        <v>162750</v>
      </c>
      <c r="AP27" s="81">
        <f>Costs!AP28</f>
        <v>162750</v>
      </c>
      <c r="AQ27" s="81">
        <f>Costs!AQ28</f>
        <v>162750</v>
      </c>
      <c r="AR27" s="81">
        <f>Costs!AR28</f>
        <v>162750</v>
      </c>
      <c r="AS27" s="81">
        <f>Costs!AS28</f>
        <v>162750</v>
      </c>
      <c r="AT27" s="81">
        <f>Costs!AT28</f>
        <v>162750</v>
      </c>
      <c r="AU27" s="81">
        <f>Costs!AU28</f>
        <v>162750</v>
      </c>
      <c r="AV27" s="81">
        <f>Costs!AV28</f>
        <v>162750</v>
      </c>
      <c r="AW27" s="81">
        <f>Costs!AW28</f>
        <v>162750</v>
      </c>
      <c r="AX27" s="81">
        <f>Costs!AX28</f>
        <v>162750</v>
      </c>
      <c r="AY27" s="81">
        <f>Costs!AY28</f>
        <v>162750</v>
      </c>
      <c r="AZ27" s="81">
        <f>Costs!AZ28</f>
        <v>162750</v>
      </c>
      <c r="BA27" s="81">
        <f>Costs!BA28</f>
        <v>162750</v>
      </c>
      <c r="BB27" s="81">
        <f>Costs!BB28</f>
        <v>162750</v>
      </c>
      <c r="BC27" s="81">
        <f>Costs!BC28</f>
        <v>162750</v>
      </c>
      <c r="BD27" s="81">
        <f>Costs!BD28</f>
        <v>162750</v>
      </c>
      <c r="BE27" s="81">
        <f>Costs!BE28</f>
        <v>162750</v>
      </c>
      <c r="BF27" s="81">
        <f>Costs!BF28</f>
        <v>162750</v>
      </c>
      <c r="BG27" s="81">
        <f>Costs!BG28</f>
        <v>162750</v>
      </c>
      <c r="BH27" s="81">
        <f>Costs!BH28</f>
        <v>162750</v>
      </c>
      <c r="BI27" s="81">
        <f>Costs!BI28</f>
        <v>162750</v>
      </c>
      <c r="BJ27" s="81">
        <f>Costs!BJ28</f>
        <v>162750</v>
      </c>
      <c r="BK27" s="81">
        <f>Costs!BK28</f>
        <v>162750</v>
      </c>
      <c r="BL27" s="81">
        <f>Costs!BL28</f>
        <v>162750</v>
      </c>
      <c r="BM27" s="81">
        <f>Costs!BM28</f>
        <v>162750</v>
      </c>
      <c r="BN27" s="81">
        <f>Costs!BN28</f>
        <v>162750</v>
      </c>
      <c r="BO27" s="81">
        <f>Costs!BO28</f>
        <v>162750</v>
      </c>
      <c r="BP27" s="81">
        <f>Costs!BP28</f>
        <v>162750</v>
      </c>
      <c r="BQ27" s="81">
        <f>Costs!BQ28</f>
        <v>162750</v>
      </c>
      <c r="BR27" s="81">
        <f>Costs!BR28</f>
        <v>162750</v>
      </c>
      <c r="BS27" s="81">
        <f>Costs!BS28</f>
        <v>162750</v>
      </c>
      <c r="BT27" s="81">
        <f>Costs!BT28</f>
        <v>162750</v>
      </c>
      <c r="BU27" s="81">
        <f>Costs!BU28</f>
        <v>162750</v>
      </c>
      <c r="BV27" s="81">
        <f>Costs!BV28</f>
        <v>162750</v>
      </c>
      <c r="BW27" s="81">
        <f>Costs!BW28</f>
        <v>217000</v>
      </c>
      <c r="BX27" s="81">
        <f>Costs!BX28</f>
        <v>217000</v>
      </c>
      <c r="BY27" s="81">
        <f>Costs!BY28</f>
        <v>217000</v>
      </c>
      <c r="BZ27" s="81">
        <f>Costs!BZ28</f>
        <v>217000</v>
      </c>
      <c r="CA27" s="81">
        <f>Costs!CA28</f>
        <v>217000</v>
      </c>
      <c r="CB27" s="81">
        <f>Costs!CB28</f>
        <v>217000</v>
      </c>
      <c r="CC27" s="81">
        <f>Costs!CC28</f>
        <v>217000</v>
      </c>
      <c r="CD27" s="81">
        <f>Costs!CD28</f>
        <v>217000</v>
      </c>
      <c r="CE27" s="81">
        <f>Costs!CE28</f>
        <v>217000</v>
      </c>
      <c r="CF27" s="81">
        <f>Costs!CF28</f>
        <v>217000</v>
      </c>
      <c r="CG27" s="81">
        <f>Costs!CG28</f>
        <v>217000</v>
      </c>
      <c r="CH27" s="81">
        <f>Costs!CH28</f>
        <v>217000</v>
      </c>
      <c r="CI27" s="81">
        <f>Costs!CI28</f>
        <v>217000</v>
      </c>
      <c r="CJ27" s="81">
        <f>Costs!CJ28</f>
        <v>217000</v>
      </c>
      <c r="CK27" s="81">
        <f>Costs!CK28</f>
        <v>217000</v>
      </c>
      <c r="CL27" s="81">
        <f>Costs!CL28</f>
        <v>217000</v>
      </c>
      <c r="CM27" s="81">
        <f>Costs!CM28</f>
        <v>217000</v>
      </c>
      <c r="CN27" s="81">
        <f>Costs!CN28</f>
        <v>223510</v>
      </c>
      <c r="CO27" s="81">
        <f>Costs!CO28</f>
        <v>223510</v>
      </c>
      <c r="CP27" s="81">
        <f>Costs!CP28</f>
        <v>223510</v>
      </c>
      <c r="CQ27" s="81">
        <f>Costs!CQ28</f>
        <v>223510</v>
      </c>
      <c r="CR27" s="81">
        <f>Costs!CR28</f>
        <v>223510</v>
      </c>
      <c r="CS27" s="81">
        <f>Costs!CS28</f>
        <v>223510</v>
      </c>
      <c r="CT27" s="81">
        <f>Costs!CT28</f>
        <v>223510</v>
      </c>
      <c r="CU27" s="81">
        <f>Costs!CU28</f>
        <v>230020</v>
      </c>
      <c r="CV27" s="81">
        <f>Costs!CV28</f>
        <v>230020</v>
      </c>
      <c r="CW27" s="81">
        <f>Costs!CW28</f>
        <v>230020</v>
      </c>
      <c r="CX27" s="81">
        <f>Costs!CX28</f>
        <v>230020</v>
      </c>
      <c r="CY27" s="81">
        <f>Costs!CY28</f>
        <v>230020</v>
      </c>
      <c r="CZ27" s="81">
        <f>Costs!CZ28</f>
        <v>230020</v>
      </c>
      <c r="DA27" s="81">
        <f>Costs!DA28</f>
        <v>230020</v>
      </c>
      <c r="DB27" s="81">
        <f>Costs!DB28</f>
        <v>230020</v>
      </c>
      <c r="DC27" s="81">
        <f>Costs!DC28</f>
        <v>230020</v>
      </c>
      <c r="DD27" s="81">
        <f>Costs!DD28</f>
        <v>230020</v>
      </c>
      <c r="DE27" s="81">
        <f>Costs!DE28</f>
        <v>230020</v>
      </c>
      <c r="DF27" s="81">
        <f>Costs!DF28</f>
        <v>230020</v>
      </c>
      <c r="DG27" s="81">
        <f>Costs!DG28</f>
        <v>236530.00000000003</v>
      </c>
      <c r="DH27" s="81">
        <f>Costs!DH28</f>
        <v>236530.00000000003</v>
      </c>
      <c r="DI27" s="81">
        <f>Costs!DI28</f>
        <v>236530.00000000003</v>
      </c>
      <c r="DJ27" s="81">
        <f>Costs!DJ28</f>
        <v>236530.00000000003</v>
      </c>
      <c r="DK27" s="81">
        <f>Costs!DK28</f>
        <v>236530.00000000003</v>
      </c>
      <c r="DL27" s="81">
        <f>Costs!DL28</f>
        <v>236530.00000000003</v>
      </c>
      <c r="DM27" s="81">
        <f>Costs!DM28</f>
        <v>236530.00000000003</v>
      </c>
      <c r="DN27" s="81">
        <f>Costs!DN28</f>
        <v>236530.00000000003</v>
      </c>
      <c r="DO27" s="81">
        <f>Costs!DO28</f>
        <v>236530.00000000003</v>
      </c>
      <c r="DP27" s="81">
        <f>Costs!DP28</f>
        <v>236530.00000000003</v>
      </c>
      <c r="DQ27" s="81">
        <f>Costs!DQ28</f>
        <v>236530.00000000003</v>
      </c>
      <c r="DR27" s="81">
        <f>Costs!DR28</f>
        <v>236530.00000000003</v>
      </c>
      <c r="DS27" s="81">
        <f>Costs!DS28</f>
        <v>243040.00000000003</v>
      </c>
      <c r="DT27" s="81">
        <f>Costs!DT28</f>
        <v>243040.00000000003</v>
      </c>
      <c r="DU27" s="81">
        <f>Costs!DU28</f>
        <v>243040.00000000003</v>
      </c>
      <c r="DV27" s="81">
        <f>Costs!DV28</f>
        <v>243040.00000000003</v>
      </c>
      <c r="DW27" s="81">
        <f>Costs!DW28</f>
        <v>243040.00000000003</v>
      </c>
      <c r="DX27" s="81">
        <f>Costs!DX28</f>
        <v>243040.00000000003</v>
      </c>
      <c r="DY27" s="81">
        <f>Costs!DY28</f>
        <v>243040.00000000003</v>
      </c>
      <c r="DZ27" s="81">
        <f>Costs!DZ28</f>
        <v>243040.00000000003</v>
      </c>
      <c r="EA27" s="81">
        <f>Costs!EA28</f>
        <v>243040.00000000003</v>
      </c>
      <c r="EB27" s="81">
        <f>Costs!EB28</f>
        <v>243040.00000000003</v>
      </c>
      <c r="EC27" s="81">
        <f>Costs!EC28</f>
        <v>243040.00000000003</v>
      </c>
      <c r="ED27" s="81">
        <f>Costs!ED28</f>
        <v>243040.00000000003</v>
      </c>
      <c r="EE27" s="81">
        <f>Costs!EE28</f>
        <v>249550.00000000003</v>
      </c>
      <c r="EF27" s="81">
        <f>Costs!EF28</f>
        <v>249550.00000000003</v>
      </c>
      <c r="EG27" s="81">
        <f>Costs!EG28</f>
        <v>249550.00000000003</v>
      </c>
      <c r="EH27" s="81">
        <f>Costs!EH28</f>
        <v>249550.00000000003</v>
      </c>
      <c r="EI27" s="81">
        <f>Costs!EI28</f>
        <v>249550.00000000003</v>
      </c>
      <c r="EJ27" s="81">
        <f>Costs!EJ28</f>
        <v>249550.00000000003</v>
      </c>
      <c r="EK27" s="81">
        <f>Costs!EK28</f>
        <v>249550.00000000003</v>
      </c>
      <c r="EL27" s="81">
        <f>Costs!EL28</f>
        <v>249550.00000000003</v>
      </c>
      <c r="EM27" s="81">
        <f>Costs!EM28</f>
        <v>249550.00000000003</v>
      </c>
      <c r="EN27" s="81">
        <f>Costs!EN28</f>
        <v>249550.00000000003</v>
      </c>
      <c r="EO27" s="81">
        <f>Costs!EO28</f>
        <v>249550.00000000003</v>
      </c>
      <c r="EP27" s="81">
        <f>Costs!EP28</f>
        <v>249550.00000000003</v>
      </c>
      <c r="EQ27" s="81">
        <f>Costs!EQ28</f>
        <v>256060.00000000003</v>
      </c>
      <c r="ER27" s="81">
        <f>Costs!ER28</f>
        <v>256060.00000000003</v>
      </c>
      <c r="ES27" s="81">
        <f>Costs!ES28</f>
        <v>256060.00000000003</v>
      </c>
      <c r="ET27" s="81">
        <f>Costs!ET28</f>
        <v>256060.00000000003</v>
      </c>
      <c r="EU27" s="81">
        <f>Costs!EU28</f>
        <v>256060.00000000003</v>
      </c>
      <c r="EV27" s="81">
        <f>Costs!EV28</f>
        <v>256060.00000000003</v>
      </c>
      <c r="EW27" s="81">
        <f>Costs!EW28</f>
        <v>256060.00000000003</v>
      </c>
      <c r="EX27" s="81">
        <f>Costs!EX28</f>
        <v>256060.00000000003</v>
      </c>
      <c r="EY27" s="81">
        <f>Costs!EY28</f>
        <v>256060.00000000003</v>
      </c>
      <c r="EZ27" s="81">
        <f>Costs!EZ28</f>
        <v>256060.00000000003</v>
      </c>
      <c r="FA27" s="81">
        <f>Costs!FA28</f>
        <v>256060.00000000003</v>
      </c>
      <c r="FB27" s="81">
        <f>Costs!FB28</f>
        <v>256060.00000000003</v>
      </c>
      <c r="FC27" s="81">
        <f>Costs!FC28</f>
        <v>262570.00000000006</v>
      </c>
      <c r="FD27" s="81">
        <f>Costs!FD28</f>
        <v>262570.00000000006</v>
      </c>
      <c r="FE27" s="81">
        <f>Costs!FE28</f>
        <v>262570.00000000006</v>
      </c>
      <c r="FF27" s="81">
        <f>Costs!FF28</f>
        <v>262570.00000000006</v>
      </c>
      <c r="FG27" s="81">
        <f>Costs!FG28</f>
        <v>262570.00000000006</v>
      </c>
      <c r="FH27" s="81">
        <f>Costs!FH28</f>
        <v>262570.00000000006</v>
      </c>
      <c r="FI27" s="81">
        <f>Costs!FI28</f>
        <v>262570.00000000006</v>
      </c>
      <c r="FJ27" s="81">
        <f>Costs!FJ28</f>
        <v>262570.00000000006</v>
      </c>
      <c r="FK27" s="81">
        <f>Costs!FK28</f>
        <v>262570.00000000006</v>
      </c>
      <c r="FL27" s="81">
        <f>Costs!FL28</f>
        <v>262570.00000000006</v>
      </c>
      <c r="FM27" s="81">
        <f>Costs!FM28</f>
        <v>262570.00000000006</v>
      </c>
      <c r="FN27" s="81">
        <f>Costs!FN28</f>
        <v>262570.00000000006</v>
      </c>
      <c r="FO27" s="81">
        <f>Costs!FO28</f>
        <v>269080.00000000006</v>
      </c>
      <c r="FP27" s="81">
        <f>Costs!FP28</f>
        <v>269080.00000000006</v>
      </c>
      <c r="FQ27" s="81">
        <f>Costs!FQ28</f>
        <v>269080.00000000006</v>
      </c>
      <c r="FR27" s="81">
        <f>Costs!FR28</f>
        <v>269080.00000000006</v>
      </c>
      <c r="FS27" s="81">
        <f>Costs!FS28</f>
        <v>269080.00000000006</v>
      </c>
      <c r="FT27" s="81">
        <f>Costs!FT28</f>
        <v>269080.00000000006</v>
      </c>
      <c r="FU27" s="81">
        <f>Costs!FU28</f>
        <v>269080.00000000006</v>
      </c>
      <c r="FV27" s="81">
        <f>Costs!FV28</f>
        <v>269080.00000000006</v>
      </c>
      <c r="FW27" s="81">
        <f>Costs!FW28</f>
        <v>269080.00000000006</v>
      </c>
      <c r="FX27" s="81">
        <f>Costs!FX28</f>
        <v>269080.00000000006</v>
      </c>
      <c r="FY27" s="81">
        <f>Costs!FY28</f>
        <v>269080.00000000006</v>
      </c>
      <c r="FZ27" s="81">
        <f>Costs!FZ28</f>
        <v>269080.00000000006</v>
      </c>
      <c r="GA27" s="81">
        <f>Costs!GA28</f>
        <v>275590.00000000006</v>
      </c>
      <c r="GB27" s="81">
        <f>Costs!GB28</f>
        <v>275590.00000000006</v>
      </c>
      <c r="GC27" s="81">
        <f>Costs!GC28</f>
        <v>275590.00000000006</v>
      </c>
      <c r="GD27" s="81">
        <f>Costs!GD28</f>
        <v>275590.00000000006</v>
      </c>
      <c r="GE27" s="81">
        <f>Costs!GE28</f>
        <v>275590.00000000006</v>
      </c>
      <c r="GF27" s="81">
        <f>Costs!GF28</f>
        <v>275590.00000000006</v>
      </c>
      <c r="GG27" s="81">
        <f>Costs!GG28</f>
        <v>275590.00000000006</v>
      </c>
      <c r="GH27" s="81">
        <f>Costs!GH28</f>
        <v>275590.00000000006</v>
      </c>
      <c r="GI27" s="81">
        <f>Costs!GI28</f>
        <v>275590.00000000006</v>
      </c>
      <c r="GJ27" s="81">
        <f>Costs!GJ28</f>
        <v>275590.00000000006</v>
      </c>
      <c r="GK27" s="81">
        <f>Costs!GK28</f>
        <v>275590.00000000006</v>
      </c>
      <c r="GL27" s="81">
        <f>Costs!GL28</f>
        <v>275590.00000000006</v>
      </c>
      <c r="GM27" s="81">
        <f>Costs!GM28</f>
        <v>282100.00000000006</v>
      </c>
      <c r="GN27" s="81">
        <f>Costs!GN28</f>
        <v>282100.00000000006</v>
      </c>
      <c r="GO27" s="81">
        <f>Costs!GO28</f>
        <v>282100.00000000006</v>
      </c>
      <c r="GP27" s="81">
        <f>Costs!GP28</f>
        <v>282100.00000000006</v>
      </c>
      <c r="GQ27" s="81">
        <f>Costs!GQ28</f>
        <v>282100.00000000006</v>
      </c>
      <c r="GR27" s="81">
        <f>Costs!GR28</f>
        <v>282100.00000000006</v>
      </c>
      <c r="GS27" s="81">
        <f>Costs!GS28</f>
        <v>282100.00000000006</v>
      </c>
      <c r="GT27" s="81">
        <f>Costs!GT28</f>
        <v>282100.00000000006</v>
      </c>
      <c r="GU27" s="81">
        <f>Costs!GU28</f>
        <v>282100.00000000006</v>
      </c>
      <c r="GV27" s="81">
        <f>Costs!GV28</f>
        <v>282100.00000000006</v>
      </c>
      <c r="GW27" s="81">
        <f>Costs!GW28</f>
        <v>282100.00000000006</v>
      </c>
      <c r="GX27" s="81">
        <f>Costs!GX28</f>
        <v>282100.00000000006</v>
      </c>
      <c r="GY27" s="81">
        <f>Costs!GY28</f>
        <v>288610.00000000006</v>
      </c>
      <c r="GZ27" s="81">
        <f>Costs!GZ28</f>
        <v>288610.00000000006</v>
      </c>
      <c r="HA27" s="81">
        <f>Costs!HA28</f>
        <v>288610.00000000006</v>
      </c>
      <c r="HB27" s="81">
        <f>Costs!HB28</f>
        <v>288610.00000000006</v>
      </c>
      <c r="HC27" s="81">
        <f>Costs!HC28</f>
        <v>288610.00000000006</v>
      </c>
      <c r="HD27" s="81">
        <f>Costs!HD28</f>
        <v>288610.00000000006</v>
      </c>
      <c r="HE27" s="81">
        <f>Costs!HE28</f>
        <v>288610.00000000006</v>
      </c>
      <c r="HF27" s="81">
        <f>Costs!HF28</f>
        <v>288610.00000000006</v>
      </c>
      <c r="HG27" s="81">
        <f>Costs!HG28</f>
        <v>288610.00000000006</v>
      </c>
      <c r="HH27" s="81">
        <f>Costs!HH28</f>
        <v>288610.00000000006</v>
      </c>
      <c r="HI27" s="81">
        <f>Costs!HI28</f>
        <v>288610.00000000006</v>
      </c>
      <c r="HJ27" s="81">
        <f>Costs!HJ28</f>
        <v>288610.00000000006</v>
      </c>
      <c r="HK27" s="81">
        <f>Costs!HK28</f>
        <v>288610.00000000006</v>
      </c>
      <c r="HL27" s="81">
        <f>Costs!HL28</f>
        <v>288610.00000000006</v>
      </c>
      <c r="HM27" s="81">
        <f>Costs!HM28</f>
        <v>288610.00000000006</v>
      </c>
      <c r="HN27" s="81">
        <f>Costs!HN28</f>
        <v>288610.00000000006</v>
      </c>
      <c r="HO27" s="81">
        <f>Costs!HO28</f>
        <v>288610.00000000006</v>
      </c>
      <c r="HP27" s="81">
        <f>Costs!HP28</f>
        <v>288610.00000000006</v>
      </c>
      <c r="HQ27" s="81">
        <f>Costs!HQ28</f>
        <v>288610.00000000006</v>
      </c>
      <c r="HR27" s="81">
        <f>Costs!HR28</f>
        <v>288610.00000000006</v>
      </c>
      <c r="HS27" s="81">
        <f>Costs!HS28</f>
        <v>288610.00000000006</v>
      </c>
      <c r="HT27" s="81">
        <f>Costs!HT28</f>
        <v>288610.00000000006</v>
      </c>
      <c r="HU27" s="81">
        <f>Costs!HU28</f>
        <v>288610.00000000006</v>
      </c>
      <c r="HV27" s="81">
        <f>Costs!HV28</f>
        <v>288610.00000000006</v>
      </c>
      <c r="HW27" s="81">
        <f>Costs!HW28</f>
        <v>288610.00000000006</v>
      </c>
      <c r="HX27" s="81">
        <f>Costs!HX28</f>
        <v>288610.00000000006</v>
      </c>
      <c r="HY27" s="81">
        <f>Costs!HY28</f>
        <v>288610.00000000006</v>
      </c>
      <c r="HZ27" s="81">
        <f>Costs!HZ28</f>
        <v>288610.00000000006</v>
      </c>
      <c r="IA27" s="81">
        <f>Costs!IA28</f>
        <v>288610.00000000006</v>
      </c>
      <c r="IB27" s="81">
        <f>Costs!IB28</f>
        <v>288610.00000000006</v>
      </c>
      <c r="IC27" s="81">
        <f>Costs!IC28</f>
        <v>288610.00000000006</v>
      </c>
      <c r="ID27" s="81">
        <f>Costs!ID28</f>
        <v>288610.00000000006</v>
      </c>
      <c r="IE27" s="81">
        <f>Costs!IE28</f>
        <v>288610.00000000006</v>
      </c>
      <c r="IF27" s="81">
        <f>Costs!IF28</f>
        <v>288610.00000000006</v>
      </c>
      <c r="IG27" s="81">
        <f>Costs!IG28</f>
        <v>288610.00000000006</v>
      </c>
      <c r="IH27" s="81">
        <f>Costs!IH28</f>
        <v>288610.00000000006</v>
      </c>
    </row>
    <row r="28" spans="1:242" x14ac:dyDescent="0.45">
      <c r="A28" s="895" t="s">
        <v>189</v>
      </c>
      <c r="B28" s="896"/>
      <c r="C28" s="81">
        <f>Costs!C29</f>
        <v>18750</v>
      </c>
      <c r="D28" s="81">
        <f>Costs!D29</f>
        <v>18750</v>
      </c>
      <c r="E28" s="81">
        <f>Costs!E29</f>
        <v>18750</v>
      </c>
      <c r="F28" s="81">
        <f>Costs!F29</f>
        <v>18750</v>
      </c>
      <c r="G28" s="81">
        <f>Costs!G29</f>
        <v>18750</v>
      </c>
      <c r="H28" s="81">
        <f>Costs!H29</f>
        <v>18750</v>
      </c>
      <c r="I28" s="81">
        <f>Costs!I29</f>
        <v>18750</v>
      </c>
      <c r="J28" s="81">
        <f>Costs!J29</f>
        <v>18750</v>
      </c>
      <c r="K28" s="81">
        <f>Costs!K29</f>
        <v>18750</v>
      </c>
      <c r="L28" s="81">
        <f>Costs!L29</f>
        <v>18750</v>
      </c>
      <c r="M28" s="81">
        <f>Costs!M29</f>
        <v>18750</v>
      </c>
      <c r="N28" s="81">
        <f>Costs!N29</f>
        <v>18750</v>
      </c>
      <c r="O28" s="81">
        <f>Costs!O29</f>
        <v>18750</v>
      </c>
      <c r="P28" s="81">
        <f>Costs!P29</f>
        <v>18750</v>
      </c>
      <c r="Q28" s="81">
        <f>Costs!Q29</f>
        <v>18750</v>
      </c>
      <c r="R28" s="81">
        <f>Costs!R29</f>
        <v>18750</v>
      </c>
      <c r="S28" s="81">
        <f>Costs!S29</f>
        <v>18750</v>
      </c>
      <c r="T28" s="81">
        <f>Costs!T29</f>
        <v>18750</v>
      </c>
      <c r="U28" s="81">
        <f>Costs!U29</f>
        <v>18750</v>
      </c>
      <c r="V28" s="81">
        <f>Costs!V29</f>
        <v>18750</v>
      </c>
      <c r="W28" s="81">
        <f>Costs!W29</f>
        <v>18750</v>
      </c>
      <c r="X28" s="81">
        <f>Costs!X29</f>
        <v>18750</v>
      </c>
      <c r="Y28" s="81">
        <f>Costs!Y29</f>
        <v>18750</v>
      </c>
      <c r="Z28" s="81">
        <f>Costs!Z29</f>
        <v>18750</v>
      </c>
      <c r="AA28" s="81">
        <f>Costs!AA29</f>
        <v>56250</v>
      </c>
      <c r="AB28" s="81">
        <f>Costs!AB29</f>
        <v>56250</v>
      </c>
      <c r="AC28" s="81">
        <f>Costs!AC29</f>
        <v>56250</v>
      </c>
      <c r="AD28" s="81">
        <f>Costs!AD29</f>
        <v>56250</v>
      </c>
      <c r="AE28" s="81">
        <f>Costs!AE29</f>
        <v>56250</v>
      </c>
      <c r="AF28" s="81">
        <f>Costs!AF29</f>
        <v>56250</v>
      </c>
      <c r="AG28" s="81">
        <f>Costs!AG29</f>
        <v>56250</v>
      </c>
      <c r="AH28" s="81">
        <f>Costs!AH29</f>
        <v>56250</v>
      </c>
      <c r="AI28" s="81">
        <f>Costs!AI29</f>
        <v>56250</v>
      </c>
      <c r="AJ28" s="81">
        <f>Costs!AJ29</f>
        <v>56250</v>
      </c>
      <c r="AK28" s="81">
        <f>Costs!AK29</f>
        <v>56250</v>
      </c>
      <c r="AL28" s="81">
        <f>Costs!AL29</f>
        <v>56250</v>
      </c>
      <c r="AM28" s="81">
        <f>Costs!AM29</f>
        <v>56250</v>
      </c>
      <c r="AN28" s="81">
        <f>Costs!AN29</f>
        <v>56250</v>
      </c>
      <c r="AO28" s="81">
        <f>Costs!AO29</f>
        <v>56250</v>
      </c>
      <c r="AP28" s="81">
        <f>Costs!AP29</f>
        <v>56250</v>
      </c>
      <c r="AQ28" s="81">
        <f>Costs!AQ29</f>
        <v>56250</v>
      </c>
      <c r="AR28" s="81">
        <f>Costs!AR29</f>
        <v>56250</v>
      </c>
      <c r="AS28" s="81">
        <f>Costs!AS29</f>
        <v>56250</v>
      </c>
      <c r="AT28" s="81">
        <f>Costs!AT29</f>
        <v>56250</v>
      </c>
      <c r="AU28" s="81">
        <f>Costs!AU29</f>
        <v>56250</v>
      </c>
      <c r="AV28" s="81">
        <f>Costs!AV29</f>
        <v>56250</v>
      </c>
      <c r="AW28" s="81">
        <f>Costs!AW29</f>
        <v>56250</v>
      </c>
      <c r="AX28" s="81">
        <f>Costs!AX29</f>
        <v>56250</v>
      </c>
      <c r="AY28" s="81">
        <f>Costs!AY29</f>
        <v>56250</v>
      </c>
      <c r="AZ28" s="81">
        <f>Costs!AZ29</f>
        <v>56250</v>
      </c>
      <c r="BA28" s="81">
        <f>Costs!BA29</f>
        <v>56250</v>
      </c>
      <c r="BB28" s="81">
        <f>Costs!BB29</f>
        <v>56250</v>
      </c>
      <c r="BC28" s="81">
        <f>Costs!BC29</f>
        <v>56250</v>
      </c>
      <c r="BD28" s="81">
        <f>Costs!BD29</f>
        <v>56250</v>
      </c>
      <c r="BE28" s="81">
        <f>Costs!BE29</f>
        <v>56250</v>
      </c>
      <c r="BF28" s="81">
        <f>Costs!BF29</f>
        <v>56250</v>
      </c>
      <c r="BG28" s="81">
        <f>Costs!BG29</f>
        <v>56250</v>
      </c>
      <c r="BH28" s="81">
        <f>Costs!BH29</f>
        <v>56250</v>
      </c>
      <c r="BI28" s="81">
        <f>Costs!BI29</f>
        <v>56250</v>
      </c>
      <c r="BJ28" s="81">
        <f>Costs!BJ29</f>
        <v>56250</v>
      </c>
      <c r="BK28" s="81">
        <f>Costs!BK29</f>
        <v>56250</v>
      </c>
      <c r="BL28" s="81">
        <f>Costs!BL29</f>
        <v>56250</v>
      </c>
      <c r="BM28" s="81">
        <f>Costs!BM29</f>
        <v>56250</v>
      </c>
      <c r="BN28" s="81">
        <f>Costs!BN29</f>
        <v>56250</v>
      </c>
      <c r="BO28" s="81">
        <f>Costs!BO29</f>
        <v>56250</v>
      </c>
      <c r="BP28" s="81">
        <f>Costs!BP29</f>
        <v>56250</v>
      </c>
      <c r="BQ28" s="81">
        <f>Costs!BQ29</f>
        <v>56250</v>
      </c>
      <c r="BR28" s="81">
        <f>Costs!BR29</f>
        <v>56250</v>
      </c>
      <c r="BS28" s="81">
        <f>Costs!BS29</f>
        <v>56250</v>
      </c>
      <c r="BT28" s="81">
        <f>Costs!BT29</f>
        <v>56250</v>
      </c>
      <c r="BU28" s="81">
        <f>Costs!BU29</f>
        <v>56250</v>
      </c>
      <c r="BV28" s="81">
        <f>Costs!BV29</f>
        <v>56250</v>
      </c>
      <c r="BW28" s="81">
        <f>Costs!BW29</f>
        <v>75000</v>
      </c>
      <c r="BX28" s="81">
        <f>Costs!BX29</f>
        <v>75000</v>
      </c>
      <c r="BY28" s="81">
        <f>Costs!BY29</f>
        <v>75000</v>
      </c>
      <c r="BZ28" s="81">
        <f>Costs!BZ29</f>
        <v>75000</v>
      </c>
      <c r="CA28" s="81">
        <f>Costs!CA29</f>
        <v>75000</v>
      </c>
      <c r="CB28" s="81">
        <f>Costs!CB29</f>
        <v>75000</v>
      </c>
      <c r="CC28" s="81">
        <f>Costs!CC29</f>
        <v>75000</v>
      </c>
      <c r="CD28" s="81">
        <f>Costs!CD29</f>
        <v>75000</v>
      </c>
      <c r="CE28" s="81">
        <f>Costs!CE29</f>
        <v>75000</v>
      </c>
      <c r="CF28" s="81">
        <f>Costs!CF29</f>
        <v>75000</v>
      </c>
      <c r="CG28" s="81">
        <f>Costs!CG29</f>
        <v>75000</v>
      </c>
      <c r="CH28" s="81">
        <f>Costs!CH29</f>
        <v>75000</v>
      </c>
      <c r="CI28" s="81">
        <f>Costs!CI29</f>
        <v>75000</v>
      </c>
      <c r="CJ28" s="81">
        <f>Costs!CJ29</f>
        <v>75000</v>
      </c>
      <c r="CK28" s="81">
        <f>Costs!CK29</f>
        <v>75000</v>
      </c>
      <c r="CL28" s="81">
        <f>Costs!CL29</f>
        <v>75000</v>
      </c>
      <c r="CM28" s="81">
        <f>Costs!CM29</f>
        <v>75000</v>
      </c>
      <c r="CN28" s="81">
        <f>Costs!CN29</f>
        <v>77250</v>
      </c>
      <c r="CO28" s="81">
        <f>Costs!CO29</f>
        <v>77250</v>
      </c>
      <c r="CP28" s="81">
        <f>Costs!CP29</f>
        <v>77250</v>
      </c>
      <c r="CQ28" s="81">
        <f>Costs!CQ29</f>
        <v>77250</v>
      </c>
      <c r="CR28" s="81">
        <f>Costs!CR29</f>
        <v>77250</v>
      </c>
      <c r="CS28" s="81">
        <f>Costs!CS29</f>
        <v>77250</v>
      </c>
      <c r="CT28" s="81">
        <f>Costs!CT29</f>
        <v>77250</v>
      </c>
      <c r="CU28" s="81">
        <f>Costs!CU29</f>
        <v>79500</v>
      </c>
      <c r="CV28" s="81">
        <f>Costs!CV29</f>
        <v>79500</v>
      </c>
      <c r="CW28" s="81">
        <f>Costs!CW29</f>
        <v>79500</v>
      </c>
      <c r="CX28" s="81">
        <f>Costs!CX29</f>
        <v>79500</v>
      </c>
      <c r="CY28" s="81">
        <f>Costs!CY29</f>
        <v>79500</v>
      </c>
      <c r="CZ28" s="81">
        <f>Costs!CZ29</f>
        <v>79500</v>
      </c>
      <c r="DA28" s="81">
        <f>Costs!DA29</f>
        <v>79500</v>
      </c>
      <c r="DB28" s="81">
        <f>Costs!DB29</f>
        <v>79500</v>
      </c>
      <c r="DC28" s="81">
        <f>Costs!DC29</f>
        <v>79500</v>
      </c>
      <c r="DD28" s="81">
        <f>Costs!DD29</f>
        <v>79500</v>
      </c>
      <c r="DE28" s="81">
        <f>Costs!DE29</f>
        <v>79500</v>
      </c>
      <c r="DF28" s="81">
        <f>Costs!DF29</f>
        <v>79500</v>
      </c>
      <c r="DG28" s="81">
        <f>Costs!DG29</f>
        <v>81750</v>
      </c>
      <c r="DH28" s="81">
        <f>Costs!DH29</f>
        <v>81750</v>
      </c>
      <c r="DI28" s="81">
        <f>Costs!DI29</f>
        <v>81750</v>
      </c>
      <c r="DJ28" s="81">
        <f>Costs!DJ29</f>
        <v>81750</v>
      </c>
      <c r="DK28" s="81">
        <f>Costs!DK29</f>
        <v>81750</v>
      </c>
      <c r="DL28" s="81">
        <f>Costs!DL29</f>
        <v>81750</v>
      </c>
      <c r="DM28" s="81">
        <f>Costs!DM29</f>
        <v>81750</v>
      </c>
      <c r="DN28" s="81">
        <f>Costs!DN29</f>
        <v>81750</v>
      </c>
      <c r="DO28" s="81">
        <f>Costs!DO29</f>
        <v>81750</v>
      </c>
      <c r="DP28" s="81">
        <f>Costs!DP29</f>
        <v>81750</v>
      </c>
      <c r="DQ28" s="81">
        <f>Costs!DQ29</f>
        <v>81750</v>
      </c>
      <c r="DR28" s="81">
        <f>Costs!DR29</f>
        <v>81750</v>
      </c>
      <c r="DS28" s="81">
        <f>Costs!DS29</f>
        <v>84000.000000000015</v>
      </c>
      <c r="DT28" s="81">
        <f>Costs!DT29</f>
        <v>84000.000000000015</v>
      </c>
      <c r="DU28" s="81">
        <f>Costs!DU29</f>
        <v>84000.000000000015</v>
      </c>
      <c r="DV28" s="81">
        <f>Costs!DV29</f>
        <v>84000.000000000015</v>
      </c>
      <c r="DW28" s="81">
        <f>Costs!DW29</f>
        <v>84000.000000000015</v>
      </c>
      <c r="DX28" s="81">
        <f>Costs!DX29</f>
        <v>84000.000000000015</v>
      </c>
      <c r="DY28" s="81">
        <f>Costs!DY29</f>
        <v>84000.000000000015</v>
      </c>
      <c r="DZ28" s="81">
        <f>Costs!DZ29</f>
        <v>84000.000000000015</v>
      </c>
      <c r="EA28" s="81">
        <f>Costs!EA29</f>
        <v>84000.000000000015</v>
      </c>
      <c r="EB28" s="81">
        <f>Costs!EB29</f>
        <v>84000.000000000015</v>
      </c>
      <c r="EC28" s="81">
        <f>Costs!EC29</f>
        <v>84000.000000000015</v>
      </c>
      <c r="ED28" s="81">
        <f>Costs!ED29</f>
        <v>84000.000000000015</v>
      </c>
      <c r="EE28" s="81">
        <f>Costs!EE29</f>
        <v>86250.000000000015</v>
      </c>
      <c r="EF28" s="81">
        <f>Costs!EF29</f>
        <v>86250.000000000015</v>
      </c>
      <c r="EG28" s="81">
        <f>Costs!EG29</f>
        <v>86250.000000000015</v>
      </c>
      <c r="EH28" s="81">
        <f>Costs!EH29</f>
        <v>86250.000000000015</v>
      </c>
      <c r="EI28" s="81">
        <f>Costs!EI29</f>
        <v>86250.000000000015</v>
      </c>
      <c r="EJ28" s="81">
        <f>Costs!EJ29</f>
        <v>86250.000000000015</v>
      </c>
      <c r="EK28" s="81">
        <f>Costs!EK29</f>
        <v>86250.000000000015</v>
      </c>
      <c r="EL28" s="81">
        <f>Costs!EL29</f>
        <v>86250.000000000015</v>
      </c>
      <c r="EM28" s="81">
        <f>Costs!EM29</f>
        <v>86250.000000000015</v>
      </c>
      <c r="EN28" s="81">
        <f>Costs!EN29</f>
        <v>86250.000000000015</v>
      </c>
      <c r="EO28" s="81">
        <f>Costs!EO29</f>
        <v>86250.000000000015</v>
      </c>
      <c r="EP28" s="81">
        <f>Costs!EP29</f>
        <v>86250.000000000015</v>
      </c>
      <c r="EQ28" s="81">
        <f>Costs!EQ29</f>
        <v>88500.000000000015</v>
      </c>
      <c r="ER28" s="81">
        <f>Costs!ER29</f>
        <v>88500.000000000015</v>
      </c>
      <c r="ES28" s="81">
        <f>Costs!ES29</f>
        <v>88500.000000000015</v>
      </c>
      <c r="ET28" s="81">
        <f>Costs!ET29</f>
        <v>88500.000000000015</v>
      </c>
      <c r="EU28" s="81">
        <f>Costs!EU29</f>
        <v>88500.000000000015</v>
      </c>
      <c r="EV28" s="81">
        <f>Costs!EV29</f>
        <v>88500.000000000015</v>
      </c>
      <c r="EW28" s="81">
        <f>Costs!EW29</f>
        <v>88500.000000000015</v>
      </c>
      <c r="EX28" s="81">
        <f>Costs!EX29</f>
        <v>88500.000000000015</v>
      </c>
      <c r="EY28" s="81">
        <f>Costs!EY29</f>
        <v>88500.000000000015</v>
      </c>
      <c r="EZ28" s="81">
        <f>Costs!EZ29</f>
        <v>88500.000000000015</v>
      </c>
      <c r="FA28" s="81">
        <f>Costs!FA29</f>
        <v>88500.000000000015</v>
      </c>
      <c r="FB28" s="81">
        <f>Costs!FB29</f>
        <v>88500.000000000015</v>
      </c>
      <c r="FC28" s="81">
        <f>Costs!FC29</f>
        <v>90750.000000000015</v>
      </c>
      <c r="FD28" s="81">
        <f>Costs!FD29</f>
        <v>90750.000000000015</v>
      </c>
      <c r="FE28" s="81">
        <f>Costs!FE29</f>
        <v>90750.000000000015</v>
      </c>
      <c r="FF28" s="81">
        <f>Costs!FF29</f>
        <v>90750.000000000015</v>
      </c>
      <c r="FG28" s="81">
        <f>Costs!FG29</f>
        <v>90750.000000000015</v>
      </c>
      <c r="FH28" s="81">
        <f>Costs!FH29</f>
        <v>90750.000000000015</v>
      </c>
      <c r="FI28" s="81">
        <f>Costs!FI29</f>
        <v>90750.000000000015</v>
      </c>
      <c r="FJ28" s="81">
        <f>Costs!FJ29</f>
        <v>90750.000000000015</v>
      </c>
      <c r="FK28" s="81">
        <f>Costs!FK29</f>
        <v>90750.000000000015</v>
      </c>
      <c r="FL28" s="81">
        <f>Costs!FL29</f>
        <v>90750.000000000015</v>
      </c>
      <c r="FM28" s="81">
        <f>Costs!FM29</f>
        <v>90750.000000000015</v>
      </c>
      <c r="FN28" s="81">
        <f>Costs!FN29</f>
        <v>90750.000000000015</v>
      </c>
      <c r="FO28" s="81">
        <f>Costs!FO29</f>
        <v>93000.000000000015</v>
      </c>
      <c r="FP28" s="81">
        <f>Costs!FP29</f>
        <v>93000.000000000015</v>
      </c>
      <c r="FQ28" s="81">
        <f>Costs!FQ29</f>
        <v>93000.000000000015</v>
      </c>
      <c r="FR28" s="81">
        <f>Costs!FR29</f>
        <v>93000.000000000015</v>
      </c>
      <c r="FS28" s="81">
        <f>Costs!FS29</f>
        <v>93000.000000000015</v>
      </c>
      <c r="FT28" s="81">
        <f>Costs!FT29</f>
        <v>93000.000000000015</v>
      </c>
      <c r="FU28" s="81">
        <f>Costs!FU29</f>
        <v>93000.000000000015</v>
      </c>
      <c r="FV28" s="81">
        <f>Costs!FV29</f>
        <v>93000.000000000015</v>
      </c>
      <c r="FW28" s="81">
        <f>Costs!FW29</f>
        <v>93000.000000000015</v>
      </c>
      <c r="FX28" s="81">
        <f>Costs!FX29</f>
        <v>93000.000000000015</v>
      </c>
      <c r="FY28" s="81">
        <f>Costs!FY29</f>
        <v>93000.000000000015</v>
      </c>
      <c r="FZ28" s="81">
        <f>Costs!FZ29</f>
        <v>93000.000000000015</v>
      </c>
      <c r="GA28" s="81">
        <f>Costs!GA29</f>
        <v>95250.000000000015</v>
      </c>
      <c r="GB28" s="81">
        <f>Costs!GB29</f>
        <v>95250.000000000015</v>
      </c>
      <c r="GC28" s="81">
        <f>Costs!GC29</f>
        <v>95250.000000000015</v>
      </c>
      <c r="GD28" s="81">
        <f>Costs!GD29</f>
        <v>95250.000000000015</v>
      </c>
      <c r="GE28" s="81">
        <f>Costs!GE29</f>
        <v>95250.000000000015</v>
      </c>
      <c r="GF28" s="81">
        <f>Costs!GF29</f>
        <v>95250.000000000015</v>
      </c>
      <c r="GG28" s="81">
        <f>Costs!GG29</f>
        <v>95250.000000000015</v>
      </c>
      <c r="GH28" s="81">
        <f>Costs!GH29</f>
        <v>95250.000000000015</v>
      </c>
      <c r="GI28" s="81">
        <f>Costs!GI29</f>
        <v>95250.000000000015</v>
      </c>
      <c r="GJ28" s="81">
        <f>Costs!GJ29</f>
        <v>95250.000000000015</v>
      </c>
      <c r="GK28" s="81">
        <f>Costs!GK29</f>
        <v>95250.000000000015</v>
      </c>
      <c r="GL28" s="81">
        <f>Costs!GL29</f>
        <v>95250.000000000015</v>
      </c>
      <c r="GM28" s="81">
        <f>Costs!GM29</f>
        <v>97500.000000000015</v>
      </c>
      <c r="GN28" s="81">
        <f>Costs!GN29</f>
        <v>97500.000000000015</v>
      </c>
      <c r="GO28" s="81">
        <f>Costs!GO29</f>
        <v>97500.000000000015</v>
      </c>
      <c r="GP28" s="81">
        <f>Costs!GP29</f>
        <v>97500.000000000015</v>
      </c>
      <c r="GQ28" s="81">
        <f>Costs!GQ29</f>
        <v>97500.000000000015</v>
      </c>
      <c r="GR28" s="81">
        <f>Costs!GR29</f>
        <v>97500.000000000015</v>
      </c>
      <c r="GS28" s="81">
        <f>Costs!GS29</f>
        <v>97500.000000000015</v>
      </c>
      <c r="GT28" s="81">
        <f>Costs!GT29</f>
        <v>97500.000000000015</v>
      </c>
      <c r="GU28" s="81">
        <f>Costs!GU29</f>
        <v>97500.000000000015</v>
      </c>
      <c r="GV28" s="81">
        <f>Costs!GV29</f>
        <v>97500.000000000015</v>
      </c>
      <c r="GW28" s="81">
        <f>Costs!GW29</f>
        <v>97500.000000000015</v>
      </c>
      <c r="GX28" s="81">
        <f>Costs!GX29</f>
        <v>97500.000000000015</v>
      </c>
      <c r="GY28" s="81">
        <f>Costs!GY29</f>
        <v>99750.000000000029</v>
      </c>
      <c r="GZ28" s="81">
        <f>Costs!GZ29</f>
        <v>99750.000000000029</v>
      </c>
      <c r="HA28" s="81">
        <f>Costs!HA29</f>
        <v>99750.000000000029</v>
      </c>
      <c r="HB28" s="81">
        <f>Costs!HB29</f>
        <v>99750.000000000029</v>
      </c>
      <c r="HC28" s="81">
        <f>Costs!HC29</f>
        <v>99750.000000000029</v>
      </c>
      <c r="HD28" s="81">
        <f>Costs!HD29</f>
        <v>99750.000000000029</v>
      </c>
      <c r="HE28" s="81">
        <f>Costs!HE29</f>
        <v>99750.000000000029</v>
      </c>
      <c r="HF28" s="81">
        <f>Costs!HF29</f>
        <v>99750.000000000029</v>
      </c>
      <c r="HG28" s="81">
        <f>Costs!HG29</f>
        <v>99750.000000000029</v>
      </c>
      <c r="HH28" s="81">
        <f>Costs!HH29</f>
        <v>99750.000000000029</v>
      </c>
      <c r="HI28" s="81">
        <f>Costs!HI29</f>
        <v>99750.000000000029</v>
      </c>
      <c r="HJ28" s="81">
        <f>Costs!HJ29</f>
        <v>99750.000000000029</v>
      </c>
      <c r="HK28" s="81">
        <f>Costs!HK29</f>
        <v>99750.000000000029</v>
      </c>
      <c r="HL28" s="81">
        <f>Costs!HL29</f>
        <v>99750.000000000029</v>
      </c>
      <c r="HM28" s="81">
        <f>Costs!HM29</f>
        <v>99750.000000000029</v>
      </c>
      <c r="HN28" s="81">
        <f>Costs!HN29</f>
        <v>99750.000000000029</v>
      </c>
      <c r="HO28" s="81">
        <f>Costs!HO29</f>
        <v>99750.000000000029</v>
      </c>
      <c r="HP28" s="81">
        <f>Costs!HP29</f>
        <v>99750.000000000029</v>
      </c>
      <c r="HQ28" s="81">
        <f>Costs!HQ29</f>
        <v>99750.000000000029</v>
      </c>
      <c r="HR28" s="81">
        <f>Costs!HR29</f>
        <v>99750.000000000029</v>
      </c>
      <c r="HS28" s="81">
        <f>Costs!HS29</f>
        <v>99750.000000000029</v>
      </c>
      <c r="HT28" s="81">
        <f>Costs!HT29</f>
        <v>99750.000000000029</v>
      </c>
      <c r="HU28" s="81">
        <f>Costs!HU29</f>
        <v>99750.000000000029</v>
      </c>
      <c r="HV28" s="81">
        <f>Costs!HV29</f>
        <v>99750.000000000029</v>
      </c>
      <c r="HW28" s="81">
        <f>Costs!HW29</f>
        <v>99750.000000000029</v>
      </c>
      <c r="HX28" s="81">
        <f>Costs!HX29</f>
        <v>99750.000000000029</v>
      </c>
      <c r="HY28" s="81">
        <f>Costs!HY29</f>
        <v>99750.000000000029</v>
      </c>
      <c r="HZ28" s="81">
        <f>Costs!HZ29</f>
        <v>99750.000000000029</v>
      </c>
      <c r="IA28" s="81">
        <f>Costs!IA29</f>
        <v>99750.000000000029</v>
      </c>
      <c r="IB28" s="81">
        <f>Costs!IB29</f>
        <v>99750.000000000029</v>
      </c>
      <c r="IC28" s="81">
        <f>Costs!IC29</f>
        <v>99750.000000000029</v>
      </c>
      <c r="ID28" s="81">
        <f>Costs!ID29</f>
        <v>99750.000000000029</v>
      </c>
      <c r="IE28" s="81">
        <f>Costs!IE29</f>
        <v>99750.000000000029</v>
      </c>
      <c r="IF28" s="81">
        <f>Costs!IF29</f>
        <v>99750.000000000029</v>
      </c>
      <c r="IG28" s="81">
        <f>Costs!IG29</f>
        <v>99750.000000000029</v>
      </c>
      <c r="IH28" s="81">
        <f>Costs!IH29</f>
        <v>99750.000000000029</v>
      </c>
    </row>
    <row r="29" spans="1:242" x14ac:dyDescent="0.45">
      <c r="A29" s="895" t="s">
        <v>227</v>
      </c>
      <c r="B29" s="896"/>
      <c r="C29" s="81">
        <f>Costs!C30</f>
        <v>3750</v>
      </c>
      <c r="D29" s="81">
        <f>Costs!D30</f>
        <v>3750</v>
      </c>
      <c r="E29" s="81">
        <f>Costs!E30</f>
        <v>3750</v>
      </c>
      <c r="F29" s="81">
        <f>Costs!F30</f>
        <v>3750</v>
      </c>
      <c r="G29" s="81">
        <f>Costs!G30</f>
        <v>3750</v>
      </c>
      <c r="H29" s="81">
        <f>Costs!H30</f>
        <v>3750</v>
      </c>
      <c r="I29" s="81">
        <f>Costs!I30</f>
        <v>3750</v>
      </c>
      <c r="J29" s="81">
        <f>Costs!J30</f>
        <v>3750</v>
      </c>
      <c r="K29" s="81">
        <f>Costs!K30</f>
        <v>3750</v>
      </c>
      <c r="L29" s="81">
        <f>Costs!L30</f>
        <v>3750</v>
      </c>
      <c r="M29" s="81">
        <f>Costs!M30</f>
        <v>3750</v>
      </c>
      <c r="N29" s="81">
        <f>Costs!N30</f>
        <v>3750</v>
      </c>
      <c r="O29" s="81">
        <f>Costs!O30</f>
        <v>3750</v>
      </c>
      <c r="P29" s="81">
        <f>Costs!P30</f>
        <v>3750</v>
      </c>
      <c r="Q29" s="81">
        <f>Costs!Q30</f>
        <v>3750</v>
      </c>
      <c r="R29" s="81">
        <f>Costs!R30</f>
        <v>3750</v>
      </c>
      <c r="S29" s="81">
        <f>Costs!S30</f>
        <v>3750</v>
      </c>
      <c r="T29" s="81">
        <f>Costs!T30</f>
        <v>3750</v>
      </c>
      <c r="U29" s="81">
        <f>Costs!U30</f>
        <v>3750</v>
      </c>
      <c r="V29" s="81">
        <f>Costs!V30</f>
        <v>3750</v>
      </c>
      <c r="W29" s="81">
        <f>Costs!W30</f>
        <v>3750</v>
      </c>
      <c r="X29" s="81">
        <f>Costs!X30</f>
        <v>3750</v>
      </c>
      <c r="Y29" s="81">
        <f>Costs!Y30</f>
        <v>3750</v>
      </c>
      <c r="Z29" s="81">
        <f>Costs!Z30</f>
        <v>3750</v>
      </c>
      <c r="AA29" s="81">
        <f>Costs!AA30</f>
        <v>11250</v>
      </c>
      <c r="AB29" s="81">
        <f>Costs!AB30</f>
        <v>11250</v>
      </c>
      <c r="AC29" s="81">
        <f>Costs!AC30</f>
        <v>11250</v>
      </c>
      <c r="AD29" s="81">
        <f>Costs!AD30</f>
        <v>11250</v>
      </c>
      <c r="AE29" s="81">
        <f>Costs!AE30</f>
        <v>11250</v>
      </c>
      <c r="AF29" s="81">
        <f>Costs!AF30</f>
        <v>11250</v>
      </c>
      <c r="AG29" s="81">
        <f>Costs!AG30</f>
        <v>11250</v>
      </c>
      <c r="AH29" s="81">
        <f>Costs!AH30</f>
        <v>11250</v>
      </c>
      <c r="AI29" s="81">
        <f>Costs!AI30</f>
        <v>11250</v>
      </c>
      <c r="AJ29" s="81">
        <f>Costs!AJ30</f>
        <v>11250</v>
      </c>
      <c r="AK29" s="81">
        <f>Costs!AK30</f>
        <v>11250</v>
      </c>
      <c r="AL29" s="81">
        <f>Costs!AL30</f>
        <v>11250</v>
      </c>
      <c r="AM29" s="81">
        <f>Costs!AM30</f>
        <v>11250</v>
      </c>
      <c r="AN29" s="81">
        <f>Costs!AN30</f>
        <v>11250</v>
      </c>
      <c r="AO29" s="81">
        <f>Costs!AO30</f>
        <v>11250</v>
      </c>
      <c r="AP29" s="81">
        <f>Costs!AP30</f>
        <v>11250</v>
      </c>
      <c r="AQ29" s="81">
        <f>Costs!AQ30</f>
        <v>11250</v>
      </c>
      <c r="AR29" s="81">
        <f>Costs!AR30</f>
        <v>11250</v>
      </c>
      <c r="AS29" s="81">
        <f>Costs!AS30</f>
        <v>11250</v>
      </c>
      <c r="AT29" s="81">
        <f>Costs!AT30</f>
        <v>11250</v>
      </c>
      <c r="AU29" s="81">
        <f>Costs!AU30</f>
        <v>11250</v>
      </c>
      <c r="AV29" s="81">
        <f>Costs!AV30</f>
        <v>11250</v>
      </c>
      <c r="AW29" s="81">
        <f>Costs!AW30</f>
        <v>11250</v>
      </c>
      <c r="AX29" s="81">
        <f>Costs!AX30</f>
        <v>11250</v>
      </c>
      <c r="AY29" s="81">
        <f>Costs!AY30</f>
        <v>11250</v>
      </c>
      <c r="AZ29" s="81">
        <f>Costs!AZ30</f>
        <v>11250</v>
      </c>
      <c r="BA29" s="81">
        <f>Costs!BA30</f>
        <v>11250</v>
      </c>
      <c r="BB29" s="81">
        <f>Costs!BB30</f>
        <v>11250</v>
      </c>
      <c r="BC29" s="81">
        <f>Costs!BC30</f>
        <v>11250</v>
      </c>
      <c r="BD29" s="81">
        <f>Costs!BD30</f>
        <v>11250</v>
      </c>
      <c r="BE29" s="81">
        <f>Costs!BE30</f>
        <v>11250</v>
      </c>
      <c r="BF29" s="81">
        <f>Costs!BF30</f>
        <v>11250</v>
      </c>
      <c r="BG29" s="81">
        <f>Costs!BG30</f>
        <v>11250</v>
      </c>
      <c r="BH29" s="81">
        <f>Costs!BH30</f>
        <v>11250</v>
      </c>
      <c r="BI29" s="81">
        <f>Costs!BI30</f>
        <v>11250</v>
      </c>
      <c r="BJ29" s="81">
        <f>Costs!BJ30</f>
        <v>11250</v>
      </c>
      <c r="BK29" s="81">
        <f>Costs!BK30</f>
        <v>11250</v>
      </c>
      <c r="BL29" s="81">
        <f>Costs!BL30</f>
        <v>11250</v>
      </c>
      <c r="BM29" s="81">
        <f>Costs!BM30</f>
        <v>11250</v>
      </c>
      <c r="BN29" s="81">
        <f>Costs!BN30</f>
        <v>11250</v>
      </c>
      <c r="BO29" s="81">
        <f>Costs!BO30</f>
        <v>11250</v>
      </c>
      <c r="BP29" s="81">
        <f>Costs!BP30</f>
        <v>11250</v>
      </c>
      <c r="BQ29" s="81">
        <f>Costs!BQ30</f>
        <v>11250</v>
      </c>
      <c r="BR29" s="81">
        <f>Costs!BR30</f>
        <v>11250</v>
      </c>
      <c r="BS29" s="81">
        <f>Costs!BS30</f>
        <v>11250</v>
      </c>
      <c r="BT29" s="81">
        <f>Costs!BT30</f>
        <v>11250</v>
      </c>
      <c r="BU29" s="81">
        <f>Costs!BU30</f>
        <v>11250</v>
      </c>
      <c r="BV29" s="81">
        <f>Costs!BV30</f>
        <v>11250</v>
      </c>
      <c r="BW29" s="81">
        <f>Costs!BW30</f>
        <v>15000</v>
      </c>
      <c r="BX29" s="81">
        <f>Costs!BX30</f>
        <v>15000</v>
      </c>
      <c r="BY29" s="81">
        <f>Costs!BY30</f>
        <v>15000</v>
      </c>
      <c r="BZ29" s="81">
        <f>Costs!BZ30</f>
        <v>15000</v>
      </c>
      <c r="CA29" s="81">
        <f>Costs!CA30</f>
        <v>15000</v>
      </c>
      <c r="CB29" s="81">
        <f>Costs!CB30</f>
        <v>15000</v>
      </c>
      <c r="CC29" s="81">
        <f>Costs!CC30</f>
        <v>15000</v>
      </c>
      <c r="CD29" s="81">
        <f>Costs!CD30</f>
        <v>15000</v>
      </c>
      <c r="CE29" s="81">
        <f>Costs!CE30</f>
        <v>15000</v>
      </c>
      <c r="CF29" s="81">
        <f>Costs!CF30</f>
        <v>15000</v>
      </c>
      <c r="CG29" s="81">
        <f>Costs!CG30</f>
        <v>15000</v>
      </c>
      <c r="CH29" s="81">
        <f>Costs!CH30</f>
        <v>15000</v>
      </c>
      <c r="CI29" s="81">
        <f>Costs!CI30</f>
        <v>15000</v>
      </c>
      <c r="CJ29" s="81">
        <f>Costs!CJ30</f>
        <v>15000</v>
      </c>
      <c r="CK29" s="81">
        <f>Costs!CK30</f>
        <v>15000</v>
      </c>
      <c r="CL29" s="81">
        <f>Costs!CL30</f>
        <v>15000</v>
      </c>
      <c r="CM29" s="81">
        <f>Costs!CM30</f>
        <v>15000</v>
      </c>
      <c r="CN29" s="81">
        <f>Costs!CN30</f>
        <v>15450</v>
      </c>
      <c r="CO29" s="81">
        <f>Costs!CO30</f>
        <v>15450</v>
      </c>
      <c r="CP29" s="81">
        <f>Costs!CP30</f>
        <v>15450</v>
      </c>
      <c r="CQ29" s="81">
        <f>Costs!CQ30</f>
        <v>15450</v>
      </c>
      <c r="CR29" s="81">
        <f>Costs!CR30</f>
        <v>15450</v>
      </c>
      <c r="CS29" s="81">
        <f>Costs!CS30</f>
        <v>15450</v>
      </c>
      <c r="CT29" s="81">
        <f>Costs!CT30</f>
        <v>15450</v>
      </c>
      <c r="CU29" s="81">
        <f>Costs!CU30</f>
        <v>15900</v>
      </c>
      <c r="CV29" s="81">
        <f>Costs!CV30</f>
        <v>15900</v>
      </c>
      <c r="CW29" s="81">
        <f>Costs!CW30</f>
        <v>15900</v>
      </c>
      <c r="CX29" s="81">
        <f>Costs!CX30</f>
        <v>15900</v>
      </c>
      <c r="CY29" s="81">
        <f>Costs!CY30</f>
        <v>15900</v>
      </c>
      <c r="CZ29" s="81">
        <f>Costs!CZ30</f>
        <v>15900</v>
      </c>
      <c r="DA29" s="81">
        <f>Costs!DA30</f>
        <v>15900</v>
      </c>
      <c r="DB29" s="81">
        <f>Costs!DB30</f>
        <v>15900</v>
      </c>
      <c r="DC29" s="81">
        <f>Costs!DC30</f>
        <v>15900</v>
      </c>
      <c r="DD29" s="81">
        <f>Costs!DD30</f>
        <v>15900</v>
      </c>
      <c r="DE29" s="81">
        <f>Costs!DE30</f>
        <v>15900</v>
      </c>
      <c r="DF29" s="81">
        <f>Costs!DF30</f>
        <v>15900</v>
      </c>
      <c r="DG29" s="81">
        <f>Costs!DG30</f>
        <v>16350.000000000002</v>
      </c>
      <c r="DH29" s="81">
        <f>Costs!DH30</f>
        <v>16350.000000000002</v>
      </c>
      <c r="DI29" s="81">
        <f>Costs!DI30</f>
        <v>16350.000000000002</v>
      </c>
      <c r="DJ29" s="81">
        <f>Costs!DJ30</f>
        <v>16350.000000000002</v>
      </c>
      <c r="DK29" s="81">
        <f>Costs!DK30</f>
        <v>16350.000000000002</v>
      </c>
      <c r="DL29" s="81">
        <f>Costs!DL30</f>
        <v>16350.000000000002</v>
      </c>
      <c r="DM29" s="81">
        <f>Costs!DM30</f>
        <v>16350.000000000002</v>
      </c>
      <c r="DN29" s="81">
        <f>Costs!DN30</f>
        <v>16350.000000000002</v>
      </c>
      <c r="DO29" s="81">
        <f>Costs!DO30</f>
        <v>16350.000000000002</v>
      </c>
      <c r="DP29" s="81">
        <f>Costs!DP30</f>
        <v>16350.000000000002</v>
      </c>
      <c r="DQ29" s="81">
        <f>Costs!DQ30</f>
        <v>16350.000000000002</v>
      </c>
      <c r="DR29" s="81">
        <f>Costs!DR30</f>
        <v>16350.000000000002</v>
      </c>
      <c r="DS29" s="81">
        <f>Costs!DS30</f>
        <v>16800</v>
      </c>
      <c r="DT29" s="81">
        <f>Costs!DT30</f>
        <v>16800</v>
      </c>
      <c r="DU29" s="81">
        <f>Costs!DU30</f>
        <v>16800</v>
      </c>
      <c r="DV29" s="81">
        <f>Costs!DV30</f>
        <v>16800</v>
      </c>
      <c r="DW29" s="81">
        <f>Costs!DW30</f>
        <v>16800</v>
      </c>
      <c r="DX29" s="81">
        <f>Costs!DX30</f>
        <v>16800</v>
      </c>
      <c r="DY29" s="81">
        <f>Costs!DY30</f>
        <v>16800</v>
      </c>
      <c r="DZ29" s="81">
        <f>Costs!DZ30</f>
        <v>16800</v>
      </c>
      <c r="EA29" s="81">
        <f>Costs!EA30</f>
        <v>16800</v>
      </c>
      <c r="EB29" s="81">
        <f>Costs!EB30</f>
        <v>16800</v>
      </c>
      <c r="EC29" s="81">
        <f>Costs!EC30</f>
        <v>16800</v>
      </c>
      <c r="ED29" s="81">
        <f>Costs!ED30</f>
        <v>16800</v>
      </c>
      <c r="EE29" s="81">
        <f>Costs!EE30</f>
        <v>17250.000000000004</v>
      </c>
      <c r="EF29" s="81">
        <f>Costs!EF30</f>
        <v>17250.000000000004</v>
      </c>
      <c r="EG29" s="81">
        <f>Costs!EG30</f>
        <v>17250.000000000004</v>
      </c>
      <c r="EH29" s="81">
        <f>Costs!EH30</f>
        <v>17250.000000000004</v>
      </c>
      <c r="EI29" s="81">
        <f>Costs!EI30</f>
        <v>17250.000000000004</v>
      </c>
      <c r="EJ29" s="81">
        <f>Costs!EJ30</f>
        <v>17250.000000000004</v>
      </c>
      <c r="EK29" s="81">
        <f>Costs!EK30</f>
        <v>17250.000000000004</v>
      </c>
      <c r="EL29" s="81">
        <f>Costs!EL30</f>
        <v>17250.000000000004</v>
      </c>
      <c r="EM29" s="81">
        <f>Costs!EM30</f>
        <v>17250.000000000004</v>
      </c>
      <c r="EN29" s="81">
        <f>Costs!EN30</f>
        <v>17250.000000000004</v>
      </c>
      <c r="EO29" s="81">
        <f>Costs!EO30</f>
        <v>17250.000000000004</v>
      </c>
      <c r="EP29" s="81">
        <f>Costs!EP30</f>
        <v>17250.000000000004</v>
      </c>
      <c r="EQ29" s="81">
        <f>Costs!EQ30</f>
        <v>17700.000000000004</v>
      </c>
      <c r="ER29" s="81">
        <f>Costs!ER30</f>
        <v>17700.000000000004</v>
      </c>
      <c r="ES29" s="81">
        <f>Costs!ES30</f>
        <v>17700.000000000004</v>
      </c>
      <c r="ET29" s="81">
        <f>Costs!ET30</f>
        <v>17700.000000000004</v>
      </c>
      <c r="EU29" s="81">
        <f>Costs!EU30</f>
        <v>17700.000000000004</v>
      </c>
      <c r="EV29" s="81">
        <f>Costs!EV30</f>
        <v>17700.000000000004</v>
      </c>
      <c r="EW29" s="81">
        <f>Costs!EW30</f>
        <v>17700.000000000004</v>
      </c>
      <c r="EX29" s="81">
        <f>Costs!EX30</f>
        <v>17700.000000000004</v>
      </c>
      <c r="EY29" s="81">
        <f>Costs!EY30</f>
        <v>17700.000000000004</v>
      </c>
      <c r="EZ29" s="81">
        <f>Costs!EZ30</f>
        <v>17700.000000000004</v>
      </c>
      <c r="FA29" s="81">
        <f>Costs!FA30</f>
        <v>17700.000000000004</v>
      </c>
      <c r="FB29" s="81">
        <f>Costs!FB30</f>
        <v>17700.000000000004</v>
      </c>
      <c r="FC29" s="81">
        <f>Costs!FC30</f>
        <v>18150.000000000004</v>
      </c>
      <c r="FD29" s="81">
        <f>Costs!FD30</f>
        <v>18150.000000000004</v>
      </c>
      <c r="FE29" s="81">
        <f>Costs!FE30</f>
        <v>18150.000000000004</v>
      </c>
      <c r="FF29" s="81">
        <f>Costs!FF30</f>
        <v>18150.000000000004</v>
      </c>
      <c r="FG29" s="81">
        <f>Costs!FG30</f>
        <v>18150.000000000004</v>
      </c>
      <c r="FH29" s="81">
        <f>Costs!FH30</f>
        <v>18150.000000000004</v>
      </c>
      <c r="FI29" s="81">
        <f>Costs!FI30</f>
        <v>18150.000000000004</v>
      </c>
      <c r="FJ29" s="81">
        <f>Costs!FJ30</f>
        <v>18150.000000000004</v>
      </c>
      <c r="FK29" s="81">
        <f>Costs!FK30</f>
        <v>18150.000000000004</v>
      </c>
      <c r="FL29" s="81">
        <f>Costs!FL30</f>
        <v>18150.000000000004</v>
      </c>
      <c r="FM29" s="81">
        <f>Costs!FM30</f>
        <v>18150.000000000004</v>
      </c>
      <c r="FN29" s="81">
        <f>Costs!FN30</f>
        <v>18150.000000000004</v>
      </c>
      <c r="FO29" s="81">
        <f>Costs!FO30</f>
        <v>18600.000000000004</v>
      </c>
      <c r="FP29" s="81">
        <f>Costs!FP30</f>
        <v>18600.000000000004</v>
      </c>
      <c r="FQ29" s="81">
        <f>Costs!FQ30</f>
        <v>18600.000000000004</v>
      </c>
      <c r="FR29" s="81">
        <f>Costs!FR30</f>
        <v>18600.000000000004</v>
      </c>
      <c r="FS29" s="81">
        <f>Costs!FS30</f>
        <v>18600.000000000004</v>
      </c>
      <c r="FT29" s="81">
        <f>Costs!FT30</f>
        <v>18600.000000000004</v>
      </c>
      <c r="FU29" s="81">
        <f>Costs!FU30</f>
        <v>18600.000000000004</v>
      </c>
      <c r="FV29" s="81">
        <f>Costs!FV30</f>
        <v>18600.000000000004</v>
      </c>
      <c r="FW29" s="81">
        <f>Costs!FW30</f>
        <v>18600.000000000004</v>
      </c>
      <c r="FX29" s="81">
        <f>Costs!FX30</f>
        <v>18600.000000000004</v>
      </c>
      <c r="FY29" s="81">
        <f>Costs!FY30</f>
        <v>18600.000000000004</v>
      </c>
      <c r="FZ29" s="81">
        <f>Costs!FZ30</f>
        <v>18600.000000000004</v>
      </c>
      <c r="GA29" s="81">
        <f>Costs!GA30</f>
        <v>19050.000000000004</v>
      </c>
      <c r="GB29" s="81">
        <f>Costs!GB30</f>
        <v>19050.000000000004</v>
      </c>
      <c r="GC29" s="81">
        <f>Costs!GC30</f>
        <v>19050.000000000004</v>
      </c>
      <c r="GD29" s="81">
        <f>Costs!GD30</f>
        <v>19050.000000000004</v>
      </c>
      <c r="GE29" s="81">
        <f>Costs!GE30</f>
        <v>19050.000000000004</v>
      </c>
      <c r="GF29" s="81">
        <f>Costs!GF30</f>
        <v>19050.000000000004</v>
      </c>
      <c r="GG29" s="81">
        <f>Costs!GG30</f>
        <v>19050.000000000004</v>
      </c>
      <c r="GH29" s="81">
        <f>Costs!GH30</f>
        <v>19050.000000000004</v>
      </c>
      <c r="GI29" s="81">
        <f>Costs!GI30</f>
        <v>19050.000000000004</v>
      </c>
      <c r="GJ29" s="81">
        <f>Costs!GJ30</f>
        <v>19050.000000000004</v>
      </c>
      <c r="GK29" s="81">
        <f>Costs!GK30</f>
        <v>19050.000000000004</v>
      </c>
      <c r="GL29" s="81">
        <f>Costs!GL30</f>
        <v>19050.000000000004</v>
      </c>
      <c r="GM29" s="81">
        <f>Costs!GM30</f>
        <v>19500.000000000004</v>
      </c>
      <c r="GN29" s="81">
        <f>Costs!GN30</f>
        <v>19500.000000000004</v>
      </c>
      <c r="GO29" s="81">
        <f>Costs!GO30</f>
        <v>19500.000000000004</v>
      </c>
      <c r="GP29" s="81">
        <f>Costs!GP30</f>
        <v>19500.000000000004</v>
      </c>
      <c r="GQ29" s="81">
        <f>Costs!GQ30</f>
        <v>19500.000000000004</v>
      </c>
      <c r="GR29" s="81">
        <f>Costs!GR30</f>
        <v>19500.000000000004</v>
      </c>
      <c r="GS29" s="81">
        <f>Costs!GS30</f>
        <v>19500.000000000004</v>
      </c>
      <c r="GT29" s="81">
        <f>Costs!GT30</f>
        <v>19500.000000000004</v>
      </c>
      <c r="GU29" s="81">
        <f>Costs!GU30</f>
        <v>19500.000000000004</v>
      </c>
      <c r="GV29" s="81">
        <f>Costs!GV30</f>
        <v>19500.000000000004</v>
      </c>
      <c r="GW29" s="81">
        <f>Costs!GW30</f>
        <v>19500.000000000004</v>
      </c>
      <c r="GX29" s="81">
        <f>Costs!GX30</f>
        <v>19500.000000000004</v>
      </c>
      <c r="GY29" s="81">
        <f>Costs!GY30</f>
        <v>19950.000000000004</v>
      </c>
      <c r="GZ29" s="81">
        <f>Costs!GZ30</f>
        <v>19950.000000000004</v>
      </c>
      <c r="HA29" s="81">
        <f>Costs!HA30</f>
        <v>19950.000000000004</v>
      </c>
      <c r="HB29" s="81">
        <f>Costs!HB30</f>
        <v>19950.000000000004</v>
      </c>
      <c r="HC29" s="81">
        <f>Costs!HC30</f>
        <v>19950.000000000004</v>
      </c>
      <c r="HD29" s="81">
        <f>Costs!HD30</f>
        <v>19950.000000000004</v>
      </c>
      <c r="HE29" s="81">
        <f>Costs!HE30</f>
        <v>19950.000000000004</v>
      </c>
      <c r="HF29" s="81">
        <f>Costs!HF30</f>
        <v>19950.000000000004</v>
      </c>
      <c r="HG29" s="81">
        <f>Costs!HG30</f>
        <v>19950.000000000004</v>
      </c>
      <c r="HH29" s="81">
        <f>Costs!HH30</f>
        <v>19950.000000000004</v>
      </c>
      <c r="HI29" s="81">
        <f>Costs!HI30</f>
        <v>19950.000000000004</v>
      </c>
      <c r="HJ29" s="81">
        <f>Costs!HJ30</f>
        <v>19950.000000000004</v>
      </c>
      <c r="HK29" s="81">
        <f>Costs!HK30</f>
        <v>19950.000000000004</v>
      </c>
      <c r="HL29" s="81">
        <f>Costs!HL30</f>
        <v>19950.000000000004</v>
      </c>
      <c r="HM29" s="81">
        <f>Costs!HM30</f>
        <v>19950.000000000004</v>
      </c>
      <c r="HN29" s="81">
        <f>Costs!HN30</f>
        <v>19950.000000000004</v>
      </c>
      <c r="HO29" s="81">
        <f>Costs!HO30</f>
        <v>19950.000000000004</v>
      </c>
      <c r="HP29" s="81">
        <f>Costs!HP30</f>
        <v>19950.000000000004</v>
      </c>
      <c r="HQ29" s="81">
        <f>Costs!HQ30</f>
        <v>19950.000000000004</v>
      </c>
      <c r="HR29" s="81">
        <f>Costs!HR30</f>
        <v>19950.000000000004</v>
      </c>
      <c r="HS29" s="81">
        <f>Costs!HS30</f>
        <v>19950.000000000004</v>
      </c>
      <c r="HT29" s="81">
        <f>Costs!HT30</f>
        <v>19950.000000000004</v>
      </c>
      <c r="HU29" s="81">
        <f>Costs!HU30</f>
        <v>19950.000000000004</v>
      </c>
      <c r="HV29" s="81">
        <f>Costs!HV30</f>
        <v>19950.000000000004</v>
      </c>
      <c r="HW29" s="81">
        <f>Costs!HW30</f>
        <v>19950.000000000004</v>
      </c>
      <c r="HX29" s="81">
        <f>Costs!HX30</f>
        <v>19950.000000000004</v>
      </c>
      <c r="HY29" s="81">
        <f>Costs!HY30</f>
        <v>19950.000000000004</v>
      </c>
      <c r="HZ29" s="81">
        <f>Costs!HZ30</f>
        <v>19950.000000000004</v>
      </c>
      <c r="IA29" s="81">
        <f>Costs!IA30</f>
        <v>19950.000000000004</v>
      </c>
      <c r="IB29" s="81">
        <f>Costs!IB30</f>
        <v>19950.000000000004</v>
      </c>
      <c r="IC29" s="81">
        <f>Costs!IC30</f>
        <v>19950.000000000004</v>
      </c>
      <c r="ID29" s="81">
        <f>Costs!ID30</f>
        <v>19950.000000000004</v>
      </c>
      <c r="IE29" s="81">
        <f>Costs!IE30</f>
        <v>19950.000000000004</v>
      </c>
      <c r="IF29" s="81">
        <f>Costs!IF30</f>
        <v>19950.000000000004</v>
      </c>
      <c r="IG29" s="81">
        <f>Costs!IG30</f>
        <v>19950.000000000004</v>
      </c>
      <c r="IH29" s="81">
        <f>Costs!IH30</f>
        <v>19950.000000000004</v>
      </c>
    </row>
    <row r="30" spans="1:242" x14ac:dyDescent="0.45">
      <c r="A30" s="895" t="s">
        <v>228</v>
      </c>
      <c r="B30" s="896"/>
      <c r="C30" s="81">
        <f>Costs!C31</f>
        <v>37500</v>
      </c>
      <c r="D30" s="81">
        <f>Costs!D31</f>
        <v>37500</v>
      </c>
      <c r="E30" s="81">
        <f>Costs!E31</f>
        <v>37500</v>
      </c>
      <c r="F30" s="81">
        <f>Costs!F31</f>
        <v>37500</v>
      </c>
      <c r="G30" s="81">
        <f>Costs!G31</f>
        <v>37500</v>
      </c>
      <c r="H30" s="81">
        <f>Costs!H31</f>
        <v>37500</v>
      </c>
      <c r="I30" s="81">
        <f>Costs!I31</f>
        <v>37500</v>
      </c>
      <c r="J30" s="81">
        <f>Costs!J31</f>
        <v>37500</v>
      </c>
      <c r="K30" s="81">
        <f>Costs!K31</f>
        <v>37500</v>
      </c>
      <c r="L30" s="81">
        <f>Costs!L31</f>
        <v>37500</v>
      </c>
      <c r="M30" s="81">
        <f>Costs!M31</f>
        <v>37500</v>
      </c>
      <c r="N30" s="81">
        <f>Costs!N31</f>
        <v>37500</v>
      </c>
      <c r="O30" s="81">
        <f>Costs!O31</f>
        <v>37500</v>
      </c>
      <c r="P30" s="81">
        <f>Costs!P31</f>
        <v>37500</v>
      </c>
      <c r="Q30" s="81">
        <f>Costs!Q31</f>
        <v>37500</v>
      </c>
      <c r="R30" s="81">
        <f>Costs!R31</f>
        <v>37500</v>
      </c>
      <c r="S30" s="81">
        <f>Costs!S31</f>
        <v>37500</v>
      </c>
      <c r="T30" s="81">
        <f>Costs!T31</f>
        <v>37500</v>
      </c>
      <c r="U30" s="81">
        <f>Costs!U31</f>
        <v>37500</v>
      </c>
      <c r="V30" s="81">
        <f>Costs!V31</f>
        <v>37500</v>
      </c>
      <c r="W30" s="81">
        <f>Costs!W31</f>
        <v>37500</v>
      </c>
      <c r="X30" s="81">
        <f>Costs!X31</f>
        <v>37500</v>
      </c>
      <c r="Y30" s="81">
        <f>Costs!Y31</f>
        <v>37500</v>
      </c>
      <c r="Z30" s="81">
        <f>Costs!Z31</f>
        <v>37500</v>
      </c>
      <c r="AA30" s="81">
        <f>Costs!AA31</f>
        <v>112500</v>
      </c>
      <c r="AB30" s="81">
        <f>Costs!AB31</f>
        <v>112500</v>
      </c>
      <c r="AC30" s="81">
        <f>Costs!AC31</f>
        <v>112500</v>
      </c>
      <c r="AD30" s="81">
        <f>Costs!AD31</f>
        <v>112500</v>
      </c>
      <c r="AE30" s="81">
        <f>Costs!AE31</f>
        <v>112500</v>
      </c>
      <c r="AF30" s="81">
        <f>Costs!AF31</f>
        <v>112500</v>
      </c>
      <c r="AG30" s="81">
        <f>Costs!AG31</f>
        <v>112500</v>
      </c>
      <c r="AH30" s="81">
        <f>Costs!AH31</f>
        <v>112500</v>
      </c>
      <c r="AI30" s="81">
        <f>Costs!AI31</f>
        <v>112500</v>
      </c>
      <c r="AJ30" s="81">
        <f>Costs!AJ31</f>
        <v>112500</v>
      </c>
      <c r="AK30" s="81">
        <f>Costs!AK31</f>
        <v>112500</v>
      </c>
      <c r="AL30" s="81">
        <f>Costs!AL31</f>
        <v>112500</v>
      </c>
      <c r="AM30" s="81">
        <f>Costs!AM31</f>
        <v>112500</v>
      </c>
      <c r="AN30" s="81">
        <f>Costs!AN31</f>
        <v>112500</v>
      </c>
      <c r="AO30" s="81">
        <f>Costs!AO31</f>
        <v>112500</v>
      </c>
      <c r="AP30" s="81">
        <f>Costs!AP31</f>
        <v>112500</v>
      </c>
      <c r="AQ30" s="81">
        <f>Costs!AQ31</f>
        <v>112500</v>
      </c>
      <c r="AR30" s="81">
        <f>Costs!AR31</f>
        <v>112500</v>
      </c>
      <c r="AS30" s="81">
        <f>Costs!AS31</f>
        <v>112500</v>
      </c>
      <c r="AT30" s="81">
        <f>Costs!AT31</f>
        <v>112500</v>
      </c>
      <c r="AU30" s="81">
        <f>Costs!AU31</f>
        <v>112500</v>
      </c>
      <c r="AV30" s="81">
        <f>Costs!AV31</f>
        <v>112500</v>
      </c>
      <c r="AW30" s="81">
        <f>Costs!AW31</f>
        <v>112500</v>
      </c>
      <c r="AX30" s="81">
        <f>Costs!AX31</f>
        <v>112500</v>
      </c>
      <c r="AY30" s="81">
        <f>Costs!AY31</f>
        <v>112500</v>
      </c>
      <c r="AZ30" s="81">
        <f>Costs!AZ31</f>
        <v>112500</v>
      </c>
      <c r="BA30" s="81">
        <f>Costs!BA31</f>
        <v>112500</v>
      </c>
      <c r="BB30" s="81">
        <f>Costs!BB31</f>
        <v>112500</v>
      </c>
      <c r="BC30" s="81">
        <f>Costs!BC31</f>
        <v>112500</v>
      </c>
      <c r="BD30" s="81">
        <f>Costs!BD31</f>
        <v>112500</v>
      </c>
      <c r="BE30" s="81">
        <f>Costs!BE31</f>
        <v>112500</v>
      </c>
      <c r="BF30" s="81">
        <f>Costs!BF31</f>
        <v>112500</v>
      </c>
      <c r="BG30" s="81">
        <f>Costs!BG31</f>
        <v>112500</v>
      </c>
      <c r="BH30" s="81">
        <f>Costs!BH31</f>
        <v>112500</v>
      </c>
      <c r="BI30" s="81">
        <f>Costs!BI31</f>
        <v>112500</v>
      </c>
      <c r="BJ30" s="81">
        <f>Costs!BJ31</f>
        <v>112500</v>
      </c>
      <c r="BK30" s="81">
        <f>Costs!BK31</f>
        <v>112500</v>
      </c>
      <c r="BL30" s="81">
        <f>Costs!BL31</f>
        <v>112500</v>
      </c>
      <c r="BM30" s="81">
        <f>Costs!BM31</f>
        <v>112500</v>
      </c>
      <c r="BN30" s="81">
        <f>Costs!BN31</f>
        <v>112500</v>
      </c>
      <c r="BO30" s="81">
        <f>Costs!BO31</f>
        <v>112500</v>
      </c>
      <c r="BP30" s="81">
        <f>Costs!BP31</f>
        <v>112500</v>
      </c>
      <c r="BQ30" s="81">
        <f>Costs!BQ31</f>
        <v>112500</v>
      </c>
      <c r="BR30" s="81">
        <f>Costs!BR31</f>
        <v>112500</v>
      </c>
      <c r="BS30" s="81">
        <f>Costs!BS31</f>
        <v>112500</v>
      </c>
      <c r="BT30" s="81">
        <f>Costs!BT31</f>
        <v>112500</v>
      </c>
      <c r="BU30" s="81">
        <f>Costs!BU31</f>
        <v>112500</v>
      </c>
      <c r="BV30" s="81">
        <f>Costs!BV31</f>
        <v>112500</v>
      </c>
      <c r="BW30" s="81">
        <f>Costs!BW31</f>
        <v>150000</v>
      </c>
      <c r="BX30" s="81">
        <f>Costs!BX31</f>
        <v>150000</v>
      </c>
      <c r="BY30" s="81">
        <f>Costs!BY31</f>
        <v>150000</v>
      </c>
      <c r="BZ30" s="81">
        <f>Costs!BZ31</f>
        <v>150000</v>
      </c>
      <c r="CA30" s="81">
        <f>Costs!CA31</f>
        <v>150000</v>
      </c>
      <c r="CB30" s="81">
        <f>Costs!CB31</f>
        <v>150000</v>
      </c>
      <c r="CC30" s="81">
        <f>Costs!CC31</f>
        <v>150000</v>
      </c>
      <c r="CD30" s="81">
        <f>Costs!CD31</f>
        <v>150000</v>
      </c>
      <c r="CE30" s="81">
        <f>Costs!CE31</f>
        <v>150000</v>
      </c>
      <c r="CF30" s="81">
        <f>Costs!CF31</f>
        <v>150000</v>
      </c>
      <c r="CG30" s="81">
        <f>Costs!CG31</f>
        <v>150000</v>
      </c>
      <c r="CH30" s="81">
        <f>Costs!CH31</f>
        <v>150000</v>
      </c>
      <c r="CI30" s="81">
        <f>Costs!CI31</f>
        <v>150000</v>
      </c>
      <c r="CJ30" s="81">
        <f>Costs!CJ31</f>
        <v>150000</v>
      </c>
      <c r="CK30" s="81">
        <f>Costs!CK31</f>
        <v>150000</v>
      </c>
      <c r="CL30" s="81">
        <f>Costs!CL31</f>
        <v>150000</v>
      </c>
      <c r="CM30" s="81">
        <f>Costs!CM31</f>
        <v>150000</v>
      </c>
      <c r="CN30" s="81">
        <f>Costs!CN31</f>
        <v>154500</v>
      </c>
      <c r="CO30" s="81">
        <f>Costs!CO31</f>
        <v>154500</v>
      </c>
      <c r="CP30" s="81">
        <f>Costs!CP31</f>
        <v>154500</v>
      </c>
      <c r="CQ30" s="81">
        <f>Costs!CQ31</f>
        <v>154500</v>
      </c>
      <c r="CR30" s="81">
        <f>Costs!CR31</f>
        <v>154500</v>
      </c>
      <c r="CS30" s="81">
        <f>Costs!CS31</f>
        <v>154500</v>
      </c>
      <c r="CT30" s="81">
        <f>Costs!CT31</f>
        <v>154500</v>
      </c>
      <c r="CU30" s="81">
        <f>Costs!CU31</f>
        <v>159000</v>
      </c>
      <c r="CV30" s="81">
        <f>Costs!CV31</f>
        <v>159000</v>
      </c>
      <c r="CW30" s="81">
        <f>Costs!CW31</f>
        <v>159000</v>
      </c>
      <c r="CX30" s="81">
        <f>Costs!CX31</f>
        <v>159000</v>
      </c>
      <c r="CY30" s="81">
        <f>Costs!CY31</f>
        <v>159000</v>
      </c>
      <c r="CZ30" s="81">
        <f>Costs!CZ31</f>
        <v>159000</v>
      </c>
      <c r="DA30" s="81">
        <f>Costs!DA31</f>
        <v>159000</v>
      </c>
      <c r="DB30" s="81">
        <f>Costs!DB31</f>
        <v>159000</v>
      </c>
      <c r="DC30" s="81">
        <f>Costs!DC31</f>
        <v>159000</v>
      </c>
      <c r="DD30" s="81">
        <f>Costs!DD31</f>
        <v>159000</v>
      </c>
      <c r="DE30" s="81">
        <f>Costs!DE31</f>
        <v>159000</v>
      </c>
      <c r="DF30" s="81">
        <f>Costs!DF31</f>
        <v>159000</v>
      </c>
      <c r="DG30" s="81">
        <f>Costs!DG31</f>
        <v>163500</v>
      </c>
      <c r="DH30" s="81">
        <f>Costs!DH31</f>
        <v>163500</v>
      </c>
      <c r="DI30" s="81">
        <f>Costs!DI31</f>
        <v>163500</v>
      </c>
      <c r="DJ30" s="81">
        <f>Costs!DJ31</f>
        <v>163500</v>
      </c>
      <c r="DK30" s="81">
        <f>Costs!DK31</f>
        <v>163500</v>
      </c>
      <c r="DL30" s="81">
        <f>Costs!DL31</f>
        <v>163500</v>
      </c>
      <c r="DM30" s="81">
        <f>Costs!DM31</f>
        <v>163500</v>
      </c>
      <c r="DN30" s="81">
        <f>Costs!DN31</f>
        <v>163500</v>
      </c>
      <c r="DO30" s="81">
        <f>Costs!DO31</f>
        <v>163500</v>
      </c>
      <c r="DP30" s="81">
        <f>Costs!DP31</f>
        <v>163500</v>
      </c>
      <c r="DQ30" s="81">
        <f>Costs!DQ31</f>
        <v>163500</v>
      </c>
      <c r="DR30" s="81">
        <f>Costs!DR31</f>
        <v>163500</v>
      </c>
      <c r="DS30" s="81">
        <f>Costs!DS31</f>
        <v>168000.00000000003</v>
      </c>
      <c r="DT30" s="81">
        <f>Costs!DT31</f>
        <v>168000.00000000003</v>
      </c>
      <c r="DU30" s="81">
        <f>Costs!DU31</f>
        <v>168000.00000000003</v>
      </c>
      <c r="DV30" s="81">
        <f>Costs!DV31</f>
        <v>168000.00000000003</v>
      </c>
      <c r="DW30" s="81">
        <f>Costs!DW31</f>
        <v>168000.00000000003</v>
      </c>
      <c r="DX30" s="81">
        <f>Costs!DX31</f>
        <v>168000.00000000003</v>
      </c>
      <c r="DY30" s="81">
        <f>Costs!DY31</f>
        <v>168000.00000000003</v>
      </c>
      <c r="DZ30" s="81">
        <f>Costs!DZ31</f>
        <v>168000.00000000003</v>
      </c>
      <c r="EA30" s="81">
        <f>Costs!EA31</f>
        <v>168000.00000000003</v>
      </c>
      <c r="EB30" s="81">
        <f>Costs!EB31</f>
        <v>168000.00000000003</v>
      </c>
      <c r="EC30" s="81">
        <f>Costs!EC31</f>
        <v>168000.00000000003</v>
      </c>
      <c r="ED30" s="81">
        <f>Costs!ED31</f>
        <v>168000.00000000003</v>
      </c>
      <c r="EE30" s="81">
        <f>Costs!EE31</f>
        <v>172500.00000000003</v>
      </c>
      <c r="EF30" s="81">
        <f>Costs!EF31</f>
        <v>172500.00000000003</v>
      </c>
      <c r="EG30" s="81">
        <f>Costs!EG31</f>
        <v>172500.00000000003</v>
      </c>
      <c r="EH30" s="81">
        <f>Costs!EH31</f>
        <v>172500.00000000003</v>
      </c>
      <c r="EI30" s="81">
        <f>Costs!EI31</f>
        <v>172500.00000000003</v>
      </c>
      <c r="EJ30" s="81">
        <f>Costs!EJ31</f>
        <v>172500.00000000003</v>
      </c>
      <c r="EK30" s="81">
        <f>Costs!EK31</f>
        <v>172500.00000000003</v>
      </c>
      <c r="EL30" s="81">
        <f>Costs!EL31</f>
        <v>172500.00000000003</v>
      </c>
      <c r="EM30" s="81">
        <f>Costs!EM31</f>
        <v>172500.00000000003</v>
      </c>
      <c r="EN30" s="81">
        <f>Costs!EN31</f>
        <v>172500.00000000003</v>
      </c>
      <c r="EO30" s="81">
        <f>Costs!EO31</f>
        <v>172500.00000000003</v>
      </c>
      <c r="EP30" s="81">
        <f>Costs!EP31</f>
        <v>172500.00000000003</v>
      </c>
      <c r="EQ30" s="81">
        <f>Costs!EQ31</f>
        <v>177000.00000000003</v>
      </c>
      <c r="ER30" s="81">
        <f>Costs!ER31</f>
        <v>177000.00000000003</v>
      </c>
      <c r="ES30" s="81">
        <f>Costs!ES31</f>
        <v>177000.00000000003</v>
      </c>
      <c r="ET30" s="81">
        <f>Costs!ET31</f>
        <v>177000.00000000003</v>
      </c>
      <c r="EU30" s="81">
        <f>Costs!EU31</f>
        <v>177000.00000000003</v>
      </c>
      <c r="EV30" s="81">
        <f>Costs!EV31</f>
        <v>177000.00000000003</v>
      </c>
      <c r="EW30" s="81">
        <f>Costs!EW31</f>
        <v>177000.00000000003</v>
      </c>
      <c r="EX30" s="81">
        <f>Costs!EX31</f>
        <v>177000.00000000003</v>
      </c>
      <c r="EY30" s="81">
        <f>Costs!EY31</f>
        <v>177000.00000000003</v>
      </c>
      <c r="EZ30" s="81">
        <f>Costs!EZ31</f>
        <v>177000.00000000003</v>
      </c>
      <c r="FA30" s="81">
        <f>Costs!FA31</f>
        <v>177000.00000000003</v>
      </c>
      <c r="FB30" s="81">
        <f>Costs!FB31</f>
        <v>177000.00000000003</v>
      </c>
      <c r="FC30" s="81">
        <f>Costs!FC31</f>
        <v>181500.00000000003</v>
      </c>
      <c r="FD30" s="81">
        <f>Costs!FD31</f>
        <v>181500.00000000003</v>
      </c>
      <c r="FE30" s="81">
        <f>Costs!FE31</f>
        <v>181500.00000000003</v>
      </c>
      <c r="FF30" s="81">
        <f>Costs!FF31</f>
        <v>181500.00000000003</v>
      </c>
      <c r="FG30" s="81">
        <f>Costs!FG31</f>
        <v>181500.00000000003</v>
      </c>
      <c r="FH30" s="81">
        <f>Costs!FH31</f>
        <v>181500.00000000003</v>
      </c>
      <c r="FI30" s="81">
        <f>Costs!FI31</f>
        <v>181500.00000000003</v>
      </c>
      <c r="FJ30" s="81">
        <f>Costs!FJ31</f>
        <v>181500.00000000003</v>
      </c>
      <c r="FK30" s="81">
        <f>Costs!FK31</f>
        <v>181500.00000000003</v>
      </c>
      <c r="FL30" s="81">
        <f>Costs!FL31</f>
        <v>181500.00000000003</v>
      </c>
      <c r="FM30" s="81">
        <f>Costs!FM31</f>
        <v>181500.00000000003</v>
      </c>
      <c r="FN30" s="81">
        <f>Costs!FN31</f>
        <v>181500.00000000003</v>
      </c>
      <c r="FO30" s="81">
        <f>Costs!FO31</f>
        <v>186000.00000000003</v>
      </c>
      <c r="FP30" s="81">
        <f>Costs!FP31</f>
        <v>186000.00000000003</v>
      </c>
      <c r="FQ30" s="81">
        <f>Costs!FQ31</f>
        <v>186000.00000000003</v>
      </c>
      <c r="FR30" s="81">
        <f>Costs!FR31</f>
        <v>186000.00000000003</v>
      </c>
      <c r="FS30" s="81">
        <f>Costs!FS31</f>
        <v>186000.00000000003</v>
      </c>
      <c r="FT30" s="81">
        <f>Costs!FT31</f>
        <v>186000.00000000003</v>
      </c>
      <c r="FU30" s="81">
        <f>Costs!FU31</f>
        <v>186000.00000000003</v>
      </c>
      <c r="FV30" s="81">
        <f>Costs!FV31</f>
        <v>186000.00000000003</v>
      </c>
      <c r="FW30" s="81">
        <f>Costs!FW31</f>
        <v>186000.00000000003</v>
      </c>
      <c r="FX30" s="81">
        <f>Costs!FX31</f>
        <v>186000.00000000003</v>
      </c>
      <c r="FY30" s="81">
        <f>Costs!FY31</f>
        <v>186000.00000000003</v>
      </c>
      <c r="FZ30" s="81">
        <f>Costs!FZ31</f>
        <v>186000.00000000003</v>
      </c>
      <c r="GA30" s="81">
        <f>Costs!GA31</f>
        <v>190500.00000000003</v>
      </c>
      <c r="GB30" s="81">
        <f>Costs!GB31</f>
        <v>190500.00000000003</v>
      </c>
      <c r="GC30" s="81">
        <f>Costs!GC31</f>
        <v>190500.00000000003</v>
      </c>
      <c r="GD30" s="81">
        <f>Costs!GD31</f>
        <v>190500.00000000003</v>
      </c>
      <c r="GE30" s="81">
        <f>Costs!GE31</f>
        <v>190500.00000000003</v>
      </c>
      <c r="GF30" s="81">
        <f>Costs!GF31</f>
        <v>190500.00000000003</v>
      </c>
      <c r="GG30" s="81">
        <f>Costs!GG31</f>
        <v>190500.00000000003</v>
      </c>
      <c r="GH30" s="81">
        <f>Costs!GH31</f>
        <v>190500.00000000003</v>
      </c>
      <c r="GI30" s="81">
        <f>Costs!GI31</f>
        <v>190500.00000000003</v>
      </c>
      <c r="GJ30" s="81">
        <f>Costs!GJ31</f>
        <v>190500.00000000003</v>
      </c>
      <c r="GK30" s="81">
        <f>Costs!GK31</f>
        <v>190500.00000000003</v>
      </c>
      <c r="GL30" s="81">
        <f>Costs!GL31</f>
        <v>190500.00000000003</v>
      </c>
      <c r="GM30" s="81">
        <f>Costs!GM31</f>
        <v>195000.00000000003</v>
      </c>
      <c r="GN30" s="81">
        <f>Costs!GN31</f>
        <v>195000.00000000003</v>
      </c>
      <c r="GO30" s="81">
        <f>Costs!GO31</f>
        <v>195000.00000000003</v>
      </c>
      <c r="GP30" s="81">
        <f>Costs!GP31</f>
        <v>195000.00000000003</v>
      </c>
      <c r="GQ30" s="81">
        <f>Costs!GQ31</f>
        <v>195000.00000000003</v>
      </c>
      <c r="GR30" s="81">
        <f>Costs!GR31</f>
        <v>195000.00000000003</v>
      </c>
      <c r="GS30" s="81">
        <f>Costs!GS31</f>
        <v>195000.00000000003</v>
      </c>
      <c r="GT30" s="81">
        <f>Costs!GT31</f>
        <v>195000.00000000003</v>
      </c>
      <c r="GU30" s="81">
        <f>Costs!GU31</f>
        <v>195000.00000000003</v>
      </c>
      <c r="GV30" s="81">
        <f>Costs!GV31</f>
        <v>195000.00000000003</v>
      </c>
      <c r="GW30" s="81">
        <f>Costs!GW31</f>
        <v>195000.00000000003</v>
      </c>
      <c r="GX30" s="81">
        <f>Costs!GX31</f>
        <v>195000.00000000003</v>
      </c>
      <c r="GY30" s="81">
        <f>Costs!GY31</f>
        <v>199500.00000000006</v>
      </c>
      <c r="GZ30" s="81">
        <f>Costs!GZ31</f>
        <v>199500.00000000006</v>
      </c>
      <c r="HA30" s="81">
        <f>Costs!HA31</f>
        <v>199500.00000000006</v>
      </c>
      <c r="HB30" s="81">
        <f>Costs!HB31</f>
        <v>199500.00000000006</v>
      </c>
      <c r="HC30" s="81">
        <f>Costs!HC31</f>
        <v>199500.00000000006</v>
      </c>
      <c r="HD30" s="81">
        <f>Costs!HD31</f>
        <v>199500.00000000006</v>
      </c>
      <c r="HE30" s="81">
        <f>Costs!HE31</f>
        <v>199500.00000000006</v>
      </c>
      <c r="HF30" s="81">
        <f>Costs!HF31</f>
        <v>199500.00000000006</v>
      </c>
      <c r="HG30" s="81">
        <f>Costs!HG31</f>
        <v>199500.00000000006</v>
      </c>
      <c r="HH30" s="81">
        <f>Costs!HH31</f>
        <v>199500.00000000006</v>
      </c>
      <c r="HI30" s="81">
        <f>Costs!HI31</f>
        <v>199500.00000000006</v>
      </c>
      <c r="HJ30" s="81">
        <f>Costs!HJ31</f>
        <v>199500.00000000006</v>
      </c>
      <c r="HK30" s="81">
        <f>Costs!HK31</f>
        <v>199500.00000000006</v>
      </c>
      <c r="HL30" s="81">
        <f>Costs!HL31</f>
        <v>199500.00000000006</v>
      </c>
      <c r="HM30" s="81">
        <f>Costs!HM31</f>
        <v>199500.00000000006</v>
      </c>
      <c r="HN30" s="81">
        <f>Costs!HN31</f>
        <v>199500.00000000006</v>
      </c>
      <c r="HO30" s="81">
        <f>Costs!HO31</f>
        <v>199500.00000000006</v>
      </c>
      <c r="HP30" s="81">
        <f>Costs!HP31</f>
        <v>199500.00000000006</v>
      </c>
      <c r="HQ30" s="81">
        <f>Costs!HQ31</f>
        <v>199500.00000000006</v>
      </c>
      <c r="HR30" s="81">
        <f>Costs!HR31</f>
        <v>199500.00000000006</v>
      </c>
      <c r="HS30" s="81">
        <f>Costs!HS31</f>
        <v>199500.00000000006</v>
      </c>
      <c r="HT30" s="81">
        <f>Costs!HT31</f>
        <v>199500.00000000006</v>
      </c>
      <c r="HU30" s="81">
        <f>Costs!HU31</f>
        <v>199500.00000000006</v>
      </c>
      <c r="HV30" s="81">
        <f>Costs!HV31</f>
        <v>199500.00000000006</v>
      </c>
      <c r="HW30" s="81">
        <f>Costs!HW31</f>
        <v>199500.00000000006</v>
      </c>
      <c r="HX30" s="81">
        <f>Costs!HX31</f>
        <v>199500.00000000006</v>
      </c>
      <c r="HY30" s="81">
        <f>Costs!HY31</f>
        <v>199500.00000000006</v>
      </c>
      <c r="HZ30" s="81">
        <f>Costs!HZ31</f>
        <v>199500.00000000006</v>
      </c>
      <c r="IA30" s="81">
        <f>Costs!IA31</f>
        <v>199500.00000000006</v>
      </c>
      <c r="IB30" s="81">
        <f>Costs!IB31</f>
        <v>199500.00000000006</v>
      </c>
      <c r="IC30" s="81">
        <f>Costs!IC31</f>
        <v>199500.00000000006</v>
      </c>
      <c r="ID30" s="81">
        <f>Costs!ID31</f>
        <v>199500.00000000006</v>
      </c>
      <c r="IE30" s="81">
        <f>Costs!IE31</f>
        <v>199500.00000000006</v>
      </c>
      <c r="IF30" s="81">
        <f>Costs!IF31</f>
        <v>199500.00000000006</v>
      </c>
      <c r="IG30" s="81">
        <f>Costs!IG31</f>
        <v>199500.00000000006</v>
      </c>
      <c r="IH30" s="81">
        <f>Costs!IH31</f>
        <v>199500.00000000006</v>
      </c>
    </row>
    <row r="31" spans="1:242" x14ac:dyDescent="0.45">
      <c r="A31" s="895" t="s">
        <v>231</v>
      </c>
      <c r="B31" s="896"/>
      <c r="C31" s="81">
        <f>Costs!C32</f>
        <v>6418.8749999999927</v>
      </c>
      <c r="D31" s="81">
        <f>Costs!D32</f>
        <v>6418.8749999999927</v>
      </c>
      <c r="E31" s="81">
        <f>Costs!E32</f>
        <v>6418.8749999999927</v>
      </c>
      <c r="F31" s="81">
        <f>Costs!F32</f>
        <v>6418.8749999999927</v>
      </c>
      <c r="G31" s="81">
        <f>Costs!G32</f>
        <v>6418.8749999999927</v>
      </c>
      <c r="H31" s="81">
        <f>Costs!H32</f>
        <v>6418.8749999999927</v>
      </c>
      <c r="I31" s="81">
        <f>Costs!I32</f>
        <v>6418.8749999999927</v>
      </c>
      <c r="J31" s="81">
        <f>Costs!J32</f>
        <v>6418.8749999999927</v>
      </c>
      <c r="K31" s="81">
        <f>Costs!K32</f>
        <v>6418.8749999999927</v>
      </c>
      <c r="L31" s="81">
        <f>Costs!L32</f>
        <v>6418.8749999999927</v>
      </c>
      <c r="M31" s="81">
        <f>Costs!M32</f>
        <v>6418.8749999999927</v>
      </c>
      <c r="N31" s="81">
        <f>Costs!N32</f>
        <v>6418.8749999999927</v>
      </c>
      <c r="O31" s="81">
        <f>Costs!O32</f>
        <v>6418.8749999999927</v>
      </c>
      <c r="P31" s="81">
        <f>Costs!P32</f>
        <v>6418.8749999999927</v>
      </c>
      <c r="Q31" s="81">
        <f>Costs!Q32</f>
        <v>6418.8749999999927</v>
      </c>
      <c r="R31" s="81">
        <f>Costs!R32</f>
        <v>6418.8749999999927</v>
      </c>
      <c r="S31" s="81">
        <f>Costs!S32</f>
        <v>6418.8749999999927</v>
      </c>
      <c r="T31" s="81">
        <f>Costs!T32</f>
        <v>6418.8749999999927</v>
      </c>
      <c r="U31" s="81">
        <f>Costs!U32</f>
        <v>6418.8749999999927</v>
      </c>
      <c r="V31" s="81">
        <f>Costs!V32</f>
        <v>6418.8749999999927</v>
      </c>
      <c r="W31" s="81">
        <f>Costs!W32</f>
        <v>6418.8749999999927</v>
      </c>
      <c r="X31" s="81">
        <f>Costs!X32</f>
        <v>6418.8749999999927</v>
      </c>
      <c r="Y31" s="81">
        <f>Costs!Y32</f>
        <v>6418.8749999999927</v>
      </c>
      <c r="Z31" s="81">
        <f>Costs!Z32</f>
        <v>6418.8749999999927</v>
      </c>
      <c r="AA31" s="81">
        <f>Costs!AA32</f>
        <v>19256.624999999978</v>
      </c>
      <c r="AB31" s="81">
        <f>Costs!AB32</f>
        <v>19256.624999999978</v>
      </c>
      <c r="AC31" s="81">
        <f>Costs!AC32</f>
        <v>19256.624999999978</v>
      </c>
      <c r="AD31" s="81">
        <f>Costs!AD32</f>
        <v>19256.624999999978</v>
      </c>
      <c r="AE31" s="81">
        <f>Costs!AE32</f>
        <v>19256.624999999978</v>
      </c>
      <c r="AF31" s="81">
        <f>Costs!AF32</f>
        <v>19256.624999999978</v>
      </c>
      <c r="AG31" s="81">
        <f>Costs!AG32</f>
        <v>19256.624999999978</v>
      </c>
      <c r="AH31" s="81">
        <f>Costs!AH32</f>
        <v>19256.624999999978</v>
      </c>
      <c r="AI31" s="81">
        <f>Costs!AI32</f>
        <v>19256.624999999978</v>
      </c>
      <c r="AJ31" s="81">
        <f>Costs!AJ32</f>
        <v>19256.624999999978</v>
      </c>
      <c r="AK31" s="81">
        <f>Costs!AK32</f>
        <v>19256.624999999978</v>
      </c>
      <c r="AL31" s="81">
        <f>Costs!AL32</f>
        <v>19256.624999999978</v>
      </c>
      <c r="AM31" s="81">
        <f>Costs!AM32</f>
        <v>19256.624999999978</v>
      </c>
      <c r="AN31" s="81">
        <f>Costs!AN32</f>
        <v>19256.624999999978</v>
      </c>
      <c r="AO31" s="81">
        <f>Costs!AO32</f>
        <v>19256.624999999978</v>
      </c>
      <c r="AP31" s="81">
        <f>Costs!AP32</f>
        <v>19256.624999999978</v>
      </c>
      <c r="AQ31" s="81">
        <f>Costs!AQ32</f>
        <v>19256.624999999978</v>
      </c>
      <c r="AR31" s="81">
        <f>Costs!AR32</f>
        <v>19256.624999999978</v>
      </c>
      <c r="AS31" s="81">
        <f>Costs!AS32</f>
        <v>19256.624999999978</v>
      </c>
      <c r="AT31" s="81">
        <f>Costs!AT32</f>
        <v>19256.624999999978</v>
      </c>
      <c r="AU31" s="81">
        <f>Costs!AU32</f>
        <v>19256.624999999978</v>
      </c>
      <c r="AV31" s="81">
        <f>Costs!AV32</f>
        <v>19256.624999999978</v>
      </c>
      <c r="AW31" s="81">
        <f>Costs!AW32</f>
        <v>19256.624999999978</v>
      </c>
      <c r="AX31" s="81">
        <f>Costs!AX32</f>
        <v>19256.624999999978</v>
      </c>
      <c r="AY31" s="81">
        <f>Costs!AY32</f>
        <v>19256.624999999978</v>
      </c>
      <c r="AZ31" s="81">
        <f>Costs!AZ32</f>
        <v>19256.624999999978</v>
      </c>
      <c r="BA31" s="81">
        <f>Costs!BA32</f>
        <v>19256.624999999978</v>
      </c>
      <c r="BB31" s="81">
        <f>Costs!BB32</f>
        <v>19256.624999999978</v>
      </c>
      <c r="BC31" s="81">
        <f>Costs!BC32</f>
        <v>19256.624999999978</v>
      </c>
      <c r="BD31" s="81">
        <f>Costs!BD32</f>
        <v>19256.624999999978</v>
      </c>
      <c r="BE31" s="81">
        <f>Costs!BE32</f>
        <v>19256.624999999978</v>
      </c>
      <c r="BF31" s="81">
        <f>Costs!BF32</f>
        <v>19256.624999999978</v>
      </c>
      <c r="BG31" s="81">
        <f>Costs!BG32</f>
        <v>19256.624999999978</v>
      </c>
      <c r="BH31" s="81">
        <f>Costs!BH32</f>
        <v>19256.624999999978</v>
      </c>
      <c r="BI31" s="81">
        <f>Costs!BI32</f>
        <v>19256.624999999978</v>
      </c>
      <c r="BJ31" s="81">
        <f>Costs!BJ32</f>
        <v>19256.624999999978</v>
      </c>
      <c r="BK31" s="81">
        <f>Costs!BK32</f>
        <v>19256.624999999978</v>
      </c>
      <c r="BL31" s="81">
        <f>Costs!BL32</f>
        <v>19256.624999999978</v>
      </c>
      <c r="BM31" s="81">
        <f>Costs!BM32</f>
        <v>19256.624999999978</v>
      </c>
      <c r="BN31" s="81">
        <f>Costs!BN32</f>
        <v>19256.624999999978</v>
      </c>
      <c r="BO31" s="81">
        <f>Costs!BO32</f>
        <v>19256.624999999978</v>
      </c>
      <c r="BP31" s="81">
        <f>Costs!BP32</f>
        <v>19256.624999999978</v>
      </c>
      <c r="BQ31" s="81">
        <f>Costs!BQ32</f>
        <v>19256.624999999978</v>
      </c>
      <c r="BR31" s="81">
        <f>Costs!BR32</f>
        <v>19256.624999999978</v>
      </c>
      <c r="BS31" s="81">
        <f>Costs!BS32</f>
        <v>19256.624999999978</v>
      </c>
      <c r="BT31" s="81">
        <f>Costs!BT32</f>
        <v>19256.624999999978</v>
      </c>
      <c r="BU31" s="81">
        <f>Costs!BU32</f>
        <v>19256.624999999978</v>
      </c>
      <c r="BV31" s="81">
        <f>Costs!BV32</f>
        <v>19256.624999999978</v>
      </c>
      <c r="BW31" s="81">
        <f>Costs!BW32</f>
        <v>25675.499999999971</v>
      </c>
      <c r="BX31" s="81">
        <f>Costs!BX32</f>
        <v>25675.499999999971</v>
      </c>
      <c r="BY31" s="81">
        <f>Costs!BY32</f>
        <v>25675.499999999971</v>
      </c>
      <c r="BZ31" s="81">
        <f>Costs!BZ32</f>
        <v>25675.499999999971</v>
      </c>
      <c r="CA31" s="81">
        <f>Costs!CA32</f>
        <v>25675.499999999971</v>
      </c>
      <c r="CB31" s="81">
        <f>Costs!CB32</f>
        <v>25675.499999999971</v>
      </c>
      <c r="CC31" s="81">
        <f>Costs!CC32</f>
        <v>25675.499999999971</v>
      </c>
      <c r="CD31" s="81">
        <f>Costs!CD32</f>
        <v>25675.499999999971</v>
      </c>
      <c r="CE31" s="81">
        <f>Costs!CE32</f>
        <v>25675.499999999971</v>
      </c>
      <c r="CF31" s="81">
        <f>Costs!CF32</f>
        <v>25675.499999999971</v>
      </c>
      <c r="CG31" s="81">
        <f>Costs!CG32</f>
        <v>25675.499999999971</v>
      </c>
      <c r="CH31" s="81">
        <f>Costs!CH32</f>
        <v>25675.499999999971</v>
      </c>
      <c r="CI31" s="81">
        <f>Costs!CI32</f>
        <v>25675.499999999971</v>
      </c>
      <c r="CJ31" s="81">
        <f>Costs!CJ32</f>
        <v>25675.499999999971</v>
      </c>
      <c r="CK31" s="81">
        <f>Costs!CK32</f>
        <v>25675.499999999971</v>
      </c>
      <c r="CL31" s="81">
        <f>Costs!CL32</f>
        <v>25675.499999999971</v>
      </c>
      <c r="CM31" s="81">
        <f>Costs!CM32</f>
        <v>25675.499999999971</v>
      </c>
      <c r="CN31" s="81">
        <f>Costs!CN32</f>
        <v>26445.76499999997</v>
      </c>
      <c r="CO31" s="81">
        <f>Costs!CO32</f>
        <v>26445.76499999997</v>
      </c>
      <c r="CP31" s="81">
        <f>Costs!CP32</f>
        <v>26445.76499999997</v>
      </c>
      <c r="CQ31" s="81">
        <f>Costs!CQ32</f>
        <v>26445.76499999997</v>
      </c>
      <c r="CR31" s="81">
        <f>Costs!CR32</f>
        <v>26445.76499999997</v>
      </c>
      <c r="CS31" s="81">
        <f>Costs!CS32</f>
        <v>26445.76499999997</v>
      </c>
      <c r="CT31" s="81">
        <f>Costs!CT32</f>
        <v>26445.76499999997</v>
      </c>
      <c r="CU31" s="81">
        <f>Costs!CU32</f>
        <v>27216.02999999997</v>
      </c>
      <c r="CV31" s="81">
        <f>Costs!CV32</f>
        <v>27216.02999999997</v>
      </c>
      <c r="CW31" s="81">
        <f>Costs!CW32</f>
        <v>27216.02999999997</v>
      </c>
      <c r="CX31" s="81">
        <f>Costs!CX32</f>
        <v>27216.02999999997</v>
      </c>
      <c r="CY31" s="81">
        <f>Costs!CY32</f>
        <v>27216.02999999997</v>
      </c>
      <c r="CZ31" s="81">
        <f>Costs!CZ32</f>
        <v>27216.02999999997</v>
      </c>
      <c r="DA31" s="81">
        <f>Costs!DA32</f>
        <v>27216.02999999997</v>
      </c>
      <c r="DB31" s="81">
        <f>Costs!DB32</f>
        <v>27216.02999999997</v>
      </c>
      <c r="DC31" s="81">
        <f>Costs!DC32</f>
        <v>27216.02999999997</v>
      </c>
      <c r="DD31" s="81">
        <f>Costs!DD32</f>
        <v>27216.02999999997</v>
      </c>
      <c r="DE31" s="81">
        <f>Costs!DE32</f>
        <v>27216.02999999997</v>
      </c>
      <c r="DF31" s="81">
        <f>Costs!DF32</f>
        <v>27216.02999999997</v>
      </c>
      <c r="DG31" s="81">
        <f>Costs!DG32</f>
        <v>27986.294999999969</v>
      </c>
      <c r="DH31" s="81">
        <f>Costs!DH32</f>
        <v>27986.294999999969</v>
      </c>
      <c r="DI31" s="81">
        <f>Costs!DI32</f>
        <v>27986.294999999969</v>
      </c>
      <c r="DJ31" s="81">
        <f>Costs!DJ32</f>
        <v>27986.294999999969</v>
      </c>
      <c r="DK31" s="81">
        <f>Costs!DK32</f>
        <v>27986.294999999969</v>
      </c>
      <c r="DL31" s="81">
        <f>Costs!DL32</f>
        <v>27986.294999999969</v>
      </c>
      <c r="DM31" s="81">
        <f>Costs!DM32</f>
        <v>27986.294999999969</v>
      </c>
      <c r="DN31" s="81">
        <f>Costs!DN32</f>
        <v>27986.294999999969</v>
      </c>
      <c r="DO31" s="81">
        <f>Costs!DO32</f>
        <v>27986.294999999969</v>
      </c>
      <c r="DP31" s="81">
        <f>Costs!DP32</f>
        <v>27986.294999999969</v>
      </c>
      <c r="DQ31" s="81">
        <f>Costs!DQ32</f>
        <v>27986.294999999969</v>
      </c>
      <c r="DR31" s="81">
        <f>Costs!DR32</f>
        <v>27986.294999999969</v>
      </c>
      <c r="DS31" s="81">
        <f>Costs!DS32</f>
        <v>28756.559999999969</v>
      </c>
      <c r="DT31" s="81">
        <f>Costs!DT32</f>
        <v>28756.559999999969</v>
      </c>
      <c r="DU31" s="81">
        <f>Costs!DU32</f>
        <v>28756.559999999969</v>
      </c>
      <c r="DV31" s="81">
        <f>Costs!DV32</f>
        <v>28756.559999999969</v>
      </c>
      <c r="DW31" s="81">
        <f>Costs!DW32</f>
        <v>28756.559999999969</v>
      </c>
      <c r="DX31" s="81">
        <f>Costs!DX32</f>
        <v>28756.559999999969</v>
      </c>
      <c r="DY31" s="81">
        <f>Costs!DY32</f>
        <v>28756.559999999969</v>
      </c>
      <c r="DZ31" s="81">
        <f>Costs!DZ32</f>
        <v>28756.559999999969</v>
      </c>
      <c r="EA31" s="81">
        <f>Costs!EA32</f>
        <v>28756.559999999969</v>
      </c>
      <c r="EB31" s="81">
        <f>Costs!EB32</f>
        <v>28756.559999999969</v>
      </c>
      <c r="EC31" s="81">
        <f>Costs!EC32</f>
        <v>28756.559999999969</v>
      </c>
      <c r="ED31" s="81">
        <f>Costs!ED32</f>
        <v>28756.559999999969</v>
      </c>
      <c r="EE31" s="81">
        <f>Costs!EE32</f>
        <v>29526.824999999972</v>
      </c>
      <c r="EF31" s="81">
        <f>Costs!EF32</f>
        <v>29526.824999999972</v>
      </c>
      <c r="EG31" s="81">
        <f>Costs!EG32</f>
        <v>29526.824999999972</v>
      </c>
      <c r="EH31" s="81">
        <f>Costs!EH32</f>
        <v>29526.824999999972</v>
      </c>
      <c r="EI31" s="81">
        <f>Costs!EI32</f>
        <v>29526.824999999972</v>
      </c>
      <c r="EJ31" s="81">
        <f>Costs!EJ32</f>
        <v>29526.824999999972</v>
      </c>
      <c r="EK31" s="81">
        <f>Costs!EK32</f>
        <v>29526.824999999972</v>
      </c>
      <c r="EL31" s="81">
        <f>Costs!EL32</f>
        <v>29526.824999999972</v>
      </c>
      <c r="EM31" s="81">
        <f>Costs!EM32</f>
        <v>29526.824999999972</v>
      </c>
      <c r="EN31" s="81">
        <f>Costs!EN32</f>
        <v>29526.824999999972</v>
      </c>
      <c r="EO31" s="81">
        <f>Costs!EO32</f>
        <v>29526.824999999972</v>
      </c>
      <c r="EP31" s="81">
        <f>Costs!EP32</f>
        <v>29526.824999999972</v>
      </c>
      <c r="EQ31" s="81">
        <f>Costs!EQ32</f>
        <v>30297.089999999971</v>
      </c>
      <c r="ER31" s="81">
        <f>Costs!ER32</f>
        <v>30297.089999999971</v>
      </c>
      <c r="ES31" s="81">
        <f>Costs!ES32</f>
        <v>30297.089999999971</v>
      </c>
      <c r="ET31" s="81">
        <f>Costs!ET32</f>
        <v>30297.089999999971</v>
      </c>
      <c r="EU31" s="81">
        <f>Costs!EU32</f>
        <v>30297.089999999971</v>
      </c>
      <c r="EV31" s="81">
        <f>Costs!EV32</f>
        <v>30297.089999999971</v>
      </c>
      <c r="EW31" s="81">
        <f>Costs!EW32</f>
        <v>30297.089999999971</v>
      </c>
      <c r="EX31" s="81">
        <f>Costs!EX32</f>
        <v>30297.089999999971</v>
      </c>
      <c r="EY31" s="81">
        <f>Costs!EY32</f>
        <v>30297.089999999971</v>
      </c>
      <c r="EZ31" s="81">
        <f>Costs!EZ32</f>
        <v>30297.089999999971</v>
      </c>
      <c r="FA31" s="81">
        <f>Costs!FA32</f>
        <v>30297.089999999971</v>
      </c>
      <c r="FB31" s="81">
        <f>Costs!FB32</f>
        <v>30297.089999999971</v>
      </c>
      <c r="FC31" s="81">
        <f>Costs!FC32</f>
        <v>31067.35499999997</v>
      </c>
      <c r="FD31" s="81">
        <f>Costs!FD32</f>
        <v>31067.35499999997</v>
      </c>
      <c r="FE31" s="81">
        <f>Costs!FE32</f>
        <v>31067.35499999997</v>
      </c>
      <c r="FF31" s="81">
        <f>Costs!FF32</f>
        <v>31067.35499999997</v>
      </c>
      <c r="FG31" s="81">
        <f>Costs!FG32</f>
        <v>31067.35499999997</v>
      </c>
      <c r="FH31" s="81">
        <f>Costs!FH32</f>
        <v>31067.35499999997</v>
      </c>
      <c r="FI31" s="81">
        <f>Costs!FI32</f>
        <v>31067.35499999997</v>
      </c>
      <c r="FJ31" s="81">
        <f>Costs!FJ32</f>
        <v>31067.35499999997</v>
      </c>
      <c r="FK31" s="81">
        <f>Costs!FK32</f>
        <v>31067.35499999997</v>
      </c>
      <c r="FL31" s="81">
        <f>Costs!FL32</f>
        <v>31067.35499999997</v>
      </c>
      <c r="FM31" s="81">
        <f>Costs!FM32</f>
        <v>31067.35499999997</v>
      </c>
      <c r="FN31" s="81">
        <f>Costs!FN32</f>
        <v>31067.35499999997</v>
      </c>
      <c r="FO31" s="81">
        <f>Costs!FO32</f>
        <v>31837.61999999997</v>
      </c>
      <c r="FP31" s="81">
        <f>Costs!FP32</f>
        <v>31837.61999999997</v>
      </c>
      <c r="FQ31" s="81">
        <f>Costs!FQ32</f>
        <v>31837.61999999997</v>
      </c>
      <c r="FR31" s="81">
        <f>Costs!FR32</f>
        <v>31837.61999999997</v>
      </c>
      <c r="FS31" s="81">
        <f>Costs!FS32</f>
        <v>31837.61999999997</v>
      </c>
      <c r="FT31" s="81">
        <f>Costs!FT32</f>
        <v>31837.61999999997</v>
      </c>
      <c r="FU31" s="81">
        <f>Costs!FU32</f>
        <v>31837.61999999997</v>
      </c>
      <c r="FV31" s="81">
        <f>Costs!FV32</f>
        <v>31837.61999999997</v>
      </c>
      <c r="FW31" s="81">
        <f>Costs!FW32</f>
        <v>31837.61999999997</v>
      </c>
      <c r="FX31" s="81">
        <f>Costs!FX32</f>
        <v>31837.61999999997</v>
      </c>
      <c r="FY31" s="81">
        <f>Costs!FY32</f>
        <v>31837.61999999997</v>
      </c>
      <c r="FZ31" s="81">
        <f>Costs!FZ32</f>
        <v>31837.61999999997</v>
      </c>
      <c r="GA31" s="81">
        <f>Costs!GA32</f>
        <v>32607.884999999969</v>
      </c>
      <c r="GB31" s="81">
        <f>Costs!GB32</f>
        <v>32607.884999999969</v>
      </c>
      <c r="GC31" s="81">
        <f>Costs!GC32</f>
        <v>32607.884999999969</v>
      </c>
      <c r="GD31" s="81">
        <f>Costs!GD32</f>
        <v>32607.884999999969</v>
      </c>
      <c r="GE31" s="81">
        <f>Costs!GE32</f>
        <v>32607.884999999969</v>
      </c>
      <c r="GF31" s="81">
        <f>Costs!GF32</f>
        <v>32607.884999999969</v>
      </c>
      <c r="GG31" s="81">
        <f>Costs!GG32</f>
        <v>32607.884999999969</v>
      </c>
      <c r="GH31" s="81">
        <f>Costs!GH32</f>
        <v>32607.884999999969</v>
      </c>
      <c r="GI31" s="81">
        <f>Costs!GI32</f>
        <v>32607.884999999969</v>
      </c>
      <c r="GJ31" s="81">
        <f>Costs!GJ32</f>
        <v>32607.884999999969</v>
      </c>
      <c r="GK31" s="81">
        <f>Costs!GK32</f>
        <v>32607.884999999969</v>
      </c>
      <c r="GL31" s="81">
        <f>Costs!GL32</f>
        <v>32607.884999999969</v>
      </c>
      <c r="GM31" s="81">
        <f>Costs!GM32</f>
        <v>33378.149999999972</v>
      </c>
      <c r="GN31" s="81">
        <f>Costs!GN32</f>
        <v>33378.149999999972</v>
      </c>
      <c r="GO31" s="81">
        <f>Costs!GO32</f>
        <v>33378.149999999972</v>
      </c>
      <c r="GP31" s="81">
        <f>Costs!GP32</f>
        <v>33378.149999999972</v>
      </c>
      <c r="GQ31" s="81">
        <f>Costs!GQ32</f>
        <v>33378.149999999972</v>
      </c>
      <c r="GR31" s="81">
        <f>Costs!GR32</f>
        <v>33378.149999999972</v>
      </c>
      <c r="GS31" s="81">
        <f>Costs!GS32</f>
        <v>33378.149999999972</v>
      </c>
      <c r="GT31" s="81">
        <f>Costs!GT32</f>
        <v>33378.149999999972</v>
      </c>
      <c r="GU31" s="81">
        <f>Costs!GU32</f>
        <v>33378.149999999972</v>
      </c>
      <c r="GV31" s="81">
        <f>Costs!GV32</f>
        <v>33378.149999999972</v>
      </c>
      <c r="GW31" s="81">
        <f>Costs!GW32</f>
        <v>33378.149999999972</v>
      </c>
      <c r="GX31" s="81">
        <f>Costs!GX32</f>
        <v>33378.149999999972</v>
      </c>
      <c r="GY31" s="81">
        <f>Costs!GY32</f>
        <v>34148.414999999972</v>
      </c>
      <c r="GZ31" s="81">
        <f>Costs!GZ32</f>
        <v>34148.414999999972</v>
      </c>
      <c r="HA31" s="81">
        <f>Costs!HA32</f>
        <v>34148.414999999972</v>
      </c>
      <c r="HB31" s="81">
        <f>Costs!HB32</f>
        <v>34148.414999999972</v>
      </c>
      <c r="HC31" s="81">
        <f>Costs!HC32</f>
        <v>34148.414999999972</v>
      </c>
      <c r="HD31" s="81">
        <f>Costs!HD32</f>
        <v>34148.414999999972</v>
      </c>
      <c r="HE31" s="81">
        <f>Costs!HE32</f>
        <v>34148.414999999972</v>
      </c>
      <c r="HF31" s="81">
        <f>Costs!HF32</f>
        <v>34148.414999999972</v>
      </c>
      <c r="HG31" s="81">
        <f>Costs!HG32</f>
        <v>34148.414999999972</v>
      </c>
      <c r="HH31" s="81">
        <f>Costs!HH32</f>
        <v>34148.414999999972</v>
      </c>
      <c r="HI31" s="81">
        <f>Costs!HI32</f>
        <v>34148.414999999972</v>
      </c>
      <c r="HJ31" s="81">
        <f>Costs!HJ32</f>
        <v>34148.414999999972</v>
      </c>
      <c r="HK31" s="81">
        <f>Costs!HK32</f>
        <v>34148.414999999972</v>
      </c>
      <c r="HL31" s="81">
        <f>Costs!HL32</f>
        <v>34148.414999999972</v>
      </c>
      <c r="HM31" s="81">
        <f>Costs!HM32</f>
        <v>34148.414999999972</v>
      </c>
      <c r="HN31" s="81">
        <f>Costs!HN32</f>
        <v>34148.414999999972</v>
      </c>
      <c r="HO31" s="81">
        <f>Costs!HO32</f>
        <v>34148.414999999972</v>
      </c>
      <c r="HP31" s="81">
        <f>Costs!HP32</f>
        <v>34148.414999999972</v>
      </c>
      <c r="HQ31" s="81">
        <f>Costs!HQ32</f>
        <v>34148.414999999972</v>
      </c>
      <c r="HR31" s="81">
        <f>Costs!HR32</f>
        <v>34148.414999999972</v>
      </c>
      <c r="HS31" s="81">
        <f>Costs!HS32</f>
        <v>34148.414999999972</v>
      </c>
      <c r="HT31" s="81">
        <f>Costs!HT32</f>
        <v>34148.414999999972</v>
      </c>
      <c r="HU31" s="81">
        <f>Costs!HU32</f>
        <v>34148.414999999972</v>
      </c>
      <c r="HV31" s="81">
        <f>Costs!HV32</f>
        <v>34148.414999999972</v>
      </c>
      <c r="HW31" s="81">
        <f>Costs!HW32</f>
        <v>34148.414999999972</v>
      </c>
      <c r="HX31" s="81">
        <f>Costs!HX32</f>
        <v>34148.414999999972</v>
      </c>
      <c r="HY31" s="81">
        <f>Costs!HY32</f>
        <v>34148.414999999972</v>
      </c>
      <c r="HZ31" s="81">
        <f>Costs!HZ32</f>
        <v>34148.414999999972</v>
      </c>
      <c r="IA31" s="81">
        <f>Costs!IA32</f>
        <v>34148.414999999972</v>
      </c>
      <c r="IB31" s="81">
        <f>Costs!IB32</f>
        <v>34148.414999999972</v>
      </c>
      <c r="IC31" s="81">
        <f>Costs!IC32</f>
        <v>34148.414999999972</v>
      </c>
      <c r="ID31" s="81">
        <f>Costs!ID32</f>
        <v>34148.414999999972</v>
      </c>
      <c r="IE31" s="81">
        <f>Costs!IE32</f>
        <v>34148.414999999972</v>
      </c>
      <c r="IF31" s="81">
        <f>Costs!IF32</f>
        <v>34148.414999999972</v>
      </c>
      <c r="IG31" s="81">
        <f>Costs!IG32</f>
        <v>34148.414999999972</v>
      </c>
      <c r="IH31" s="81">
        <f>Costs!IH32</f>
        <v>34148.414999999972</v>
      </c>
    </row>
    <row r="32" spans="1:242" x14ac:dyDescent="0.45">
      <c r="A32" s="895" t="s">
        <v>232</v>
      </c>
      <c r="B32" s="896"/>
      <c r="C32" s="81">
        <f>Costs!C33</f>
        <v>60000</v>
      </c>
      <c r="D32" s="81">
        <f>Costs!D33</f>
        <v>60000</v>
      </c>
      <c r="E32" s="81">
        <f>Costs!E33</f>
        <v>60000</v>
      </c>
      <c r="F32" s="81">
        <f>Costs!F33</f>
        <v>60000</v>
      </c>
      <c r="G32" s="81">
        <f>Costs!G33</f>
        <v>60000</v>
      </c>
      <c r="H32" s="81">
        <f>Costs!H33</f>
        <v>60000</v>
      </c>
      <c r="I32" s="81">
        <f>Costs!I33</f>
        <v>60000</v>
      </c>
      <c r="J32" s="81">
        <f>Costs!J33</f>
        <v>60000</v>
      </c>
      <c r="K32" s="81">
        <f>Costs!K33</f>
        <v>60000</v>
      </c>
      <c r="L32" s="81">
        <f>Costs!L33</f>
        <v>60000</v>
      </c>
      <c r="M32" s="81">
        <f>Costs!M33</f>
        <v>60000</v>
      </c>
      <c r="N32" s="81">
        <f>Costs!N33</f>
        <v>60000</v>
      </c>
      <c r="O32" s="81">
        <f>Costs!O33</f>
        <v>60000</v>
      </c>
      <c r="P32" s="81">
        <f>Costs!P33</f>
        <v>60000</v>
      </c>
      <c r="Q32" s="81">
        <f>Costs!Q33</f>
        <v>60000</v>
      </c>
      <c r="R32" s="81">
        <f>Costs!R33</f>
        <v>60000</v>
      </c>
      <c r="S32" s="81">
        <f>Costs!S33</f>
        <v>60000</v>
      </c>
      <c r="T32" s="81">
        <f>Costs!T33</f>
        <v>60000</v>
      </c>
      <c r="U32" s="81">
        <f>Costs!U33</f>
        <v>60000</v>
      </c>
      <c r="V32" s="81">
        <f>Costs!V33</f>
        <v>60000</v>
      </c>
      <c r="W32" s="81">
        <f>Costs!W33</f>
        <v>60000</v>
      </c>
      <c r="X32" s="81">
        <f>Costs!X33</f>
        <v>60000</v>
      </c>
      <c r="Y32" s="81">
        <f>Costs!Y33</f>
        <v>60000</v>
      </c>
      <c r="Z32" s="81">
        <f>Costs!Z33</f>
        <v>60000</v>
      </c>
      <c r="AA32" s="81">
        <f>Costs!AA33</f>
        <v>180000</v>
      </c>
      <c r="AB32" s="81">
        <f>Costs!AB33</f>
        <v>180000</v>
      </c>
      <c r="AC32" s="81">
        <f>Costs!AC33</f>
        <v>180000</v>
      </c>
      <c r="AD32" s="81">
        <f>Costs!AD33</f>
        <v>180000</v>
      </c>
      <c r="AE32" s="81">
        <f>Costs!AE33</f>
        <v>180000</v>
      </c>
      <c r="AF32" s="81">
        <f>Costs!AF33</f>
        <v>180000</v>
      </c>
      <c r="AG32" s="81">
        <f>Costs!AG33</f>
        <v>180000</v>
      </c>
      <c r="AH32" s="81">
        <f>Costs!AH33</f>
        <v>180000</v>
      </c>
      <c r="AI32" s="81">
        <f>Costs!AI33</f>
        <v>180000</v>
      </c>
      <c r="AJ32" s="81">
        <f>Costs!AJ33</f>
        <v>180000</v>
      </c>
      <c r="AK32" s="81">
        <f>Costs!AK33</f>
        <v>180000</v>
      </c>
      <c r="AL32" s="81">
        <f>Costs!AL33</f>
        <v>180000</v>
      </c>
      <c r="AM32" s="81">
        <f>Costs!AM33</f>
        <v>180000</v>
      </c>
      <c r="AN32" s="81">
        <f>Costs!AN33</f>
        <v>180000</v>
      </c>
      <c r="AO32" s="81">
        <f>Costs!AO33</f>
        <v>180000</v>
      </c>
      <c r="AP32" s="81">
        <f>Costs!AP33</f>
        <v>180000</v>
      </c>
      <c r="AQ32" s="81">
        <f>Costs!AQ33</f>
        <v>180000</v>
      </c>
      <c r="AR32" s="81">
        <f>Costs!AR33</f>
        <v>180000</v>
      </c>
      <c r="AS32" s="81">
        <f>Costs!AS33</f>
        <v>180000</v>
      </c>
      <c r="AT32" s="81">
        <f>Costs!AT33</f>
        <v>180000</v>
      </c>
      <c r="AU32" s="81">
        <f>Costs!AU33</f>
        <v>180000</v>
      </c>
      <c r="AV32" s="81">
        <f>Costs!AV33</f>
        <v>180000</v>
      </c>
      <c r="AW32" s="81">
        <f>Costs!AW33</f>
        <v>180000</v>
      </c>
      <c r="AX32" s="81">
        <f>Costs!AX33</f>
        <v>180000</v>
      </c>
      <c r="AY32" s="81">
        <f>Costs!AY33</f>
        <v>180000</v>
      </c>
      <c r="AZ32" s="81">
        <f>Costs!AZ33</f>
        <v>180000</v>
      </c>
      <c r="BA32" s="81">
        <f>Costs!BA33</f>
        <v>180000</v>
      </c>
      <c r="BB32" s="81">
        <f>Costs!BB33</f>
        <v>180000</v>
      </c>
      <c r="BC32" s="81">
        <f>Costs!BC33</f>
        <v>180000</v>
      </c>
      <c r="BD32" s="81">
        <f>Costs!BD33</f>
        <v>180000</v>
      </c>
      <c r="BE32" s="81">
        <f>Costs!BE33</f>
        <v>180000</v>
      </c>
      <c r="BF32" s="81">
        <f>Costs!BF33</f>
        <v>180000</v>
      </c>
      <c r="BG32" s="81">
        <f>Costs!BG33</f>
        <v>180000</v>
      </c>
      <c r="BH32" s="81">
        <f>Costs!BH33</f>
        <v>180000</v>
      </c>
      <c r="BI32" s="81">
        <f>Costs!BI33</f>
        <v>180000</v>
      </c>
      <c r="BJ32" s="81">
        <f>Costs!BJ33</f>
        <v>180000</v>
      </c>
      <c r="BK32" s="81">
        <f>Costs!BK33</f>
        <v>180000</v>
      </c>
      <c r="BL32" s="81">
        <f>Costs!BL33</f>
        <v>180000</v>
      </c>
      <c r="BM32" s="81">
        <f>Costs!BM33</f>
        <v>180000</v>
      </c>
      <c r="BN32" s="81">
        <f>Costs!BN33</f>
        <v>180000</v>
      </c>
      <c r="BO32" s="81">
        <f>Costs!BO33</f>
        <v>180000</v>
      </c>
      <c r="BP32" s="81">
        <f>Costs!BP33</f>
        <v>180000</v>
      </c>
      <c r="BQ32" s="81">
        <f>Costs!BQ33</f>
        <v>180000</v>
      </c>
      <c r="BR32" s="81">
        <f>Costs!BR33</f>
        <v>180000</v>
      </c>
      <c r="BS32" s="81">
        <f>Costs!BS33</f>
        <v>180000</v>
      </c>
      <c r="BT32" s="81">
        <f>Costs!BT33</f>
        <v>180000</v>
      </c>
      <c r="BU32" s="81">
        <f>Costs!BU33</f>
        <v>180000</v>
      </c>
      <c r="BV32" s="81">
        <f>Costs!BV33</f>
        <v>180000</v>
      </c>
      <c r="BW32" s="81">
        <f>Costs!BW33</f>
        <v>240000</v>
      </c>
      <c r="BX32" s="81">
        <f>Costs!BX33</f>
        <v>240000</v>
      </c>
      <c r="BY32" s="81">
        <f>Costs!BY33</f>
        <v>240000</v>
      </c>
      <c r="BZ32" s="81">
        <f>Costs!BZ33</f>
        <v>240000</v>
      </c>
      <c r="CA32" s="81">
        <f>Costs!CA33</f>
        <v>240000</v>
      </c>
      <c r="CB32" s="81">
        <f>Costs!CB33</f>
        <v>240000</v>
      </c>
      <c r="CC32" s="81">
        <f>Costs!CC33</f>
        <v>240000</v>
      </c>
      <c r="CD32" s="81">
        <f>Costs!CD33</f>
        <v>240000</v>
      </c>
      <c r="CE32" s="81">
        <f>Costs!CE33</f>
        <v>240000</v>
      </c>
      <c r="CF32" s="81">
        <f>Costs!CF33</f>
        <v>240000</v>
      </c>
      <c r="CG32" s="81">
        <f>Costs!CG33</f>
        <v>240000</v>
      </c>
      <c r="CH32" s="81">
        <f>Costs!CH33</f>
        <v>240000</v>
      </c>
      <c r="CI32" s="81">
        <f>Costs!CI33</f>
        <v>240000</v>
      </c>
      <c r="CJ32" s="81">
        <f>Costs!CJ33</f>
        <v>240000</v>
      </c>
      <c r="CK32" s="81">
        <f>Costs!CK33</f>
        <v>240000</v>
      </c>
      <c r="CL32" s="81">
        <f>Costs!CL33</f>
        <v>240000</v>
      </c>
      <c r="CM32" s="81">
        <f>Costs!CM33</f>
        <v>240000</v>
      </c>
      <c r="CN32" s="81">
        <f>Costs!CN33</f>
        <v>247200</v>
      </c>
      <c r="CO32" s="81">
        <f>Costs!CO33</f>
        <v>247200</v>
      </c>
      <c r="CP32" s="81">
        <f>Costs!CP33</f>
        <v>247200</v>
      </c>
      <c r="CQ32" s="81">
        <f>Costs!CQ33</f>
        <v>247200</v>
      </c>
      <c r="CR32" s="81">
        <f>Costs!CR33</f>
        <v>247200</v>
      </c>
      <c r="CS32" s="81">
        <f>Costs!CS33</f>
        <v>247200</v>
      </c>
      <c r="CT32" s="81">
        <f>Costs!CT33</f>
        <v>247200</v>
      </c>
      <c r="CU32" s="81">
        <f>Costs!CU33</f>
        <v>254400</v>
      </c>
      <c r="CV32" s="81">
        <f>Costs!CV33</f>
        <v>254400</v>
      </c>
      <c r="CW32" s="81">
        <f>Costs!CW33</f>
        <v>254400</v>
      </c>
      <c r="CX32" s="81">
        <f>Costs!CX33</f>
        <v>254400</v>
      </c>
      <c r="CY32" s="81">
        <f>Costs!CY33</f>
        <v>254400</v>
      </c>
      <c r="CZ32" s="81">
        <f>Costs!CZ33</f>
        <v>254400</v>
      </c>
      <c r="DA32" s="81">
        <f>Costs!DA33</f>
        <v>254400</v>
      </c>
      <c r="DB32" s="81">
        <f>Costs!DB33</f>
        <v>254400</v>
      </c>
      <c r="DC32" s="81">
        <f>Costs!DC33</f>
        <v>254400</v>
      </c>
      <c r="DD32" s="81">
        <f>Costs!DD33</f>
        <v>254400</v>
      </c>
      <c r="DE32" s="81">
        <f>Costs!DE33</f>
        <v>254400</v>
      </c>
      <c r="DF32" s="81">
        <f>Costs!DF33</f>
        <v>254400</v>
      </c>
      <c r="DG32" s="81">
        <f>Costs!DG33</f>
        <v>261600.00000000003</v>
      </c>
      <c r="DH32" s="81">
        <f>Costs!DH33</f>
        <v>261600.00000000003</v>
      </c>
      <c r="DI32" s="81">
        <f>Costs!DI33</f>
        <v>261600.00000000003</v>
      </c>
      <c r="DJ32" s="81">
        <f>Costs!DJ33</f>
        <v>261600.00000000003</v>
      </c>
      <c r="DK32" s="81">
        <f>Costs!DK33</f>
        <v>261600.00000000003</v>
      </c>
      <c r="DL32" s="81">
        <f>Costs!DL33</f>
        <v>261600.00000000003</v>
      </c>
      <c r="DM32" s="81">
        <f>Costs!DM33</f>
        <v>261600.00000000003</v>
      </c>
      <c r="DN32" s="81">
        <f>Costs!DN33</f>
        <v>261600.00000000003</v>
      </c>
      <c r="DO32" s="81">
        <f>Costs!DO33</f>
        <v>261600.00000000003</v>
      </c>
      <c r="DP32" s="81">
        <f>Costs!DP33</f>
        <v>261600.00000000003</v>
      </c>
      <c r="DQ32" s="81">
        <f>Costs!DQ33</f>
        <v>261600.00000000003</v>
      </c>
      <c r="DR32" s="81">
        <f>Costs!DR33</f>
        <v>261600.00000000003</v>
      </c>
      <c r="DS32" s="81">
        <f>Costs!DS33</f>
        <v>268800</v>
      </c>
      <c r="DT32" s="81">
        <f>Costs!DT33</f>
        <v>268800</v>
      </c>
      <c r="DU32" s="81">
        <f>Costs!DU33</f>
        <v>268800</v>
      </c>
      <c r="DV32" s="81">
        <f>Costs!DV33</f>
        <v>268800</v>
      </c>
      <c r="DW32" s="81">
        <f>Costs!DW33</f>
        <v>268800</v>
      </c>
      <c r="DX32" s="81">
        <f>Costs!DX33</f>
        <v>268800</v>
      </c>
      <c r="DY32" s="81">
        <f>Costs!DY33</f>
        <v>268800</v>
      </c>
      <c r="DZ32" s="81">
        <f>Costs!DZ33</f>
        <v>268800</v>
      </c>
      <c r="EA32" s="81">
        <f>Costs!EA33</f>
        <v>268800</v>
      </c>
      <c r="EB32" s="81">
        <f>Costs!EB33</f>
        <v>268800</v>
      </c>
      <c r="EC32" s="81">
        <f>Costs!EC33</f>
        <v>268800</v>
      </c>
      <c r="ED32" s="81">
        <f>Costs!ED33</f>
        <v>268800</v>
      </c>
      <c r="EE32" s="81">
        <f>Costs!EE33</f>
        <v>276000.00000000006</v>
      </c>
      <c r="EF32" s="81">
        <f>Costs!EF33</f>
        <v>276000.00000000006</v>
      </c>
      <c r="EG32" s="81">
        <f>Costs!EG33</f>
        <v>276000.00000000006</v>
      </c>
      <c r="EH32" s="81">
        <f>Costs!EH33</f>
        <v>276000.00000000006</v>
      </c>
      <c r="EI32" s="81">
        <f>Costs!EI33</f>
        <v>276000.00000000006</v>
      </c>
      <c r="EJ32" s="81">
        <f>Costs!EJ33</f>
        <v>276000.00000000006</v>
      </c>
      <c r="EK32" s="81">
        <f>Costs!EK33</f>
        <v>276000.00000000006</v>
      </c>
      <c r="EL32" s="81">
        <f>Costs!EL33</f>
        <v>276000.00000000006</v>
      </c>
      <c r="EM32" s="81">
        <f>Costs!EM33</f>
        <v>276000.00000000006</v>
      </c>
      <c r="EN32" s="81">
        <f>Costs!EN33</f>
        <v>276000.00000000006</v>
      </c>
      <c r="EO32" s="81">
        <f>Costs!EO33</f>
        <v>276000.00000000006</v>
      </c>
      <c r="EP32" s="81">
        <f>Costs!EP33</f>
        <v>276000.00000000006</v>
      </c>
      <c r="EQ32" s="81">
        <f>Costs!EQ33</f>
        <v>283200.00000000006</v>
      </c>
      <c r="ER32" s="81">
        <f>Costs!ER33</f>
        <v>283200.00000000006</v>
      </c>
      <c r="ES32" s="81">
        <f>Costs!ES33</f>
        <v>283200.00000000006</v>
      </c>
      <c r="ET32" s="81">
        <f>Costs!ET33</f>
        <v>283200.00000000006</v>
      </c>
      <c r="EU32" s="81">
        <f>Costs!EU33</f>
        <v>283200.00000000006</v>
      </c>
      <c r="EV32" s="81">
        <f>Costs!EV33</f>
        <v>283200.00000000006</v>
      </c>
      <c r="EW32" s="81">
        <f>Costs!EW33</f>
        <v>283200.00000000006</v>
      </c>
      <c r="EX32" s="81">
        <f>Costs!EX33</f>
        <v>283200.00000000006</v>
      </c>
      <c r="EY32" s="81">
        <f>Costs!EY33</f>
        <v>283200.00000000006</v>
      </c>
      <c r="EZ32" s="81">
        <f>Costs!EZ33</f>
        <v>283200.00000000006</v>
      </c>
      <c r="FA32" s="81">
        <f>Costs!FA33</f>
        <v>283200.00000000006</v>
      </c>
      <c r="FB32" s="81">
        <f>Costs!FB33</f>
        <v>283200.00000000006</v>
      </c>
      <c r="FC32" s="81">
        <f>Costs!FC33</f>
        <v>290400.00000000006</v>
      </c>
      <c r="FD32" s="81">
        <f>Costs!FD33</f>
        <v>290400.00000000006</v>
      </c>
      <c r="FE32" s="81">
        <f>Costs!FE33</f>
        <v>290400.00000000006</v>
      </c>
      <c r="FF32" s="81">
        <f>Costs!FF33</f>
        <v>290400.00000000006</v>
      </c>
      <c r="FG32" s="81">
        <f>Costs!FG33</f>
        <v>290400.00000000006</v>
      </c>
      <c r="FH32" s="81">
        <f>Costs!FH33</f>
        <v>290400.00000000006</v>
      </c>
      <c r="FI32" s="81">
        <f>Costs!FI33</f>
        <v>290400.00000000006</v>
      </c>
      <c r="FJ32" s="81">
        <f>Costs!FJ33</f>
        <v>290400.00000000006</v>
      </c>
      <c r="FK32" s="81">
        <f>Costs!FK33</f>
        <v>290400.00000000006</v>
      </c>
      <c r="FL32" s="81">
        <f>Costs!FL33</f>
        <v>290400.00000000006</v>
      </c>
      <c r="FM32" s="81">
        <f>Costs!FM33</f>
        <v>290400.00000000006</v>
      </c>
      <c r="FN32" s="81">
        <f>Costs!FN33</f>
        <v>290400.00000000006</v>
      </c>
      <c r="FO32" s="81">
        <f>Costs!FO33</f>
        <v>297600.00000000006</v>
      </c>
      <c r="FP32" s="81">
        <f>Costs!FP33</f>
        <v>297600.00000000006</v>
      </c>
      <c r="FQ32" s="81">
        <f>Costs!FQ33</f>
        <v>297600.00000000006</v>
      </c>
      <c r="FR32" s="81">
        <f>Costs!FR33</f>
        <v>297600.00000000006</v>
      </c>
      <c r="FS32" s="81">
        <f>Costs!FS33</f>
        <v>297600.00000000006</v>
      </c>
      <c r="FT32" s="81">
        <f>Costs!FT33</f>
        <v>297600.00000000006</v>
      </c>
      <c r="FU32" s="81">
        <f>Costs!FU33</f>
        <v>297600.00000000006</v>
      </c>
      <c r="FV32" s="81">
        <f>Costs!FV33</f>
        <v>297600.00000000006</v>
      </c>
      <c r="FW32" s="81">
        <f>Costs!FW33</f>
        <v>297600.00000000006</v>
      </c>
      <c r="FX32" s="81">
        <f>Costs!FX33</f>
        <v>297600.00000000006</v>
      </c>
      <c r="FY32" s="81">
        <f>Costs!FY33</f>
        <v>297600.00000000006</v>
      </c>
      <c r="FZ32" s="81">
        <f>Costs!FZ33</f>
        <v>297600.00000000006</v>
      </c>
      <c r="GA32" s="81">
        <f>Costs!GA33</f>
        <v>304800.00000000006</v>
      </c>
      <c r="GB32" s="81">
        <f>Costs!GB33</f>
        <v>304800.00000000006</v>
      </c>
      <c r="GC32" s="81">
        <f>Costs!GC33</f>
        <v>304800.00000000006</v>
      </c>
      <c r="GD32" s="81">
        <f>Costs!GD33</f>
        <v>304800.00000000006</v>
      </c>
      <c r="GE32" s="81">
        <f>Costs!GE33</f>
        <v>304800.00000000006</v>
      </c>
      <c r="GF32" s="81">
        <f>Costs!GF33</f>
        <v>304800.00000000006</v>
      </c>
      <c r="GG32" s="81">
        <f>Costs!GG33</f>
        <v>304800.00000000006</v>
      </c>
      <c r="GH32" s="81">
        <f>Costs!GH33</f>
        <v>304800.00000000006</v>
      </c>
      <c r="GI32" s="81">
        <f>Costs!GI33</f>
        <v>304800.00000000006</v>
      </c>
      <c r="GJ32" s="81">
        <f>Costs!GJ33</f>
        <v>304800.00000000006</v>
      </c>
      <c r="GK32" s="81">
        <f>Costs!GK33</f>
        <v>304800.00000000006</v>
      </c>
      <c r="GL32" s="81">
        <f>Costs!GL33</f>
        <v>304800.00000000006</v>
      </c>
      <c r="GM32" s="81">
        <f>Costs!GM33</f>
        <v>312000.00000000006</v>
      </c>
      <c r="GN32" s="81">
        <f>Costs!GN33</f>
        <v>312000.00000000006</v>
      </c>
      <c r="GO32" s="81">
        <f>Costs!GO33</f>
        <v>312000.00000000006</v>
      </c>
      <c r="GP32" s="81">
        <f>Costs!GP33</f>
        <v>312000.00000000006</v>
      </c>
      <c r="GQ32" s="81">
        <f>Costs!GQ33</f>
        <v>312000.00000000006</v>
      </c>
      <c r="GR32" s="81">
        <f>Costs!GR33</f>
        <v>312000.00000000006</v>
      </c>
      <c r="GS32" s="81">
        <f>Costs!GS33</f>
        <v>312000.00000000006</v>
      </c>
      <c r="GT32" s="81">
        <f>Costs!GT33</f>
        <v>312000.00000000006</v>
      </c>
      <c r="GU32" s="81">
        <f>Costs!GU33</f>
        <v>312000.00000000006</v>
      </c>
      <c r="GV32" s="81">
        <f>Costs!GV33</f>
        <v>312000.00000000006</v>
      </c>
      <c r="GW32" s="81">
        <f>Costs!GW33</f>
        <v>312000.00000000006</v>
      </c>
      <c r="GX32" s="81">
        <f>Costs!GX33</f>
        <v>312000.00000000006</v>
      </c>
      <c r="GY32" s="81">
        <f>Costs!GY33</f>
        <v>319200.00000000006</v>
      </c>
      <c r="GZ32" s="81">
        <f>Costs!GZ33</f>
        <v>319200.00000000006</v>
      </c>
      <c r="HA32" s="81">
        <f>Costs!HA33</f>
        <v>319200.00000000006</v>
      </c>
      <c r="HB32" s="81">
        <f>Costs!HB33</f>
        <v>319200.00000000006</v>
      </c>
      <c r="HC32" s="81">
        <f>Costs!HC33</f>
        <v>319200.00000000006</v>
      </c>
      <c r="HD32" s="81">
        <f>Costs!HD33</f>
        <v>319200.00000000006</v>
      </c>
      <c r="HE32" s="81">
        <f>Costs!HE33</f>
        <v>319200.00000000006</v>
      </c>
      <c r="HF32" s="81">
        <f>Costs!HF33</f>
        <v>319200.00000000006</v>
      </c>
      <c r="HG32" s="81">
        <f>Costs!HG33</f>
        <v>319200.00000000006</v>
      </c>
      <c r="HH32" s="81">
        <f>Costs!HH33</f>
        <v>319200.00000000006</v>
      </c>
      <c r="HI32" s="81">
        <f>Costs!HI33</f>
        <v>319200.00000000006</v>
      </c>
      <c r="HJ32" s="81">
        <f>Costs!HJ33</f>
        <v>319200.00000000006</v>
      </c>
      <c r="HK32" s="81">
        <f>Costs!HK33</f>
        <v>319200.00000000006</v>
      </c>
      <c r="HL32" s="81">
        <f>Costs!HL33</f>
        <v>319200.00000000006</v>
      </c>
      <c r="HM32" s="81">
        <f>Costs!HM33</f>
        <v>319200.00000000006</v>
      </c>
      <c r="HN32" s="81">
        <f>Costs!HN33</f>
        <v>319200.00000000006</v>
      </c>
      <c r="HO32" s="81">
        <f>Costs!HO33</f>
        <v>319200.00000000006</v>
      </c>
      <c r="HP32" s="81">
        <f>Costs!HP33</f>
        <v>319200.00000000006</v>
      </c>
      <c r="HQ32" s="81">
        <f>Costs!HQ33</f>
        <v>319200.00000000006</v>
      </c>
      <c r="HR32" s="81">
        <f>Costs!HR33</f>
        <v>319200.00000000006</v>
      </c>
      <c r="HS32" s="81">
        <f>Costs!HS33</f>
        <v>319200.00000000006</v>
      </c>
      <c r="HT32" s="81">
        <f>Costs!HT33</f>
        <v>319200.00000000006</v>
      </c>
      <c r="HU32" s="81">
        <f>Costs!HU33</f>
        <v>319200.00000000006</v>
      </c>
      <c r="HV32" s="81">
        <f>Costs!HV33</f>
        <v>319200.00000000006</v>
      </c>
      <c r="HW32" s="81">
        <f>Costs!HW33</f>
        <v>319200.00000000006</v>
      </c>
      <c r="HX32" s="81">
        <f>Costs!HX33</f>
        <v>319200.00000000006</v>
      </c>
      <c r="HY32" s="81">
        <f>Costs!HY33</f>
        <v>319200.00000000006</v>
      </c>
      <c r="HZ32" s="81">
        <f>Costs!HZ33</f>
        <v>319200.00000000006</v>
      </c>
      <c r="IA32" s="81">
        <f>Costs!IA33</f>
        <v>319200.00000000006</v>
      </c>
      <c r="IB32" s="81">
        <f>Costs!IB33</f>
        <v>319200.00000000006</v>
      </c>
      <c r="IC32" s="81">
        <f>Costs!IC33</f>
        <v>319200.00000000006</v>
      </c>
      <c r="ID32" s="81">
        <f>Costs!ID33</f>
        <v>319200.00000000006</v>
      </c>
      <c r="IE32" s="81">
        <f>Costs!IE33</f>
        <v>319200.00000000006</v>
      </c>
      <c r="IF32" s="81">
        <f>Costs!IF33</f>
        <v>319200.00000000006</v>
      </c>
      <c r="IG32" s="81">
        <f>Costs!IG33</f>
        <v>319200.00000000006</v>
      </c>
      <c r="IH32" s="81">
        <f>Costs!IH33</f>
        <v>319200.00000000006</v>
      </c>
    </row>
    <row r="33" spans="1:242" x14ac:dyDescent="0.45">
      <c r="A33" s="895" t="s">
        <v>233</v>
      </c>
      <c r="B33" s="896"/>
      <c r="C33" s="81">
        <f>Costs!C34</f>
        <v>10000</v>
      </c>
      <c r="D33" s="81">
        <f>Costs!D34</f>
        <v>10000</v>
      </c>
      <c r="E33" s="81">
        <f>Costs!E34</f>
        <v>10000</v>
      </c>
      <c r="F33" s="81">
        <f>Costs!F34</f>
        <v>10000</v>
      </c>
      <c r="G33" s="81">
        <f>Costs!G34</f>
        <v>10000</v>
      </c>
      <c r="H33" s="81">
        <f>Costs!H34</f>
        <v>10000</v>
      </c>
      <c r="I33" s="81">
        <f>Costs!I34</f>
        <v>10000</v>
      </c>
      <c r="J33" s="81">
        <f>Costs!J34</f>
        <v>10000</v>
      </c>
      <c r="K33" s="81">
        <f>Costs!K34</f>
        <v>10000</v>
      </c>
      <c r="L33" s="81">
        <f>Costs!L34</f>
        <v>10000</v>
      </c>
      <c r="M33" s="81">
        <f>Costs!M34</f>
        <v>10000</v>
      </c>
      <c r="N33" s="81">
        <f>Costs!N34</f>
        <v>10000</v>
      </c>
      <c r="O33" s="81">
        <f>Costs!O34</f>
        <v>10000</v>
      </c>
      <c r="P33" s="81">
        <f>Costs!P34</f>
        <v>10000</v>
      </c>
      <c r="Q33" s="81">
        <f>Costs!Q34</f>
        <v>10000</v>
      </c>
      <c r="R33" s="81">
        <f>Costs!R34</f>
        <v>10000</v>
      </c>
      <c r="S33" s="81">
        <f>Costs!S34</f>
        <v>10000</v>
      </c>
      <c r="T33" s="81">
        <f>Costs!T34</f>
        <v>10000</v>
      </c>
      <c r="U33" s="81">
        <f>Costs!U34</f>
        <v>10000</v>
      </c>
      <c r="V33" s="81">
        <f>Costs!V34</f>
        <v>10000</v>
      </c>
      <c r="W33" s="81">
        <f>Costs!W34</f>
        <v>10000</v>
      </c>
      <c r="X33" s="81">
        <f>Costs!X34</f>
        <v>10000</v>
      </c>
      <c r="Y33" s="81">
        <f>Costs!Y34</f>
        <v>10000</v>
      </c>
      <c r="Z33" s="81">
        <f>Costs!Z34</f>
        <v>10000</v>
      </c>
      <c r="AA33" s="81">
        <f>Costs!AA34</f>
        <v>30000</v>
      </c>
      <c r="AB33" s="81">
        <f>Costs!AB34</f>
        <v>30000</v>
      </c>
      <c r="AC33" s="81">
        <f>Costs!AC34</f>
        <v>30000</v>
      </c>
      <c r="AD33" s="81">
        <f>Costs!AD34</f>
        <v>30000</v>
      </c>
      <c r="AE33" s="81">
        <f>Costs!AE34</f>
        <v>30000</v>
      </c>
      <c r="AF33" s="81">
        <f>Costs!AF34</f>
        <v>30000</v>
      </c>
      <c r="AG33" s="81">
        <f>Costs!AG34</f>
        <v>30000</v>
      </c>
      <c r="AH33" s="81">
        <f>Costs!AH34</f>
        <v>30000</v>
      </c>
      <c r="AI33" s="81">
        <f>Costs!AI34</f>
        <v>30000</v>
      </c>
      <c r="AJ33" s="81">
        <f>Costs!AJ34</f>
        <v>30000</v>
      </c>
      <c r="AK33" s="81">
        <f>Costs!AK34</f>
        <v>30000</v>
      </c>
      <c r="AL33" s="81">
        <f>Costs!AL34</f>
        <v>30000</v>
      </c>
      <c r="AM33" s="81">
        <f>Costs!AM34</f>
        <v>30000</v>
      </c>
      <c r="AN33" s="81">
        <f>Costs!AN34</f>
        <v>30000</v>
      </c>
      <c r="AO33" s="81">
        <f>Costs!AO34</f>
        <v>30000</v>
      </c>
      <c r="AP33" s="81">
        <f>Costs!AP34</f>
        <v>30000</v>
      </c>
      <c r="AQ33" s="81">
        <f>Costs!AQ34</f>
        <v>30000</v>
      </c>
      <c r="AR33" s="81">
        <f>Costs!AR34</f>
        <v>30000</v>
      </c>
      <c r="AS33" s="81">
        <f>Costs!AS34</f>
        <v>30000</v>
      </c>
      <c r="AT33" s="81">
        <f>Costs!AT34</f>
        <v>30000</v>
      </c>
      <c r="AU33" s="81">
        <f>Costs!AU34</f>
        <v>30000</v>
      </c>
      <c r="AV33" s="81">
        <f>Costs!AV34</f>
        <v>30000</v>
      </c>
      <c r="AW33" s="81">
        <f>Costs!AW34</f>
        <v>30000</v>
      </c>
      <c r="AX33" s="81">
        <f>Costs!AX34</f>
        <v>30000</v>
      </c>
      <c r="AY33" s="81">
        <f>Costs!AY34</f>
        <v>30000</v>
      </c>
      <c r="AZ33" s="81">
        <f>Costs!AZ34</f>
        <v>30000</v>
      </c>
      <c r="BA33" s="81">
        <f>Costs!BA34</f>
        <v>30000</v>
      </c>
      <c r="BB33" s="81">
        <f>Costs!BB34</f>
        <v>30000</v>
      </c>
      <c r="BC33" s="81">
        <f>Costs!BC34</f>
        <v>30000</v>
      </c>
      <c r="BD33" s="81">
        <f>Costs!BD34</f>
        <v>30000</v>
      </c>
      <c r="BE33" s="81">
        <f>Costs!BE34</f>
        <v>30000</v>
      </c>
      <c r="BF33" s="81">
        <f>Costs!BF34</f>
        <v>30000</v>
      </c>
      <c r="BG33" s="81">
        <f>Costs!BG34</f>
        <v>30000</v>
      </c>
      <c r="BH33" s="81">
        <f>Costs!BH34</f>
        <v>30000</v>
      </c>
      <c r="BI33" s="81">
        <f>Costs!BI34</f>
        <v>30000</v>
      </c>
      <c r="BJ33" s="81">
        <f>Costs!BJ34</f>
        <v>30000</v>
      </c>
      <c r="BK33" s="81">
        <f>Costs!BK34</f>
        <v>30000</v>
      </c>
      <c r="BL33" s="81">
        <f>Costs!BL34</f>
        <v>30000</v>
      </c>
      <c r="BM33" s="81">
        <f>Costs!BM34</f>
        <v>30000</v>
      </c>
      <c r="BN33" s="81">
        <f>Costs!BN34</f>
        <v>30000</v>
      </c>
      <c r="BO33" s="81">
        <f>Costs!BO34</f>
        <v>30000</v>
      </c>
      <c r="BP33" s="81">
        <f>Costs!BP34</f>
        <v>30000</v>
      </c>
      <c r="BQ33" s="81">
        <f>Costs!BQ34</f>
        <v>30000</v>
      </c>
      <c r="BR33" s="81">
        <f>Costs!BR34</f>
        <v>30000</v>
      </c>
      <c r="BS33" s="81">
        <f>Costs!BS34</f>
        <v>30000</v>
      </c>
      <c r="BT33" s="81">
        <f>Costs!BT34</f>
        <v>30000</v>
      </c>
      <c r="BU33" s="81">
        <f>Costs!BU34</f>
        <v>30000</v>
      </c>
      <c r="BV33" s="81">
        <f>Costs!BV34</f>
        <v>30000</v>
      </c>
      <c r="BW33" s="81">
        <f>Costs!BW34</f>
        <v>40000</v>
      </c>
      <c r="BX33" s="81">
        <f>Costs!BX34</f>
        <v>40000</v>
      </c>
      <c r="BY33" s="81">
        <f>Costs!BY34</f>
        <v>40000</v>
      </c>
      <c r="BZ33" s="81">
        <f>Costs!BZ34</f>
        <v>40000</v>
      </c>
      <c r="CA33" s="81">
        <f>Costs!CA34</f>
        <v>40000</v>
      </c>
      <c r="CB33" s="81">
        <f>Costs!CB34</f>
        <v>40000</v>
      </c>
      <c r="CC33" s="81">
        <f>Costs!CC34</f>
        <v>40000</v>
      </c>
      <c r="CD33" s="81">
        <f>Costs!CD34</f>
        <v>40000</v>
      </c>
      <c r="CE33" s="81">
        <f>Costs!CE34</f>
        <v>40000</v>
      </c>
      <c r="CF33" s="81">
        <f>Costs!CF34</f>
        <v>40000</v>
      </c>
      <c r="CG33" s="81">
        <f>Costs!CG34</f>
        <v>40000</v>
      </c>
      <c r="CH33" s="81">
        <f>Costs!CH34</f>
        <v>40000</v>
      </c>
      <c r="CI33" s="81">
        <f>Costs!CI34</f>
        <v>40000</v>
      </c>
      <c r="CJ33" s="81">
        <f>Costs!CJ34</f>
        <v>40000</v>
      </c>
      <c r="CK33" s="81">
        <f>Costs!CK34</f>
        <v>40000</v>
      </c>
      <c r="CL33" s="81">
        <f>Costs!CL34</f>
        <v>40000</v>
      </c>
      <c r="CM33" s="81">
        <f>Costs!CM34</f>
        <v>40000</v>
      </c>
      <c r="CN33" s="81">
        <f>Costs!CN34</f>
        <v>41200</v>
      </c>
      <c r="CO33" s="81">
        <f>Costs!CO34</f>
        <v>41200</v>
      </c>
      <c r="CP33" s="81">
        <f>Costs!CP34</f>
        <v>41200</v>
      </c>
      <c r="CQ33" s="81">
        <f>Costs!CQ34</f>
        <v>41200</v>
      </c>
      <c r="CR33" s="81">
        <f>Costs!CR34</f>
        <v>41200</v>
      </c>
      <c r="CS33" s="81">
        <f>Costs!CS34</f>
        <v>41200</v>
      </c>
      <c r="CT33" s="81">
        <f>Costs!CT34</f>
        <v>41200</v>
      </c>
      <c r="CU33" s="81">
        <f>Costs!CU34</f>
        <v>42400</v>
      </c>
      <c r="CV33" s="81">
        <f>Costs!CV34</f>
        <v>42400</v>
      </c>
      <c r="CW33" s="81">
        <f>Costs!CW34</f>
        <v>42400</v>
      </c>
      <c r="CX33" s="81">
        <f>Costs!CX34</f>
        <v>42400</v>
      </c>
      <c r="CY33" s="81">
        <f>Costs!CY34</f>
        <v>42400</v>
      </c>
      <c r="CZ33" s="81">
        <f>Costs!CZ34</f>
        <v>42400</v>
      </c>
      <c r="DA33" s="81">
        <f>Costs!DA34</f>
        <v>42400</v>
      </c>
      <c r="DB33" s="81">
        <f>Costs!DB34</f>
        <v>42400</v>
      </c>
      <c r="DC33" s="81">
        <f>Costs!DC34</f>
        <v>42400</v>
      </c>
      <c r="DD33" s="81">
        <f>Costs!DD34</f>
        <v>42400</v>
      </c>
      <c r="DE33" s="81">
        <f>Costs!DE34</f>
        <v>42400</v>
      </c>
      <c r="DF33" s="81">
        <f>Costs!DF34</f>
        <v>42400</v>
      </c>
      <c r="DG33" s="81">
        <f>Costs!DG34</f>
        <v>43600</v>
      </c>
      <c r="DH33" s="81">
        <f>Costs!DH34</f>
        <v>43600</v>
      </c>
      <c r="DI33" s="81">
        <f>Costs!DI34</f>
        <v>43600</v>
      </c>
      <c r="DJ33" s="81">
        <f>Costs!DJ34</f>
        <v>43600</v>
      </c>
      <c r="DK33" s="81">
        <f>Costs!DK34</f>
        <v>43600</v>
      </c>
      <c r="DL33" s="81">
        <f>Costs!DL34</f>
        <v>43600</v>
      </c>
      <c r="DM33" s="81">
        <f>Costs!DM34</f>
        <v>43600</v>
      </c>
      <c r="DN33" s="81">
        <f>Costs!DN34</f>
        <v>43600</v>
      </c>
      <c r="DO33" s="81">
        <f>Costs!DO34</f>
        <v>43600</v>
      </c>
      <c r="DP33" s="81">
        <f>Costs!DP34</f>
        <v>43600</v>
      </c>
      <c r="DQ33" s="81">
        <f>Costs!DQ34</f>
        <v>43600</v>
      </c>
      <c r="DR33" s="81">
        <f>Costs!DR34</f>
        <v>43600</v>
      </c>
      <c r="DS33" s="81">
        <f>Costs!DS34</f>
        <v>44800.000000000007</v>
      </c>
      <c r="DT33" s="81">
        <f>Costs!DT34</f>
        <v>44800.000000000007</v>
      </c>
      <c r="DU33" s="81">
        <f>Costs!DU34</f>
        <v>44800.000000000007</v>
      </c>
      <c r="DV33" s="81">
        <f>Costs!DV34</f>
        <v>44800.000000000007</v>
      </c>
      <c r="DW33" s="81">
        <f>Costs!DW34</f>
        <v>44800.000000000007</v>
      </c>
      <c r="DX33" s="81">
        <f>Costs!DX34</f>
        <v>44800.000000000007</v>
      </c>
      <c r="DY33" s="81">
        <f>Costs!DY34</f>
        <v>44800.000000000007</v>
      </c>
      <c r="DZ33" s="81">
        <f>Costs!DZ34</f>
        <v>44800.000000000007</v>
      </c>
      <c r="EA33" s="81">
        <f>Costs!EA34</f>
        <v>44800.000000000007</v>
      </c>
      <c r="EB33" s="81">
        <f>Costs!EB34</f>
        <v>44800.000000000007</v>
      </c>
      <c r="EC33" s="81">
        <f>Costs!EC34</f>
        <v>44800.000000000007</v>
      </c>
      <c r="ED33" s="81">
        <f>Costs!ED34</f>
        <v>44800.000000000007</v>
      </c>
      <c r="EE33" s="81">
        <f>Costs!EE34</f>
        <v>46000.000000000007</v>
      </c>
      <c r="EF33" s="81">
        <f>Costs!EF34</f>
        <v>46000.000000000007</v>
      </c>
      <c r="EG33" s="81">
        <f>Costs!EG34</f>
        <v>46000.000000000007</v>
      </c>
      <c r="EH33" s="81">
        <f>Costs!EH34</f>
        <v>46000.000000000007</v>
      </c>
      <c r="EI33" s="81">
        <f>Costs!EI34</f>
        <v>46000.000000000007</v>
      </c>
      <c r="EJ33" s="81">
        <f>Costs!EJ34</f>
        <v>46000.000000000007</v>
      </c>
      <c r="EK33" s="81">
        <f>Costs!EK34</f>
        <v>46000.000000000007</v>
      </c>
      <c r="EL33" s="81">
        <f>Costs!EL34</f>
        <v>46000.000000000007</v>
      </c>
      <c r="EM33" s="81">
        <f>Costs!EM34</f>
        <v>46000.000000000007</v>
      </c>
      <c r="EN33" s="81">
        <f>Costs!EN34</f>
        <v>46000.000000000007</v>
      </c>
      <c r="EO33" s="81">
        <f>Costs!EO34</f>
        <v>46000.000000000007</v>
      </c>
      <c r="EP33" s="81">
        <f>Costs!EP34</f>
        <v>46000.000000000007</v>
      </c>
      <c r="EQ33" s="81">
        <f>Costs!EQ34</f>
        <v>47200.000000000007</v>
      </c>
      <c r="ER33" s="81">
        <f>Costs!ER34</f>
        <v>47200.000000000007</v>
      </c>
      <c r="ES33" s="81">
        <f>Costs!ES34</f>
        <v>47200.000000000007</v>
      </c>
      <c r="ET33" s="81">
        <f>Costs!ET34</f>
        <v>47200.000000000007</v>
      </c>
      <c r="EU33" s="81">
        <f>Costs!EU34</f>
        <v>47200.000000000007</v>
      </c>
      <c r="EV33" s="81">
        <f>Costs!EV34</f>
        <v>47200.000000000007</v>
      </c>
      <c r="EW33" s="81">
        <f>Costs!EW34</f>
        <v>47200.000000000007</v>
      </c>
      <c r="EX33" s="81">
        <f>Costs!EX34</f>
        <v>47200.000000000007</v>
      </c>
      <c r="EY33" s="81">
        <f>Costs!EY34</f>
        <v>47200.000000000007</v>
      </c>
      <c r="EZ33" s="81">
        <f>Costs!EZ34</f>
        <v>47200.000000000007</v>
      </c>
      <c r="FA33" s="81">
        <f>Costs!FA34</f>
        <v>47200.000000000007</v>
      </c>
      <c r="FB33" s="81">
        <f>Costs!FB34</f>
        <v>47200.000000000007</v>
      </c>
      <c r="FC33" s="81">
        <f>Costs!FC34</f>
        <v>48400.000000000007</v>
      </c>
      <c r="FD33" s="81">
        <f>Costs!FD34</f>
        <v>48400.000000000007</v>
      </c>
      <c r="FE33" s="81">
        <f>Costs!FE34</f>
        <v>48400.000000000007</v>
      </c>
      <c r="FF33" s="81">
        <f>Costs!FF34</f>
        <v>48400.000000000007</v>
      </c>
      <c r="FG33" s="81">
        <f>Costs!FG34</f>
        <v>48400.000000000007</v>
      </c>
      <c r="FH33" s="81">
        <f>Costs!FH34</f>
        <v>48400.000000000007</v>
      </c>
      <c r="FI33" s="81">
        <f>Costs!FI34</f>
        <v>48400.000000000007</v>
      </c>
      <c r="FJ33" s="81">
        <f>Costs!FJ34</f>
        <v>48400.000000000007</v>
      </c>
      <c r="FK33" s="81">
        <f>Costs!FK34</f>
        <v>48400.000000000007</v>
      </c>
      <c r="FL33" s="81">
        <f>Costs!FL34</f>
        <v>48400.000000000007</v>
      </c>
      <c r="FM33" s="81">
        <f>Costs!FM34</f>
        <v>48400.000000000007</v>
      </c>
      <c r="FN33" s="81">
        <f>Costs!FN34</f>
        <v>48400.000000000007</v>
      </c>
      <c r="FO33" s="81">
        <f>Costs!FO34</f>
        <v>49600.000000000007</v>
      </c>
      <c r="FP33" s="81">
        <f>Costs!FP34</f>
        <v>49600.000000000007</v>
      </c>
      <c r="FQ33" s="81">
        <f>Costs!FQ34</f>
        <v>49600.000000000007</v>
      </c>
      <c r="FR33" s="81">
        <f>Costs!FR34</f>
        <v>49600.000000000007</v>
      </c>
      <c r="FS33" s="81">
        <f>Costs!FS34</f>
        <v>49600.000000000007</v>
      </c>
      <c r="FT33" s="81">
        <f>Costs!FT34</f>
        <v>49600.000000000007</v>
      </c>
      <c r="FU33" s="81">
        <f>Costs!FU34</f>
        <v>49600.000000000007</v>
      </c>
      <c r="FV33" s="81">
        <f>Costs!FV34</f>
        <v>49600.000000000007</v>
      </c>
      <c r="FW33" s="81">
        <f>Costs!FW34</f>
        <v>49600.000000000007</v>
      </c>
      <c r="FX33" s="81">
        <f>Costs!FX34</f>
        <v>49600.000000000007</v>
      </c>
      <c r="FY33" s="81">
        <f>Costs!FY34</f>
        <v>49600.000000000007</v>
      </c>
      <c r="FZ33" s="81">
        <f>Costs!FZ34</f>
        <v>49600.000000000007</v>
      </c>
      <c r="GA33" s="81">
        <f>Costs!GA34</f>
        <v>50800.000000000007</v>
      </c>
      <c r="GB33" s="81">
        <f>Costs!GB34</f>
        <v>50800.000000000007</v>
      </c>
      <c r="GC33" s="81">
        <f>Costs!GC34</f>
        <v>50800.000000000007</v>
      </c>
      <c r="GD33" s="81">
        <f>Costs!GD34</f>
        <v>50800.000000000007</v>
      </c>
      <c r="GE33" s="81">
        <f>Costs!GE34</f>
        <v>50800.000000000007</v>
      </c>
      <c r="GF33" s="81">
        <f>Costs!GF34</f>
        <v>50800.000000000007</v>
      </c>
      <c r="GG33" s="81">
        <f>Costs!GG34</f>
        <v>50800.000000000007</v>
      </c>
      <c r="GH33" s="81">
        <f>Costs!GH34</f>
        <v>50800.000000000007</v>
      </c>
      <c r="GI33" s="81">
        <f>Costs!GI34</f>
        <v>50800.000000000007</v>
      </c>
      <c r="GJ33" s="81">
        <f>Costs!GJ34</f>
        <v>50800.000000000007</v>
      </c>
      <c r="GK33" s="81">
        <f>Costs!GK34</f>
        <v>50800.000000000007</v>
      </c>
      <c r="GL33" s="81">
        <f>Costs!GL34</f>
        <v>50800.000000000007</v>
      </c>
      <c r="GM33" s="81">
        <f>Costs!GM34</f>
        <v>52000.000000000007</v>
      </c>
      <c r="GN33" s="81">
        <f>Costs!GN34</f>
        <v>52000.000000000007</v>
      </c>
      <c r="GO33" s="81">
        <f>Costs!GO34</f>
        <v>52000.000000000007</v>
      </c>
      <c r="GP33" s="81">
        <f>Costs!GP34</f>
        <v>52000.000000000007</v>
      </c>
      <c r="GQ33" s="81">
        <f>Costs!GQ34</f>
        <v>52000.000000000007</v>
      </c>
      <c r="GR33" s="81">
        <f>Costs!GR34</f>
        <v>52000.000000000007</v>
      </c>
      <c r="GS33" s="81">
        <f>Costs!GS34</f>
        <v>52000.000000000007</v>
      </c>
      <c r="GT33" s="81">
        <f>Costs!GT34</f>
        <v>52000.000000000007</v>
      </c>
      <c r="GU33" s="81">
        <f>Costs!GU34</f>
        <v>52000.000000000007</v>
      </c>
      <c r="GV33" s="81">
        <f>Costs!GV34</f>
        <v>52000.000000000007</v>
      </c>
      <c r="GW33" s="81">
        <f>Costs!GW34</f>
        <v>52000.000000000007</v>
      </c>
      <c r="GX33" s="81">
        <f>Costs!GX34</f>
        <v>52000.000000000007</v>
      </c>
      <c r="GY33" s="81">
        <f>Costs!GY34</f>
        <v>53200.000000000015</v>
      </c>
      <c r="GZ33" s="81">
        <f>Costs!GZ34</f>
        <v>53200.000000000015</v>
      </c>
      <c r="HA33" s="81">
        <f>Costs!HA34</f>
        <v>53200.000000000015</v>
      </c>
      <c r="HB33" s="81">
        <f>Costs!HB34</f>
        <v>53200.000000000015</v>
      </c>
      <c r="HC33" s="81">
        <f>Costs!HC34</f>
        <v>53200.000000000015</v>
      </c>
      <c r="HD33" s="81">
        <f>Costs!HD34</f>
        <v>53200.000000000015</v>
      </c>
      <c r="HE33" s="81">
        <f>Costs!HE34</f>
        <v>53200.000000000015</v>
      </c>
      <c r="HF33" s="81">
        <f>Costs!HF34</f>
        <v>53200.000000000015</v>
      </c>
      <c r="HG33" s="81">
        <f>Costs!HG34</f>
        <v>53200.000000000015</v>
      </c>
      <c r="HH33" s="81">
        <f>Costs!HH34</f>
        <v>53200.000000000015</v>
      </c>
      <c r="HI33" s="81">
        <f>Costs!HI34</f>
        <v>53200.000000000015</v>
      </c>
      <c r="HJ33" s="81">
        <f>Costs!HJ34</f>
        <v>53200.000000000015</v>
      </c>
      <c r="HK33" s="81">
        <f>Costs!HK34</f>
        <v>53200.000000000015</v>
      </c>
      <c r="HL33" s="81">
        <f>Costs!HL34</f>
        <v>53200.000000000015</v>
      </c>
      <c r="HM33" s="81">
        <f>Costs!HM34</f>
        <v>53200.000000000015</v>
      </c>
      <c r="HN33" s="81">
        <f>Costs!HN34</f>
        <v>53200.000000000015</v>
      </c>
      <c r="HO33" s="81">
        <f>Costs!HO34</f>
        <v>53200.000000000015</v>
      </c>
      <c r="HP33" s="81">
        <f>Costs!HP34</f>
        <v>53200.000000000015</v>
      </c>
      <c r="HQ33" s="81">
        <f>Costs!HQ34</f>
        <v>53200.000000000015</v>
      </c>
      <c r="HR33" s="81">
        <f>Costs!HR34</f>
        <v>53200.000000000015</v>
      </c>
      <c r="HS33" s="81">
        <f>Costs!HS34</f>
        <v>53200.000000000015</v>
      </c>
      <c r="HT33" s="81">
        <f>Costs!HT34</f>
        <v>53200.000000000015</v>
      </c>
      <c r="HU33" s="81">
        <f>Costs!HU34</f>
        <v>53200.000000000015</v>
      </c>
      <c r="HV33" s="81">
        <f>Costs!HV34</f>
        <v>53200.000000000015</v>
      </c>
      <c r="HW33" s="81">
        <f>Costs!HW34</f>
        <v>53200.000000000015</v>
      </c>
      <c r="HX33" s="81">
        <f>Costs!HX34</f>
        <v>53200.000000000015</v>
      </c>
      <c r="HY33" s="81">
        <f>Costs!HY34</f>
        <v>53200.000000000015</v>
      </c>
      <c r="HZ33" s="81">
        <f>Costs!HZ34</f>
        <v>53200.000000000015</v>
      </c>
      <c r="IA33" s="81">
        <f>Costs!IA34</f>
        <v>53200.000000000015</v>
      </c>
      <c r="IB33" s="81">
        <f>Costs!IB34</f>
        <v>53200.000000000015</v>
      </c>
      <c r="IC33" s="81">
        <f>Costs!IC34</f>
        <v>53200.000000000015</v>
      </c>
      <c r="ID33" s="81">
        <f>Costs!ID34</f>
        <v>53200.000000000015</v>
      </c>
      <c r="IE33" s="81">
        <f>Costs!IE34</f>
        <v>53200.000000000015</v>
      </c>
      <c r="IF33" s="81">
        <f>Costs!IF34</f>
        <v>53200.000000000015</v>
      </c>
      <c r="IG33" s="81">
        <f>Costs!IG34</f>
        <v>53200.000000000015</v>
      </c>
      <c r="IH33" s="81">
        <f>Costs!IH34</f>
        <v>53200.000000000015</v>
      </c>
    </row>
    <row r="34" spans="1:242" x14ac:dyDescent="0.45">
      <c r="A34" s="895" t="s">
        <v>234</v>
      </c>
      <c r="B34" s="896"/>
      <c r="C34" s="81">
        <f>Costs!C35</f>
        <v>3750</v>
      </c>
      <c r="D34" s="81">
        <f>Costs!D35</f>
        <v>3750</v>
      </c>
      <c r="E34" s="81">
        <f>Costs!E35</f>
        <v>3750</v>
      </c>
      <c r="F34" s="81">
        <f>Costs!F35</f>
        <v>3750</v>
      </c>
      <c r="G34" s="81">
        <f>Costs!G35</f>
        <v>3750</v>
      </c>
      <c r="H34" s="81">
        <f>Costs!H35</f>
        <v>3750</v>
      </c>
      <c r="I34" s="81">
        <f>Costs!I35</f>
        <v>3750</v>
      </c>
      <c r="J34" s="81">
        <f>Costs!J35</f>
        <v>3750</v>
      </c>
      <c r="K34" s="81">
        <f>Costs!K35</f>
        <v>3750</v>
      </c>
      <c r="L34" s="81">
        <f>Costs!L35</f>
        <v>3750</v>
      </c>
      <c r="M34" s="81">
        <f>Costs!M35</f>
        <v>3750</v>
      </c>
      <c r="N34" s="81">
        <f>Costs!N35</f>
        <v>3750</v>
      </c>
      <c r="O34" s="81">
        <f>Costs!O35</f>
        <v>3750</v>
      </c>
      <c r="P34" s="81">
        <f>Costs!P35</f>
        <v>3750</v>
      </c>
      <c r="Q34" s="81">
        <f>Costs!Q35</f>
        <v>3750</v>
      </c>
      <c r="R34" s="81">
        <f>Costs!R35</f>
        <v>3750</v>
      </c>
      <c r="S34" s="81">
        <f>Costs!S35</f>
        <v>3750</v>
      </c>
      <c r="T34" s="81">
        <f>Costs!T35</f>
        <v>3750</v>
      </c>
      <c r="U34" s="81">
        <f>Costs!U35</f>
        <v>3750</v>
      </c>
      <c r="V34" s="81">
        <f>Costs!V35</f>
        <v>3750</v>
      </c>
      <c r="W34" s="81">
        <f>Costs!W35</f>
        <v>3750</v>
      </c>
      <c r="X34" s="81">
        <f>Costs!X35</f>
        <v>3750</v>
      </c>
      <c r="Y34" s="81">
        <f>Costs!Y35</f>
        <v>3750</v>
      </c>
      <c r="Z34" s="81">
        <f>Costs!Z35</f>
        <v>3750</v>
      </c>
      <c r="AA34" s="81">
        <f>Costs!AA35</f>
        <v>11250</v>
      </c>
      <c r="AB34" s="81">
        <f>Costs!AB35</f>
        <v>11250</v>
      </c>
      <c r="AC34" s="81">
        <f>Costs!AC35</f>
        <v>11250</v>
      </c>
      <c r="AD34" s="81">
        <f>Costs!AD35</f>
        <v>11250</v>
      </c>
      <c r="AE34" s="81">
        <f>Costs!AE35</f>
        <v>11250</v>
      </c>
      <c r="AF34" s="81">
        <f>Costs!AF35</f>
        <v>11250</v>
      </c>
      <c r="AG34" s="81">
        <f>Costs!AG35</f>
        <v>11250</v>
      </c>
      <c r="AH34" s="81">
        <f>Costs!AH35</f>
        <v>11250</v>
      </c>
      <c r="AI34" s="81">
        <f>Costs!AI35</f>
        <v>11250</v>
      </c>
      <c r="AJ34" s="81">
        <f>Costs!AJ35</f>
        <v>11250</v>
      </c>
      <c r="AK34" s="81">
        <f>Costs!AK35</f>
        <v>11250</v>
      </c>
      <c r="AL34" s="81">
        <f>Costs!AL35</f>
        <v>11250</v>
      </c>
      <c r="AM34" s="81">
        <f>Costs!AM35</f>
        <v>11250</v>
      </c>
      <c r="AN34" s="81">
        <f>Costs!AN35</f>
        <v>11250</v>
      </c>
      <c r="AO34" s="81">
        <f>Costs!AO35</f>
        <v>11250</v>
      </c>
      <c r="AP34" s="81">
        <f>Costs!AP35</f>
        <v>11250</v>
      </c>
      <c r="AQ34" s="81">
        <f>Costs!AQ35</f>
        <v>11250</v>
      </c>
      <c r="AR34" s="81">
        <f>Costs!AR35</f>
        <v>11250</v>
      </c>
      <c r="AS34" s="81">
        <f>Costs!AS35</f>
        <v>11250</v>
      </c>
      <c r="AT34" s="81">
        <f>Costs!AT35</f>
        <v>11250</v>
      </c>
      <c r="AU34" s="81">
        <f>Costs!AU35</f>
        <v>11250</v>
      </c>
      <c r="AV34" s="81">
        <f>Costs!AV35</f>
        <v>11250</v>
      </c>
      <c r="AW34" s="81">
        <f>Costs!AW35</f>
        <v>11250</v>
      </c>
      <c r="AX34" s="81">
        <f>Costs!AX35</f>
        <v>11250</v>
      </c>
      <c r="AY34" s="81">
        <f>Costs!AY35</f>
        <v>11250</v>
      </c>
      <c r="AZ34" s="81">
        <f>Costs!AZ35</f>
        <v>11250</v>
      </c>
      <c r="BA34" s="81">
        <f>Costs!BA35</f>
        <v>11250</v>
      </c>
      <c r="BB34" s="81">
        <f>Costs!BB35</f>
        <v>11250</v>
      </c>
      <c r="BC34" s="81">
        <f>Costs!BC35</f>
        <v>11250</v>
      </c>
      <c r="BD34" s="81">
        <f>Costs!BD35</f>
        <v>11250</v>
      </c>
      <c r="BE34" s="81">
        <f>Costs!BE35</f>
        <v>11250</v>
      </c>
      <c r="BF34" s="81">
        <f>Costs!BF35</f>
        <v>11250</v>
      </c>
      <c r="BG34" s="81">
        <f>Costs!BG35</f>
        <v>11250</v>
      </c>
      <c r="BH34" s="81">
        <f>Costs!BH35</f>
        <v>11250</v>
      </c>
      <c r="BI34" s="81">
        <f>Costs!BI35</f>
        <v>11250</v>
      </c>
      <c r="BJ34" s="81">
        <f>Costs!BJ35</f>
        <v>11250</v>
      </c>
      <c r="BK34" s="81">
        <f>Costs!BK35</f>
        <v>11250</v>
      </c>
      <c r="BL34" s="81">
        <f>Costs!BL35</f>
        <v>11250</v>
      </c>
      <c r="BM34" s="81">
        <f>Costs!BM35</f>
        <v>11250</v>
      </c>
      <c r="BN34" s="81">
        <f>Costs!BN35</f>
        <v>11250</v>
      </c>
      <c r="BO34" s="81">
        <f>Costs!BO35</f>
        <v>11250</v>
      </c>
      <c r="BP34" s="81">
        <f>Costs!BP35</f>
        <v>11250</v>
      </c>
      <c r="BQ34" s="81">
        <f>Costs!BQ35</f>
        <v>11250</v>
      </c>
      <c r="BR34" s="81">
        <f>Costs!BR35</f>
        <v>11250</v>
      </c>
      <c r="BS34" s="81">
        <f>Costs!BS35</f>
        <v>11250</v>
      </c>
      <c r="BT34" s="81">
        <f>Costs!BT35</f>
        <v>11250</v>
      </c>
      <c r="BU34" s="81">
        <f>Costs!BU35</f>
        <v>11250</v>
      </c>
      <c r="BV34" s="81">
        <f>Costs!BV35</f>
        <v>11250</v>
      </c>
      <c r="BW34" s="81">
        <f>Costs!BW35</f>
        <v>15000</v>
      </c>
      <c r="BX34" s="81">
        <f>Costs!BX35</f>
        <v>15000</v>
      </c>
      <c r="BY34" s="81">
        <f>Costs!BY35</f>
        <v>15000</v>
      </c>
      <c r="BZ34" s="81">
        <f>Costs!BZ35</f>
        <v>15000</v>
      </c>
      <c r="CA34" s="81">
        <f>Costs!CA35</f>
        <v>15000</v>
      </c>
      <c r="CB34" s="81">
        <f>Costs!CB35</f>
        <v>15000</v>
      </c>
      <c r="CC34" s="81">
        <f>Costs!CC35</f>
        <v>15000</v>
      </c>
      <c r="CD34" s="81">
        <f>Costs!CD35</f>
        <v>15000</v>
      </c>
      <c r="CE34" s="81">
        <f>Costs!CE35</f>
        <v>15000</v>
      </c>
      <c r="CF34" s="81">
        <f>Costs!CF35</f>
        <v>15000</v>
      </c>
      <c r="CG34" s="81">
        <f>Costs!CG35</f>
        <v>15000</v>
      </c>
      <c r="CH34" s="81">
        <f>Costs!CH35</f>
        <v>15000</v>
      </c>
      <c r="CI34" s="81">
        <f>Costs!CI35</f>
        <v>15000</v>
      </c>
      <c r="CJ34" s="81">
        <f>Costs!CJ35</f>
        <v>15000</v>
      </c>
      <c r="CK34" s="81">
        <f>Costs!CK35</f>
        <v>15000</v>
      </c>
      <c r="CL34" s="81">
        <f>Costs!CL35</f>
        <v>15000</v>
      </c>
      <c r="CM34" s="81">
        <f>Costs!CM35</f>
        <v>15000</v>
      </c>
      <c r="CN34" s="81">
        <f>Costs!CN35</f>
        <v>15450</v>
      </c>
      <c r="CO34" s="81">
        <f>Costs!CO35</f>
        <v>15450</v>
      </c>
      <c r="CP34" s="81">
        <f>Costs!CP35</f>
        <v>15450</v>
      </c>
      <c r="CQ34" s="81">
        <f>Costs!CQ35</f>
        <v>15450</v>
      </c>
      <c r="CR34" s="81">
        <f>Costs!CR35</f>
        <v>15450</v>
      </c>
      <c r="CS34" s="81">
        <f>Costs!CS35</f>
        <v>15450</v>
      </c>
      <c r="CT34" s="81">
        <f>Costs!CT35</f>
        <v>15450</v>
      </c>
      <c r="CU34" s="81">
        <f>Costs!CU35</f>
        <v>15900</v>
      </c>
      <c r="CV34" s="81">
        <f>Costs!CV35</f>
        <v>15900</v>
      </c>
      <c r="CW34" s="81">
        <f>Costs!CW35</f>
        <v>15900</v>
      </c>
      <c r="CX34" s="81">
        <f>Costs!CX35</f>
        <v>15900</v>
      </c>
      <c r="CY34" s="81">
        <f>Costs!CY35</f>
        <v>15900</v>
      </c>
      <c r="CZ34" s="81">
        <f>Costs!CZ35</f>
        <v>15900</v>
      </c>
      <c r="DA34" s="81">
        <f>Costs!DA35</f>
        <v>15900</v>
      </c>
      <c r="DB34" s="81">
        <f>Costs!DB35</f>
        <v>15900</v>
      </c>
      <c r="DC34" s="81">
        <f>Costs!DC35</f>
        <v>15900</v>
      </c>
      <c r="DD34" s="81">
        <f>Costs!DD35</f>
        <v>15900</v>
      </c>
      <c r="DE34" s="81">
        <f>Costs!DE35</f>
        <v>15900</v>
      </c>
      <c r="DF34" s="81">
        <f>Costs!DF35</f>
        <v>15900</v>
      </c>
      <c r="DG34" s="81">
        <f>Costs!DG35</f>
        <v>16350.000000000002</v>
      </c>
      <c r="DH34" s="81">
        <f>Costs!DH35</f>
        <v>16350.000000000002</v>
      </c>
      <c r="DI34" s="81">
        <f>Costs!DI35</f>
        <v>16350.000000000002</v>
      </c>
      <c r="DJ34" s="81">
        <f>Costs!DJ35</f>
        <v>16350.000000000002</v>
      </c>
      <c r="DK34" s="81">
        <f>Costs!DK35</f>
        <v>16350.000000000002</v>
      </c>
      <c r="DL34" s="81">
        <f>Costs!DL35</f>
        <v>16350.000000000002</v>
      </c>
      <c r="DM34" s="81">
        <f>Costs!DM35</f>
        <v>16350.000000000002</v>
      </c>
      <c r="DN34" s="81">
        <f>Costs!DN35</f>
        <v>16350.000000000002</v>
      </c>
      <c r="DO34" s="81">
        <f>Costs!DO35</f>
        <v>16350.000000000002</v>
      </c>
      <c r="DP34" s="81">
        <f>Costs!DP35</f>
        <v>16350.000000000002</v>
      </c>
      <c r="DQ34" s="81">
        <f>Costs!DQ35</f>
        <v>16350.000000000002</v>
      </c>
      <c r="DR34" s="81">
        <f>Costs!DR35</f>
        <v>16350.000000000002</v>
      </c>
      <c r="DS34" s="81">
        <f>Costs!DS35</f>
        <v>16800</v>
      </c>
      <c r="DT34" s="81">
        <f>Costs!DT35</f>
        <v>16800</v>
      </c>
      <c r="DU34" s="81">
        <f>Costs!DU35</f>
        <v>16800</v>
      </c>
      <c r="DV34" s="81">
        <f>Costs!DV35</f>
        <v>16800</v>
      </c>
      <c r="DW34" s="81">
        <f>Costs!DW35</f>
        <v>16800</v>
      </c>
      <c r="DX34" s="81">
        <f>Costs!DX35</f>
        <v>16800</v>
      </c>
      <c r="DY34" s="81">
        <f>Costs!DY35</f>
        <v>16800</v>
      </c>
      <c r="DZ34" s="81">
        <f>Costs!DZ35</f>
        <v>16800</v>
      </c>
      <c r="EA34" s="81">
        <f>Costs!EA35</f>
        <v>16800</v>
      </c>
      <c r="EB34" s="81">
        <f>Costs!EB35</f>
        <v>16800</v>
      </c>
      <c r="EC34" s="81">
        <f>Costs!EC35</f>
        <v>16800</v>
      </c>
      <c r="ED34" s="81">
        <f>Costs!ED35</f>
        <v>16800</v>
      </c>
      <c r="EE34" s="81">
        <f>Costs!EE35</f>
        <v>17250.000000000004</v>
      </c>
      <c r="EF34" s="81">
        <f>Costs!EF35</f>
        <v>17250.000000000004</v>
      </c>
      <c r="EG34" s="81">
        <f>Costs!EG35</f>
        <v>17250.000000000004</v>
      </c>
      <c r="EH34" s="81">
        <f>Costs!EH35</f>
        <v>17250.000000000004</v>
      </c>
      <c r="EI34" s="81">
        <f>Costs!EI35</f>
        <v>17250.000000000004</v>
      </c>
      <c r="EJ34" s="81">
        <f>Costs!EJ35</f>
        <v>17250.000000000004</v>
      </c>
      <c r="EK34" s="81">
        <f>Costs!EK35</f>
        <v>17250.000000000004</v>
      </c>
      <c r="EL34" s="81">
        <f>Costs!EL35</f>
        <v>17250.000000000004</v>
      </c>
      <c r="EM34" s="81">
        <f>Costs!EM35</f>
        <v>17250.000000000004</v>
      </c>
      <c r="EN34" s="81">
        <f>Costs!EN35</f>
        <v>17250.000000000004</v>
      </c>
      <c r="EO34" s="81">
        <f>Costs!EO35</f>
        <v>17250.000000000004</v>
      </c>
      <c r="EP34" s="81">
        <f>Costs!EP35</f>
        <v>17250.000000000004</v>
      </c>
      <c r="EQ34" s="81">
        <f>Costs!EQ35</f>
        <v>17700.000000000004</v>
      </c>
      <c r="ER34" s="81">
        <f>Costs!ER35</f>
        <v>17700.000000000004</v>
      </c>
      <c r="ES34" s="81">
        <f>Costs!ES35</f>
        <v>17700.000000000004</v>
      </c>
      <c r="ET34" s="81">
        <f>Costs!ET35</f>
        <v>17700.000000000004</v>
      </c>
      <c r="EU34" s="81">
        <f>Costs!EU35</f>
        <v>17700.000000000004</v>
      </c>
      <c r="EV34" s="81">
        <f>Costs!EV35</f>
        <v>17700.000000000004</v>
      </c>
      <c r="EW34" s="81">
        <f>Costs!EW35</f>
        <v>17700.000000000004</v>
      </c>
      <c r="EX34" s="81">
        <f>Costs!EX35</f>
        <v>17700.000000000004</v>
      </c>
      <c r="EY34" s="81">
        <f>Costs!EY35</f>
        <v>17700.000000000004</v>
      </c>
      <c r="EZ34" s="81">
        <f>Costs!EZ35</f>
        <v>17700.000000000004</v>
      </c>
      <c r="FA34" s="81">
        <f>Costs!FA35</f>
        <v>17700.000000000004</v>
      </c>
      <c r="FB34" s="81">
        <f>Costs!FB35</f>
        <v>17700.000000000004</v>
      </c>
      <c r="FC34" s="81">
        <f>Costs!FC35</f>
        <v>18150.000000000004</v>
      </c>
      <c r="FD34" s="81">
        <f>Costs!FD35</f>
        <v>18150.000000000004</v>
      </c>
      <c r="FE34" s="81">
        <f>Costs!FE35</f>
        <v>18150.000000000004</v>
      </c>
      <c r="FF34" s="81">
        <f>Costs!FF35</f>
        <v>18150.000000000004</v>
      </c>
      <c r="FG34" s="81">
        <f>Costs!FG35</f>
        <v>18150.000000000004</v>
      </c>
      <c r="FH34" s="81">
        <f>Costs!FH35</f>
        <v>18150.000000000004</v>
      </c>
      <c r="FI34" s="81">
        <f>Costs!FI35</f>
        <v>18150.000000000004</v>
      </c>
      <c r="FJ34" s="81">
        <f>Costs!FJ35</f>
        <v>18150.000000000004</v>
      </c>
      <c r="FK34" s="81">
        <f>Costs!FK35</f>
        <v>18150.000000000004</v>
      </c>
      <c r="FL34" s="81">
        <f>Costs!FL35</f>
        <v>18150.000000000004</v>
      </c>
      <c r="FM34" s="81">
        <f>Costs!FM35</f>
        <v>18150.000000000004</v>
      </c>
      <c r="FN34" s="81">
        <f>Costs!FN35</f>
        <v>18150.000000000004</v>
      </c>
      <c r="FO34" s="81">
        <f>Costs!FO35</f>
        <v>18600.000000000004</v>
      </c>
      <c r="FP34" s="81">
        <f>Costs!FP35</f>
        <v>18600.000000000004</v>
      </c>
      <c r="FQ34" s="81">
        <f>Costs!FQ35</f>
        <v>18600.000000000004</v>
      </c>
      <c r="FR34" s="81">
        <f>Costs!FR35</f>
        <v>18600.000000000004</v>
      </c>
      <c r="FS34" s="81">
        <f>Costs!FS35</f>
        <v>18600.000000000004</v>
      </c>
      <c r="FT34" s="81">
        <f>Costs!FT35</f>
        <v>18600.000000000004</v>
      </c>
      <c r="FU34" s="81">
        <f>Costs!FU35</f>
        <v>18600.000000000004</v>
      </c>
      <c r="FV34" s="81">
        <f>Costs!FV35</f>
        <v>18600.000000000004</v>
      </c>
      <c r="FW34" s="81">
        <f>Costs!FW35</f>
        <v>18600.000000000004</v>
      </c>
      <c r="FX34" s="81">
        <f>Costs!FX35</f>
        <v>18600.000000000004</v>
      </c>
      <c r="FY34" s="81">
        <f>Costs!FY35</f>
        <v>18600.000000000004</v>
      </c>
      <c r="FZ34" s="81">
        <f>Costs!FZ35</f>
        <v>18600.000000000004</v>
      </c>
      <c r="GA34" s="81">
        <f>Costs!GA35</f>
        <v>19050.000000000004</v>
      </c>
      <c r="GB34" s="81">
        <f>Costs!GB35</f>
        <v>19050.000000000004</v>
      </c>
      <c r="GC34" s="81">
        <f>Costs!GC35</f>
        <v>19050.000000000004</v>
      </c>
      <c r="GD34" s="81">
        <f>Costs!GD35</f>
        <v>19050.000000000004</v>
      </c>
      <c r="GE34" s="81">
        <f>Costs!GE35</f>
        <v>19050.000000000004</v>
      </c>
      <c r="GF34" s="81">
        <f>Costs!GF35</f>
        <v>19050.000000000004</v>
      </c>
      <c r="GG34" s="81">
        <f>Costs!GG35</f>
        <v>19050.000000000004</v>
      </c>
      <c r="GH34" s="81">
        <f>Costs!GH35</f>
        <v>19050.000000000004</v>
      </c>
      <c r="GI34" s="81">
        <f>Costs!GI35</f>
        <v>19050.000000000004</v>
      </c>
      <c r="GJ34" s="81">
        <f>Costs!GJ35</f>
        <v>19050.000000000004</v>
      </c>
      <c r="GK34" s="81">
        <f>Costs!GK35</f>
        <v>19050.000000000004</v>
      </c>
      <c r="GL34" s="81">
        <f>Costs!GL35</f>
        <v>19050.000000000004</v>
      </c>
      <c r="GM34" s="81">
        <f>Costs!GM35</f>
        <v>19500.000000000004</v>
      </c>
      <c r="GN34" s="81">
        <f>Costs!GN35</f>
        <v>19500.000000000004</v>
      </c>
      <c r="GO34" s="81">
        <f>Costs!GO35</f>
        <v>19500.000000000004</v>
      </c>
      <c r="GP34" s="81">
        <f>Costs!GP35</f>
        <v>19500.000000000004</v>
      </c>
      <c r="GQ34" s="81">
        <f>Costs!GQ35</f>
        <v>19500.000000000004</v>
      </c>
      <c r="GR34" s="81">
        <f>Costs!GR35</f>
        <v>19500.000000000004</v>
      </c>
      <c r="GS34" s="81">
        <f>Costs!GS35</f>
        <v>19500.000000000004</v>
      </c>
      <c r="GT34" s="81">
        <f>Costs!GT35</f>
        <v>19500.000000000004</v>
      </c>
      <c r="GU34" s="81">
        <f>Costs!GU35</f>
        <v>19500.000000000004</v>
      </c>
      <c r="GV34" s="81">
        <f>Costs!GV35</f>
        <v>19500.000000000004</v>
      </c>
      <c r="GW34" s="81">
        <f>Costs!GW35</f>
        <v>19500.000000000004</v>
      </c>
      <c r="GX34" s="81">
        <f>Costs!GX35</f>
        <v>19500.000000000004</v>
      </c>
      <c r="GY34" s="81">
        <f>Costs!GY35</f>
        <v>19950.000000000004</v>
      </c>
      <c r="GZ34" s="81">
        <f>Costs!GZ35</f>
        <v>19950.000000000004</v>
      </c>
      <c r="HA34" s="81">
        <f>Costs!HA35</f>
        <v>19950.000000000004</v>
      </c>
      <c r="HB34" s="81">
        <f>Costs!HB35</f>
        <v>19950.000000000004</v>
      </c>
      <c r="HC34" s="81">
        <f>Costs!HC35</f>
        <v>19950.000000000004</v>
      </c>
      <c r="HD34" s="81">
        <f>Costs!HD35</f>
        <v>19950.000000000004</v>
      </c>
      <c r="HE34" s="81">
        <f>Costs!HE35</f>
        <v>19950.000000000004</v>
      </c>
      <c r="HF34" s="81">
        <f>Costs!HF35</f>
        <v>19950.000000000004</v>
      </c>
      <c r="HG34" s="81">
        <f>Costs!HG35</f>
        <v>19950.000000000004</v>
      </c>
      <c r="HH34" s="81">
        <f>Costs!HH35</f>
        <v>19950.000000000004</v>
      </c>
      <c r="HI34" s="81">
        <f>Costs!HI35</f>
        <v>19950.000000000004</v>
      </c>
      <c r="HJ34" s="81">
        <f>Costs!HJ35</f>
        <v>19950.000000000004</v>
      </c>
      <c r="HK34" s="81">
        <f>Costs!HK35</f>
        <v>19950.000000000004</v>
      </c>
      <c r="HL34" s="81">
        <f>Costs!HL35</f>
        <v>19950.000000000004</v>
      </c>
      <c r="HM34" s="81">
        <f>Costs!HM35</f>
        <v>19950.000000000004</v>
      </c>
      <c r="HN34" s="81">
        <f>Costs!HN35</f>
        <v>19950.000000000004</v>
      </c>
      <c r="HO34" s="81">
        <f>Costs!HO35</f>
        <v>19950.000000000004</v>
      </c>
      <c r="HP34" s="81">
        <f>Costs!HP35</f>
        <v>19950.000000000004</v>
      </c>
      <c r="HQ34" s="81">
        <f>Costs!HQ35</f>
        <v>19950.000000000004</v>
      </c>
      <c r="HR34" s="81">
        <f>Costs!HR35</f>
        <v>19950.000000000004</v>
      </c>
      <c r="HS34" s="81">
        <f>Costs!HS35</f>
        <v>19950.000000000004</v>
      </c>
      <c r="HT34" s="81">
        <f>Costs!HT35</f>
        <v>19950.000000000004</v>
      </c>
      <c r="HU34" s="81">
        <f>Costs!HU35</f>
        <v>19950.000000000004</v>
      </c>
      <c r="HV34" s="81">
        <f>Costs!HV35</f>
        <v>19950.000000000004</v>
      </c>
      <c r="HW34" s="81">
        <f>Costs!HW35</f>
        <v>19950.000000000004</v>
      </c>
      <c r="HX34" s="81">
        <f>Costs!HX35</f>
        <v>19950.000000000004</v>
      </c>
      <c r="HY34" s="81">
        <f>Costs!HY35</f>
        <v>19950.000000000004</v>
      </c>
      <c r="HZ34" s="81">
        <f>Costs!HZ35</f>
        <v>19950.000000000004</v>
      </c>
      <c r="IA34" s="81">
        <f>Costs!IA35</f>
        <v>19950.000000000004</v>
      </c>
      <c r="IB34" s="81">
        <f>Costs!IB35</f>
        <v>19950.000000000004</v>
      </c>
      <c r="IC34" s="81">
        <f>Costs!IC35</f>
        <v>19950.000000000004</v>
      </c>
      <c r="ID34" s="81">
        <f>Costs!ID35</f>
        <v>19950.000000000004</v>
      </c>
      <c r="IE34" s="81">
        <f>Costs!IE35</f>
        <v>19950.000000000004</v>
      </c>
      <c r="IF34" s="81">
        <f>Costs!IF35</f>
        <v>19950.000000000004</v>
      </c>
      <c r="IG34" s="81">
        <f>Costs!IG35</f>
        <v>19950.000000000004</v>
      </c>
      <c r="IH34" s="81">
        <f>Costs!IH35</f>
        <v>19950.000000000004</v>
      </c>
    </row>
    <row r="35" spans="1:242" x14ac:dyDescent="0.45">
      <c r="A35" s="895" t="s">
        <v>235</v>
      </c>
      <c r="B35" s="896"/>
      <c r="C35" s="81">
        <f>Costs!C36</f>
        <v>200000</v>
      </c>
      <c r="D35" s="81">
        <f>Costs!D36</f>
        <v>7500</v>
      </c>
      <c r="E35" s="81">
        <f>Costs!E36</f>
        <v>7500</v>
      </c>
      <c r="F35" s="81">
        <f>Costs!F36</f>
        <v>7500</v>
      </c>
      <c r="G35" s="81">
        <f>Costs!G36</f>
        <v>7500</v>
      </c>
      <c r="H35" s="81">
        <f>Costs!H36</f>
        <v>7500</v>
      </c>
      <c r="I35" s="81">
        <f>Costs!I36</f>
        <v>7500</v>
      </c>
      <c r="J35" s="81">
        <f>Costs!J36</f>
        <v>7500</v>
      </c>
      <c r="K35" s="81">
        <f>Costs!K36</f>
        <v>7500</v>
      </c>
      <c r="L35" s="81">
        <f>Costs!L36</f>
        <v>7500</v>
      </c>
      <c r="M35" s="81">
        <f>Costs!M36</f>
        <v>7500</v>
      </c>
      <c r="N35" s="81">
        <f>Costs!N36</f>
        <v>7500</v>
      </c>
      <c r="O35" s="81">
        <f>Costs!O36</f>
        <v>7500</v>
      </c>
      <c r="P35" s="81">
        <f>Costs!P36</f>
        <v>7500</v>
      </c>
      <c r="Q35" s="81">
        <f>Costs!Q36</f>
        <v>7500</v>
      </c>
      <c r="R35" s="81">
        <f>Costs!R36</f>
        <v>7500</v>
      </c>
      <c r="S35" s="81">
        <f>Costs!S36</f>
        <v>7500</v>
      </c>
      <c r="T35" s="81">
        <f>Costs!T36</f>
        <v>7500</v>
      </c>
      <c r="U35" s="81">
        <f>Costs!U36</f>
        <v>7500</v>
      </c>
      <c r="V35" s="81">
        <f>Costs!V36</f>
        <v>7500</v>
      </c>
      <c r="W35" s="81">
        <f>Costs!W36</f>
        <v>7500</v>
      </c>
      <c r="X35" s="81">
        <f>Costs!X36</f>
        <v>7500</v>
      </c>
      <c r="Y35" s="81">
        <f>Costs!Y36</f>
        <v>7500</v>
      </c>
      <c r="Z35" s="81">
        <f>Costs!Z36</f>
        <v>7500</v>
      </c>
      <c r="AA35" s="81">
        <f>Costs!AA36</f>
        <v>22500</v>
      </c>
      <c r="AB35" s="81">
        <f>Costs!AB36</f>
        <v>22500</v>
      </c>
      <c r="AC35" s="81">
        <f>Costs!AC36</f>
        <v>22500</v>
      </c>
      <c r="AD35" s="81">
        <f>Costs!AD36</f>
        <v>22500</v>
      </c>
      <c r="AE35" s="81">
        <f>Costs!AE36</f>
        <v>22500</v>
      </c>
      <c r="AF35" s="81">
        <f>Costs!AF36</f>
        <v>22500</v>
      </c>
      <c r="AG35" s="81">
        <f>Costs!AG36</f>
        <v>22500</v>
      </c>
      <c r="AH35" s="81">
        <f>Costs!AH36</f>
        <v>22500</v>
      </c>
      <c r="AI35" s="81">
        <f>Costs!AI36</f>
        <v>22500</v>
      </c>
      <c r="AJ35" s="81">
        <f>Costs!AJ36</f>
        <v>22500</v>
      </c>
      <c r="AK35" s="81">
        <f>Costs!AK36</f>
        <v>22500</v>
      </c>
      <c r="AL35" s="81">
        <f>Costs!AL36</f>
        <v>22500</v>
      </c>
      <c r="AM35" s="81">
        <f>Costs!AM36</f>
        <v>22500</v>
      </c>
      <c r="AN35" s="81">
        <f>Costs!AN36</f>
        <v>22500</v>
      </c>
      <c r="AO35" s="81">
        <f>Costs!AO36</f>
        <v>22500</v>
      </c>
      <c r="AP35" s="81">
        <f>Costs!AP36</f>
        <v>22500</v>
      </c>
      <c r="AQ35" s="81">
        <f>Costs!AQ36</f>
        <v>22500</v>
      </c>
      <c r="AR35" s="81">
        <f>Costs!AR36</f>
        <v>22500</v>
      </c>
      <c r="AS35" s="81">
        <f>Costs!AS36</f>
        <v>22500</v>
      </c>
      <c r="AT35" s="81">
        <f>Costs!AT36</f>
        <v>22500</v>
      </c>
      <c r="AU35" s="81">
        <f>Costs!AU36</f>
        <v>22500</v>
      </c>
      <c r="AV35" s="81">
        <f>Costs!AV36</f>
        <v>22500</v>
      </c>
      <c r="AW35" s="81">
        <f>Costs!AW36</f>
        <v>22500</v>
      </c>
      <c r="AX35" s="81">
        <f>Costs!AX36</f>
        <v>22500</v>
      </c>
      <c r="AY35" s="81">
        <f>Costs!AY36</f>
        <v>22500</v>
      </c>
      <c r="AZ35" s="81">
        <f>Costs!AZ36</f>
        <v>22500</v>
      </c>
      <c r="BA35" s="81">
        <f>Costs!BA36</f>
        <v>22500</v>
      </c>
      <c r="BB35" s="81">
        <f>Costs!BB36</f>
        <v>22500</v>
      </c>
      <c r="BC35" s="81">
        <f>Costs!BC36</f>
        <v>22500</v>
      </c>
      <c r="BD35" s="81">
        <f>Costs!BD36</f>
        <v>22500</v>
      </c>
      <c r="BE35" s="81">
        <f>Costs!BE36</f>
        <v>22500</v>
      </c>
      <c r="BF35" s="81">
        <f>Costs!BF36</f>
        <v>22500</v>
      </c>
      <c r="BG35" s="81">
        <f>Costs!BG36</f>
        <v>22500</v>
      </c>
      <c r="BH35" s="81">
        <f>Costs!BH36</f>
        <v>22500</v>
      </c>
      <c r="BI35" s="81">
        <f>Costs!BI36</f>
        <v>22500</v>
      </c>
      <c r="BJ35" s="81">
        <f>Costs!BJ36</f>
        <v>22500</v>
      </c>
      <c r="BK35" s="81">
        <f>Costs!BK36</f>
        <v>22500</v>
      </c>
      <c r="BL35" s="81">
        <f>Costs!BL36</f>
        <v>22500</v>
      </c>
      <c r="BM35" s="81">
        <f>Costs!BM36</f>
        <v>22500</v>
      </c>
      <c r="BN35" s="81">
        <f>Costs!BN36</f>
        <v>22500</v>
      </c>
      <c r="BO35" s="81">
        <f>Costs!BO36</f>
        <v>22500</v>
      </c>
      <c r="BP35" s="81">
        <f>Costs!BP36</f>
        <v>22500</v>
      </c>
      <c r="BQ35" s="81">
        <f>Costs!BQ36</f>
        <v>22500</v>
      </c>
      <c r="BR35" s="81">
        <f>Costs!BR36</f>
        <v>22500</v>
      </c>
      <c r="BS35" s="81">
        <f>Costs!BS36</f>
        <v>22500</v>
      </c>
      <c r="BT35" s="81">
        <f>Costs!BT36</f>
        <v>22500</v>
      </c>
      <c r="BU35" s="81">
        <f>Costs!BU36</f>
        <v>22500</v>
      </c>
      <c r="BV35" s="81">
        <f>Costs!BV36</f>
        <v>22500</v>
      </c>
      <c r="BW35" s="81">
        <f>Costs!BW36</f>
        <v>30000</v>
      </c>
      <c r="BX35" s="81">
        <f>Costs!BX36</f>
        <v>30000</v>
      </c>
      <c r="BY35" s="81">
        <f>Costs!BY36</f>
        <v>30000</v>
      </c>
      <c r="BZ35" s="81">
        <f>Costs!BZ36</f>
        <v>30000</v>
      </c>
      <c r="CA35" s="81">
        <f>Costs!CA36</f>
        <v>30000</v>
      </c>
      <c r="CB35" s="81">
        <f>Costs!CB36</f>
        <v>30000</v>
      </c>
      <c r="CC35" s="81">
        <f>Costs!CC36</f>
        <v>30000</v>
      </c>
      <c r="CD35" s="81">
        <f>Costs!CD36</f>
        <v>30000</v>
      </c>
      <c r="CE35" s="81">
        <f>Costs!CE36</f>
        <v>30000</v>
      </c>
      <c r="CF35" s="81">
        <f>Costs!CF36</f>
        <v>30000</v>
      </c>
      <c r="CG35" s="81">
        <f>Costs!CG36</f>
        <v>30000</v>
      </c>
      <c r="CH35" s="81">
        <f>Costs!CH36</f>
        <v>30000</v>
      </c>
      <c r="CI35" s="81">
        <f>Costs!CI36</f>
        <v>30000</v>
      </c>
      <c r="CJ35" s="81">
        <f>Costs!CJ36</f>
        <v>30000</v>
      </c>
      <c r="CK35" s="81">
        <f>Costs!CK36</f>
        <v>30000</v>
      </c>
      <c r="CL35" s="81">
        <f>Costs!CL36</f>
        <v>30000</v>
      </c>
      <c r="CM35" s="81">
        <f>Costs!CM36</f>
        <v>30000</v>
      </c>
      <c r="CN35" s="81">
        <f>Costs!CN36</f>
        <v>30900</v>
      </c>
      <c r="CO35" s="81">
        <f>Costs!CO36</f>
        <v>30900</v>
      </c>
      <c r="CP35" s="81">
        <f>Costs!CP36</f>
        <v>30900</v>
      </c>
      <c r="CQ35" s="81">
        <f>Costs!CQ36</f>
        <v>30900</v>
      </c>
      <c r="CR35" s="81">
        <f>Costs!CR36</f>
        <v>30900</v>
      </c>
      <c r="CS35" s="81">
        <f>Costs!CS36</f>
        <v>30900</v>
      </c>
      <c r="CT35" s="81">
        <f>Costs!CT36</f>
        <v>30900</v>
      </c>
      <c r="CU35" s="81">
        <f>Costs!CU36</f>
        <v>31800</v>
      </c>
      <c r="CV35" s="81">
        <f>Costs!CV36</f>
        <v>31800</v>
      </c>
      <c r="CW35" s="81">
        <f>Costs!CW36</f>
        <v>31800</v>
      </c>
      <c r="CX35" s="81">
        <f>Costs!CX36</f>
        <v>31800</v>
      </c>
      <c r="CY35" s="81">
        <f>Costs!CY36</f>
        <v>31800</v>
      </c>
      <c r="CZ35" s="81">
        <f>Costs!CZ36</f>
        <v>31800</v>
      </c>
      <c r="DA35" s="81">
        <f>Costs!DA36</f>
        <v>31800</v>
      </c>
      <c r="DB35" s="81">
        <f>Costs!DB36</f>
        <v>31800</v>
      </c>
      <c r="DC35" s="81">
        <f>Costs!DC36</f>
        <v>31800</v>
      </c>
      <c r="DD35" s="81">
        <f>Costs!DD36</f>
        <v>31800</v>
      </c>
      <c r="DE35" s="81">
        <f>Costs!DE36</f>
        <v>31800</v>
      </c>
      <c r="DF35" s="81">
        <f>Costs!DF36</f>
        <v>31800</v>
      </c>
      <c r="DG35" s="81">
        <f>Costs!DG36</f>
        <v>32700.000000000004</v>
      </c>
      <c r="DH35" s="81">
        <f>Costs!DH36</f>
        <v>32700.000000000004</v>
      </c>
      <c r="DI35" s="81">
        <f>Costs!DI36</f>
        <v>32700.000000000004</v>
      </c>
      <c r="DJ35" s="81">
        <f>Costs!DJ36</f>
        <v>32700.000000000004</v>
      </c>
      <c r="DK35" s="81">
        <f>Costs!DK36</f>
        <v>32700.000000000004</v>
      </c>
      <c r="DL35" s="81">
        <f>Costs!DL36</f>
        <v>32700.000000000004</v>
      </c>
      <c r="DM35" s="81">
        <f>Costs!DM36</f>
        <v>32700.000000000004</v>
      </c>
      <c r="DN35" s="81">
        <f>Costs!DN36</f>
        <v>32700.000000000004</v>
      </c>
      <c r="DO35" s="81">
        <f>Costs!DO36</f>
        <v>32700.000000000004</v>
      </c>
      <c r="DP35" s="81">
        <f>Costs!DP36</f>
        <v>32700.000000000004</v>
      </c>
      <c r="DQ35" s="81">
        <f>Costs!DQ36</f>
        <v>32700.000000000004</v>
      </c>
      <c r="DR35" s="81">
        <f>Costs!DR36</f>
        <v>32700.000000000004</v>
      </c>
      <c r="DS35" s="81">
        <f>Costs!DS36</f>
        <v>33600</v>
      </c>
      <c r="DT35" s="81">
        <f>Costs!DT36</f>
        <v>33600</v>
      </c>
      <c r="DU35" s="81">
        <f>Costs!DU36</f>
        <v>33600</v>
      </c>
      <c r="DV35" s="81">
        <f>Costs!DV36</f>
        <v>33600</v>
      </c>
      <c r="DW35" s="81">
        <f>Costs!DW36</f>
        <v>33600</v>
      </c>
      <c r="DX35" s="81">
        <f>Costs!DX36</f>
        <v>33600</v>
      </c>
      <c r="DY35" s="81">
        <f>Costs!DY36</f>
        <v>33600</v>
      </c>
      <c r="DZ35" s="81">
        <f>Costs!DZ36</f>
        <v>33600</v>
      </c>
      <c r="EA35" s="81">
        <f>Costs!EA36</f>
        <v>33600</v>
      </c>
      <c r="EB35" s="81">
        <f>Costs!EB36</f>
        <v>33600</v>
      </c>
      <c r="EC35" s="81">
        <f>Costs!EC36</f>
        <v>33600</v>
      </c>
      <c r="ED35" s="81">
        <f>Costs!ED36</f>
        <v>33600</v>
      </c>
      <c r="EE35" s="81">
        <f>Costs!EE36</f>
        <v>34500.000000000007</v>
      </c>
      <c r="EF35" s="81">
        <f>Costs!EF36</f>
        <v>34500.000000000007</v>
      </c>
      <c r="EG35" s="81">
        <f>Costs!EG36</f>
        <v>34500.000000000007</v>
      </c>
      <c r="EH35" s="81">
        <f>Costs!EH36</f>
        <v>34500.000000000007</v>
      </c>
      <c r="EI35" s="81">
        <f>Costs!EI36</f>
        <v>34500.000000000007</v>
      </c>
      <c r="EJ35" s="81">
        <f>Costs!EJ36</f>
        <v>34500.000000000007</v>
      </c>
      <c r="EK35" s="81">
        <f>Costs!EK36</f>
        <v>34500.000000000007</v>
      </c>
      <c r="EL35" s="81">
        <f>Costs!EL36</f>
        <v>34500.000000000007</v>
      </c>
      <c r="EM35" s="81">
        <f>Costs!EM36</f>
        <v>34500.000000000007</v>
      </c>
      <c r="EN35" s="81">
        <f>Costs!EN36</f>
        <v>34500.000000000007</v>
      </c>
      <c r="EO35" s="81">
        <f>Costs!EO36</f>
        <v>34500.000000000007</v>
      </c>
      <c r="EP35" s="81">
        <f>Costs!EP36</f>
        <v>34500.000000000007</v>
      </c>
      <c r="EQ35" s="81">
        <f>Costs!EQ36</f>
        <v>35400.000000000007</v>
      </c>
      <c r="ER35" s="81">
        <f>Costs!ER36</f>
        <v>35400.000000000007</v>
      </c>
      <c r="ES35" s="81">
        <f>Costs!ES36</f>
        <v>35400.000000000007</v>
      </c>
      <c r="ET35" s="81">
        <f>Costs!ET36</f>
        <v>35400.000000000007</v>
      </c>
      <c r="EU35" s="81">
        <f>Costs!EU36</f>
        <v>35400.000000000007</v>
      </c>
      <c r="EV35" s="81">
        <f>Costs!EV36</f>
        <v>35400.000000000007</v>
      </c>
      <c r="EW35" s="81">
        <f>Costs!EW36</f>
        <v>35400.000000000007</v>
      </c>
      <c r="EX35" s="81">
        <f>Costs!EX36</f>
        <v>35400.000000000007</v>
      </c>
      <c r="EY35" s="81">
        <f>Costs!EY36</f>
        <v>35400.000000000007</v>
      </c>
      <c r="EZ35" s="81">
        <f>Costs!EZ36</f>
        <v>35400.000000000007</v>
      </c>
      <c r="FA35" s="81">
        <f>Costs!FA36</f>
        <v>35400.000000000007</v>
      </c>
      <c r="FB35" s="81">
        <f>Costs!FB36</f>
        <v>35400.000000000007</v>
      </c>
      <c r="FC35" s="81">
        <f>Costs!FC36</f>
        <v>36300.000000000007</v>
      </c>
      <c r="FD35" s="81">
        <f>Costs!FD36</f>
        <v>36300.000000000007</v>
      </c>
      <c r="FE35" s="81">
        <f>Costs!FE36</f>
        <v>36300.000000000007</v>
      </c>
      <c r="FF35" s="81">
        <f>Costs!FF36</f>
        <v>36300.000000000007</v>
      </c>
      <c r="FG35" s="81">
        <f>Costs!FG36</f>
        <v>36300.000000000007</v>
      </c>
      <c r="FH35" s="81">
        <f>Costs!FH36</f>
        <v>36300.000000000007</v>
      </c>
      <c r="FI35" s="81">
        <f>Costs!FI36</f>
        <v>36300.000000000007</v>
      </c>
      <c r="FJ35" s="81">
        <f>Costs!FJ36</f>
        <v>36300.000000000007</v>
      </c>
      <c r="FK35" s="81">
        <f>Costs!FK36</f>
        <v>36300.000000000007</v>
      </c>
      <c r="FL35" s="81">
        <f>Costs!FL36</f>
        <v>36300.000000000007</v>
      </c>
      <c r="FM35" s="81">
        <f>Costs!FM36</f>
        <v>36300.000000000007</v>
      </c>
      <c r="FN35" s="81">
        <f>Costs!FN36</f>
        <v>36300.000000000007</v>
      </c>
      <c r="FO35" s="81">
        <f>Costs!FO36</f>
        <v>37200.000000000007</v>
      </c>
      <c r="FP35" s="81">
        <f>Costs!FP36</f>
        <v>37200.000000000007</v>
      </c>
      <c r="FQ35" s="81">
        <f>Costs!FQ36</f>
        <v>37200.000000000007</v>
      </c>
      <c r="FR35" s="81">
        <f>Costs!FR36</f>
        <v>37200.000000000007</v>
      </c>
      <c r="FS35" s="81">
        <f>Costs!FS36</f>
        <v>37200.000000000007</v>
      </c>
      <c r="FT35" s="81">
        <f>Costs!FT36</f>
        <v>37200.000000000007</v>
      </c>
      <c r="FU35" s="81">
        <f>Costs!FU36</f>
        <v>37200.000000000007</v>
      </c>
      <c r="FV35" s="81">
        <f>Costs!FV36</f>
        <v>37200.000000000007</v>
      </c>
      <c r="FW35" s="81">
        <f>Costs!FW36</f>
        <v>37200.000000000007</v>
      </c>
      <c r="FX35" s="81">
        <f>Costs!FX36</f>
        <v>37200.000000000007</v>
      </c>
      <c r="FY35" s="81">
        <f>Costs!FY36</f>
        <v>37200.000000000007</v>
      </c>
      <c r="FZ35" s="81">
        <f>Costs!FZ36</f>
        <v>37200.000000000007</v>
      </c>
      <c r="GA35" s="81">
        <f>Costs!GA36</f>
        <v>38100.000000000007</v>
      </c>
      <c r="GB35" s="81">
        <f>Costs!GB36</f>
        <v>38100.000000000007</v>
      </c>
      <c r="GC35" s="81">
        <f>Costs!GC36</f>
        <v>38100.000000000007</v>
      </c>
      <c r="GD35" s="81">
        <f>Costs!GD36</f>
        <v>38100.000000000007</v>
      </c>
      <c r="GE35" s="81">
        <f>Costs!GE36</f>
        <v>38100.000000000007</v>
      </c>
      <c r="GF35" s="81">
        <f>Costs!GF36</f>
        <v>38100.000000000007</v>
      </c>
      <c r="GG35" s="81">
        <f>Costs!GG36</f>
        <v>38100.000000000007</v>
      </c>
      <c r="GH35" s="81">
        <f>Costs!GH36</f>
        <v>38100.000000000007</v>
      </c>
      <c r="GI35" s="81">
        <f>Costs!GI36</f>
        <v>38100.000000000007</v>
      </c>
      <c r="GJ35" s="81">
        <f>Costs!GJ36</f>
        <v>38100.000000000007</v>
      </c>
      <c r="GK35" s="81">
        <f>Costs!GK36</f>
        <v>38100.000000000007</v>
      </c>
      <c r="GL35" s="81">
        <f>Costs!GL36</f>
        <v>38100.000000000007</v>
      </c>
      <c r="GM35" s="81">
        <f>Costs!GM36</f>
        <v>39000.000000000007</v>
      </c>
      <c r="GN35" s="81">
        <f>Costs!GN36</f>
        <v>39000.000000000007</v>
      </c>
      <c r="GO35" s="81">
        <f>Costs!GO36</f>
        <v>39000.000000000007</v>
      </c>
      <c r="GP35" s="81">
        <f>Costs!GP36</f>
        <v>39000.000000000007</v>
      </c>
      <c r="GQ35" s="81">
        <f>Costs!GQ36</f>
        <v>39000.000000000007</v>
      </c>
      <c r="GR35" s="81">
        <f>Costs!GR36</f>
        <v>39000.000000000007</v>
      </c>
      <c r="GS35" s="81">
        <f>Costs!GS36</f>
        <v>39000.000000000007</v>
      </c>
      <c r="GT35" s="81">
        <f>Costs!GT36</f>
        <v>39000.000000000007</v>
      </c>
      <c r="GU35" s="81">
        <f>Costs!GU36</f>
        <v>39000.000000000007</v>
      </c>
      <c r="GV35" s="81">
        <f>Costs!GV36</f>
        <v>39000.000000000007</v>
      </c>
      <c r="GW35" s="81">
        <f>Costs!GW36</f>
        <v>39000.000000000007</v>
      </c>
      <c r="GX35" s="81">
        <f>Costs!GX36</f>
        <v>39000.000000000007</v>
      </c>
      <c r="GY35" s="81">
        <f>Costs!GY36</f>
        <v>39900.000000000007</v>
      </c>
      <c r="GZ35" s="81">
        <f>Costs!GZ36</f>
        <v>39900.000000000007</v>
      </c>
      <c r="HA35" s="81">
        <f>Costs!HA36</f>
        <v>39900.000000000007</v>
      </c>
      <c r="HB35" s="81">
        <f>Costs!HB36</f>
        <v>39900.000000000007</v>
      </c>
      <c r="HC35" s="81">
        <f>Costs!HC36</f>
        <v>39900.000000000007</v>
      </c>
      <c r="HD35" s="81">
        <f>Costs!HD36</f>
        <v>39900.000000000007</v>
      </c>
      <c r="HE35" s="81">
        <f>Costs!HE36</f>
        <v>39900.000000000007</v>
      </c>
      <c r="HF35" s="81">
        <f>Costs!HF36</f>
        <v>39900.000000000007</v>
      </c>
      <c r="HG35" s="81">
        <f>Costs!HG36</f>
        <v>39900.000000000007</v>
      </c>
      <c r="HH35" s="81">
        <f>Costs!HH36</f>
        <v>39900.000000000007</v>
      </c>
      <c r="HI35" s="81">
        <f>Costs!HI36</f>
        <v>39900.000000000007</v>
      </c>
      <c r="HJ35" s="81">
        <f>Costs!HJ36</f>
        <v>39900.000000000007</v>
      </c>
      <c r="HK35" s="81">
        <f>Costs!HK36</f>
        <v>39900.000000000007</v>
      </c>
      <c r="HL35" s="81">
        <f>Costs!HL36</f>
        <v>39900.000000000007</v>
      </c>
      <c r="HM35" s="81">
        <f>Costs!HM36</f>
        <v>39900.000000000007</v>
      </c>
      <c r="HN35" s="81">
        <f>Costs!HN36</f>
        <v>39900.000000000007</v>
      </c>
      <c r="HO35" s="81">
        <f>Costs!HO36</f>
        <v>39900.000000000007</v>
      </c>
      <c r="HP35" s="81">
        <f>Costs!HP36</f>
        <v>39900.000000000007</v>
      </c>
      <c r="HQ35" s="81">
        <f>Costs!HQ36</f>
        <v>39900.000000000007</v>
      </c>
      <c r="HR35" s="81">
        <f>Costs!HR36</f>
        <v>39900.000000000007</v>
      </c>
      <c r="HS35" s="81">
        <f>Costs!HS36</f>
        <v>39900.000000000007</v>
      </c>
      <c r="HT35" s="81">
        <f>Costs!HT36</f>
        <v>39900.000000000007</v>
      </c>
      <c r="HU35" s="81">
        <f>Costs!HU36</f>
        <v>39900.000000000007</v>
      </c>
      <c r="HV35" s="81">
        <f>Costs!HV36</f>
        <v>39900.000000000007</v>
      </c>
      <c r="HW35" s="81">
        <f>Costs!HW36</f>
        <v>39900.000000000007</v>
      </c>
      <c r="HX35" s="81">
        <f>Costs!HX36</f>
        <v>39900.000000000007</v>
      </c>
      <c r="HY35" s="81">
        <f>Costs!HY36</f>
        <v>39900.000000000007</v>
      </c>
      <c r="HZ35" s="81">
        <f>Costs!HZ36</f>
        <v>39900.000000000007</v>
      </c>
      <c r="IA35" s="81">
        <f>Costs!IA36</f>
        <v>39900.000000000007</v>
      </c>
      <c r="IB35" s="81">
        <f>Costs!IB36</f>
        <v>39900.000000000007</v>
      </c>
      <c r="IC35" s="81">
        <f>Costs!IC36</f>
        <v>39900.000000000007</v>
      </c>
      <c r="ID35" s="81">
        <f>Costs!ID36</f>
        <v>39900.000000000007</v>
      </c>
      <c r="IE35" s="81">
        <f>Costs!IE36</f>
        <v>39900.000000000007</v>
      </c>
      <c r="IF35" s="81">
        <f>Costs!IF36</f>
        <v>39900.000000000007</v>
      </c>
      <c r="IG35" s="81">
        <f>Costs!IG36</f>
        <v>39900.000000000007</v>
      </c>
      <c r="IH35" s="81">
        <f>Costs!IH36</f>
        <v>39900.000000000007</v>
      </c>
    </row>
    <row r="36" spans="1:242" ht="14.65" thickBot="1" x14ac:dyDescent="0.5">
      <c r="A36" s="895" t="s">
        <v>236</v>
      </c>
      <c r="B36" s="896"/>
      <c r="C36" s="82">
        <f>Costs!C37</f>
        <v>0</v>
      </c>
      <c r="D36" s="82">
        <f>Costs!D37</f>
        <v>0</v>
      </c>
      <c r="E36" s="82">
        <f>Costs!E37</f>
        <v>0</v>
      </c>
      <c r="F36" s="82">
        <f>Costs!F37</f>
        <v>0</v>
      </c>
      <c r="G36" s="82">
        <f>Costs!G37</f>
        <v>0</v>
      </c>
      <c r="H36" s="82">
        <f>Costs!H37</f>
        <v>0</v>
      </c>
      <c r="I36" s="82">
        <f>Costs!I37</f>
        <v>0</v>
      </c>
      <c r="J36" s="82">
        <f>Costs!J37</f>
        <v>0</v>
      </c>
      <c r="K36" s="82">
        <f>Costs!K37</f>
        <v>0</v>
      </c>
      <c r="L36" s="82">
        <f>Costs!L37</f>
        <v>0</v>
      </c>
      <c r="M36" s="82">
        <f>Costs!M37</f>
        <v>0</v>
      </c>
      <c r="N36" s="82">
        <f>Costs!N37</f>
        <v>0</v>
      </c>
      <c r="O36" s="82">
        <f>Costs!O37</f>
        <v>0</v>
      </c>
      <c r="P36" s="82">
        <f>Costs!P37</f>
        <v>0</v>
      </c>
      <c r="Q36" s="82">
        <f>Costs!Q37</f>
        <v>0</v>
      </c>
      <c r="R36" s="82">
        <f>Costs!R37</f>
        <v>0</v>
      </c>
      <c r="S36" s="82">
        <f>Costs!S37</f>
        <v>0</v>
      </c>
      <c r="T36" s="82">
        <f>Costs!T37</f>
        <v>0</v>
      </c>
      <c r="U36" s="82">
        <f>Costs!U37</f>
        <v>0</v>
      </c>
      <c r="V36" s="82">
        <f>Costs!V37</f>
        <v>0</v>
      </c>
      <c r="W36" s="82">
        <f>Costs!W37</f>
        <v>0</v>
      </c>
      <c r="X36" s="82">
        <f>Costs!X37</f>
        <v>0</v>
      </c>
      <c r="Y36" s="82">
        <f>Costs!Y37</f>
        <v>0</v>
      </c>
      <c r="Z36" s="82">
        <f>Costs!Z37</f>
        <v>0</v>
      </c>
      <c r="AA36" s="82">
        <f>Costs!AA37</f>
        <v>0</v>
      </c>
      <c r="AB36" s="82">
        <f>Costs!AB37</f>
        <v>0</v>
      </c>
      <c r="AC36" s="82">
        <f>Costs!AC37</f>
        <v>0</v>
      </c>
      <c r="AD36" s="82">
        <f>Costs!AD37</f>
        <v>0</v>
      </c>
      <c r="AE36" s="82">
        <f>Costs!AE37</f>
        <v>0</v>
      </c>
      <c r="AF36" s="82">
        <f>Costs!AF37</f>
        <v>0</v>
      </c>
      <c r="AG36" s="82">
        <f>Costs!AG37</f>
        <v>0</v>
      </c>
      <c r="AH36" s="82">
        <f>Costs!AH37</f>
        <v>0</v>
      </c>
      <c r="AI36" s="82">
        <f>Costs!AI37</f>
        <v>0</v>
      </c>
      <c r="AJ36" s="82">
        <f>Costs!AJ37</f>
        <v>0</v>
      </c>
      <c r="AK36" s="82">
        <f>Costs!AK37</f>
        <v>0</v>
      </c>
      <c r="AL36" s="82">
        <f>Costs!AL37</f>
        <v>0</v>
      </c>
      <c r="AM36" s="82">
        <f>Costs!AM37</f>
        <v>0</v>
      </c>
      <c r="AN36" s="82">
        <f>Costs!AN37</f>
        <v>0</v>
      </c>
      <c r="AO36" s="82">
        <f>Costs!AO37</f>
        <v>0</v>
      </c>
      <c r="AP36" s="82">
        <f>Costs!AP37</f>
        <v>0</v>
      </c>
      <c r="AQ36" s="82">
        <f>Costs!AQ37</f>
        <v>0</v>
      </c>
      <c r="AR36" s="82">
        <f>Costs!AR37</f>
        <v>0</v>
      </c>
      <c r="AS36" s="82">
        <f>Costs!AS37</f>
        <v>0</v>
      </c>
      <c r="AT36" s="82">
        <f>Costs!AT37</f>
        <v>0</v>
      </c>
      <c r="AU36" s="82">
        <f>Costs!AU37</f>
        <v>0</v>
      </c>
      <c r="AV36" s="82">
        <f>Costs!AV37</f>
        <v>0</v>
      </c>
      <c r="AW36" s="82">
        <f>Costs!AW37</f>
        <v>0</v>
      </c>
      <c r="AX36" s="82">
        <f>Costs!AX37</f>
        <v>0</v>
      </c>
      <c r="AY36" s="82">
        <f>Costs!AY37</f>
        <v>0</v>
      </c>
      <c r="AZ36" s="82">
        <f>Costs!AZ37</f>
        <v>0</v>
      </c>
      <c r="BA36" s="82">
        <f>Costs!BA37</f>
        <v>0</v>
      </c>
      <c r="BB36" s="82">
        <f>Costs!BB37</f>
        <v>0</v>
      </c>
      <c r="BC36" s="82">
        <f>Costs!BC37</f>
        <v>0</v>
      </c>
      <c r="BD36" s="82">
        <f>Costs!BD37</f>
        <v>0</v>
      </c>
      <c r="BE36" s="82">
        <f>Costs!BE37</f>
        <v>0</v>
      </c>
      <c r="BF36" s="82">
        <f>Costs!BF37</f>
        <v>0</v>
      </c>
      <c r="BG36" s="82">
        <f>Costs!BG37</f>
        <v>0</v>
      </c>
      <c r="BH36" s="82">
        <f>Costs!BH37</f>
        <v>0</v>
      </c>
      <c r="BI36" s="82">
        <f>Costs!BI37</f>
        <v>0</v>
      </c>
      <c r="BJ36" s="82">
        <f>Costs!BJ37</f>
        <v>0</v>
      </c>
      <c r="BK36" s="82">
        <f>Costs!BK37</f>
        <v>0</v>
      </c>
      <c r="BL36" s="82">
        <f>Costs!BL37</f>
        <v>0</v>
      </c>
      <c r="BM36" s="82">
        <f>Costs!BM37</f>
        <v>0</v>
      </c>
      <c r="BN36" s="82">
        <f>Costs!BN37</f>
        <v>0</v>
      </c>
      <c r="BO36" s="82">
        <f>Costs!BO37</f>
        <v>0</v>
      </c>
      <c r="BP36" s="82">
        <f>Costs!BP37</f>
        <v>0</v>
      </c>
      <c r="BQ36" s="82">
        <f>Costs!BQ37</f>
        <v>0</v>
      </c>
      <c r="BR36" s="82">
        <f>Costs!BR37</f>
        <v>0</v>
      </c>
      <c r="BS36" s="82">
        <f>Costs!BS37</f>
        <v>0</v>
      </c>
      <c r="BT36" s="82">
        <f>Costs!BT37</f>
        <v>0</v>
      </c>
      <c r="BU36" s="82">
        <f>Costs!BU37</f>
        <v>0</v>
      </c>
      <c r="BV36" s="82">
        <f>Costs!BV37</f>
        <v>0</v>
      </c>
      <c r="BW36" s="82">
        <f>Costs!BW37</f>
        <v>0</v>
      </c>
      <c r="BX36" s="82">
        <f>Costs!BX37</f>
        <v>0</v>
      </c>
      <c r="BY36" s="82">
        <f>Costs!BY37</f>
        <v>0</v>
      </c>
      <c r="BZ36" s="82">
        <f>Costs!BZ37</f>
        <v>0</v>
      </c>
      <c r="CA36" s="82">
        <f>Costs!CA37</f>
        <v>0</v>
      </c>
      <c r="CB36" s="82">
        <f>Costs!CB37</f>
        <v>0</v>
      </c>
      <c r="CC36" s="82">
        <f>Costs!CC37</f>
        <v>0</v>
      </c>
      <c r="CD36" s="82">
        <f>Costs!CD37</f>
        <v>0</v>
      </c>
      <c r="CE36" s="82">
        <f>Costs!CE37</f>
        <v>0</v>
      </c>
      <c r="CF36" s="82">
        <f>Costs!CF37</f>
        <v>0</v>
      </c>
      <c r="CG36" s="82">
        <f>Costs!CG37</f>
        <v>0</v>
      </c>
      <c r="CH36" s="82">
        <f>Costs!CH37</f>
        <v>0</v>
      </c>
      <c r="CI36" s="82">
        <f>Costs!CI37</f>
        <v>0</v>
      </c>
      <c r="CJ36" s="82">
        <f>Costs!CJ37</f>
        <v>0</v>
      </c>
      <c r="CK36" s="82">
        <f>Costs!CK37</f>
        <v>0</v>
      </c>
      <c r="CL36" s="82">
        <f>Costs!CL37</f>
        <v>0</v>
      </c>
      <c r="CM36" s="82">
        <f>Costs!CM37</f>
        <v>0</v>
      </c>
      <c r="CN36" s="82">
        <f>Costs!CN37</f>
        <v>0</v>
      </c>
      <c r="CO36" s="82">
        <f>Costs!CO37</f>
        <v>0</v>
      </c>
      <c r="CP36" s="82">
        <f>Costs!CP37</f>
        <v>0</v>
      </c>
      <c r="CQ36" s="82">
        <f>Costs!CQ37</f>
        <v>0</v>
      </c>
      <c r="CR36" s="82">
        <f>Costs!CR37</f>
        <v>0</v>
      </c>
      <c r="CS36" s="82">
        <f>Costs!CS37</f>
        <v>0</v>
      </c>
      <c r="CT36" s="82">
        <f>Costs!CT37</f>
        <v>0</v>
      </c>
      <c r="CU36" s="82">
        <f>Costs!CU37</f>
        <v>0</v>
      </c>
      <c r="CV36" s="82">
        <f>Costs!CV37</f>
        <v>0</v>
      </c>
      <c r="CW36" s="82">
        <f>Costs!CW37</f>
        <v>0</v>
      </c>
      <c r="CX36" s="82">
        <f>Costs!CX37</f>
        <v>0</v>
      </c>
      <c r="CY36" s="82">
        <f>Costs!CY37</f>
        <v>0</v>
      </c>
      <c r="CZ36" s="82">
        <f>Costs!CZ37</f>
        <v>0</v>
      </c>
      <c r="DA36" s="82">
        <f>Costs!DA37</f>
        <v>0</v>
      </c>
      <c r="DB36" s="82">
        <f>Costs!DB37</f>
        <v>0</v>
      </c>
      <c r="DC36" s="82">
        <f>Costs!DC37</f>
        <v>0</v>
      </c>
      <c r="DD36" s="82">
        <f>Costs!DD37</f>
        <v>0</v>
      </c>
      <c r="DE36" s="82">
        <f>Costs!DE37</f>
        <v>0</v>
      </c>
      <c r="DF36" s="82">
        <f>Costs!DF37</f>
        <v>0</v>
      </c>
      <c r="DG36" s="82">
        <f>Costs!DG37</f>
        <v>0</v>
      </c>
      <c r="DH36" s="82">
        <f>Costs!DH37</f>
        <v>0</v>
      </c>
      <c r="DI36" s="82">
        <f>Costs!DI37</f>
        <v>0</v>
      </c>
      <c r="DJ36" s="82">
        <f>Costs!DJ37</f>
        <v>0</v>
      </c>
      <c r="DK36" s="82">
        <f>Costs!DK37</f>
        <v>0</v>
      </c>
      <c r="DL36" s="82">
        <f>Costs!DL37</f>
        <v>0</v>
      </c>
      <c r="DM36" s="82">
        <f>Costs!DM37</f>
        <v>0</v>
      </c>
      <c r="DN36" s="82">
        <f>Costs!DN37</f>
        <v>0</v>
      </c>
      <c r="DO36" s="82">
        <f>Costs!DO37</f>
        <v>0</v>
      </c>
      <c r="DP36" s="82">
        <f>Costs!DP37</f>
        <v>0</v>
      </c>
      <c r="DQ36" s="82">
        <f>Costs!DQ37</f>
        <v>0</v>
      </c>
      <c r="DR36" s="82">
        <f>Costs!DR37</f>
        <v>0</v>
      </c>
      <c r="DS36" s="82">
        <f>Costs!DS37</f>
        <v>0</v>
      </c>
      <c r="DT36" s="82">
        <f>Costs!DT37</f>
        <v>0</v>
      </c>
      <c r="DU36" s="82">
        <f>Costs!DU37</f>
        <v>0</v>
      </c>
      <c r="DV36" s="82">
        <f>Costs!DV37</f>
        <v>0</v>
      </c>
      <c r="DW36" s="82">
        <f>Costs!DW37</f>
        <v>0</v>
      </c>
      <c r="DX36" s="82">
        <f>Costs!DX37</f>
        <v>0</v>
      </c>
      <c r="DY36" s="82">
        <f>Costs!DY37</f>
        <v>0</v>
      </c>
      <c r="DZ36" s="82">
        <f>Costs!DZ37</f>
        <v>0</v>
      </c>
      <c r="EA36" s="82">
        <f>Costs!EA37</f>
        <v>0</v>
      </c>
      <c r="EB36" s="82">
        <f>Costs!EB37</f>
        <v>0</v>
      </c>
      <c r="EC36" s="82">
        <f>Costs!EC37</f>
        <v>0</v>
      </c>
      <c r="ED36" s="82">
        <f>Costs!ED37</f>
        <v>0</v>
      </c>
      <c r="EE36" s="82">
        <f>Costs!EE37</f>
        <v>0</v>
      </c>
      <c r="EF36" s="82">
        <f>Costs!EF37</f>
        <v>0</v>
      </c>
      <c r="EG36" s="82">
        <f>Costs!EG37</f>
        <v>0</v>
      </c>
      <c r="EH36" s="82">
        <f>Costs!EH37</f>
        <v>0</v>
      </c>
      <c r="EI36" s="82">
        <f>Costs!EI37</f>
        <v>0</v>
      </c>
      <c r="EJ36" s="82">
        <f>Costs!EJ37</f>
        <v>0</v>
      </c>
      <c r="EK36" s="82">
        <f>Costs!EK37</f>
        <v>0</v>
      </c>
      <c r="EL36" s="82">
        <f>Costs!EL37</f>
        <v>0</v>
      </c>
      <c r="EM36" s="82">
        <f>Costs!EM37</f>
        <v>0</v>
      </c>
      <c r="EN36" s="82">
        <f>Costs!EN37</f>
        <v>0</v>
      </c>
      <c r="EO36" s="82">
        <f>Costs!EO37</f>
        <v>0</v>
      </c>
      <c r="EP36" s="82">
        <f>Costs!EP37</f>
        <v>0</v>
      </c>
      <c r="EQ36" s="82">
        <f>Costs!EQ37</f>
        <v>0</v>
      </c>
      <c r="ER36" s="82">
        <f>Costs!ER37</f>
        <v>0</v>
      </c>
      <c r="ES36" s="82">
        <f>Costs!ES37</f>
        <v>0</v>
      </c>
      <c r="ET36" s="82">
        <f>Costs!ET37</f>
        <v>0</v>
      </c>
      <c r="EU36" s="82">
        <f>Costs!EU37</f>
        <v>0</v>
      </c>
      <c r="EV36" s="82">
        <f>Costs!EV37</f>
        <v>0</v>
      </c>
      <c r="EW36" s="82">
        <f>Costs!EW37</f>
        <v>0</v>
      </c>
      <c r="EX36" s="82">
        <f>Costs!EX37</f>
        <v>0</v>
      </c>
      <c r="EY36" s="82">
        <f>Costs!EY37</f>
        <v>0</v>
      </c>
      <c r="EZ36" s="82">
        <f>Costs!EZ37</f>
        <v>0</v>
      </c>
      <c r="FA36" s="82">
        <f>Costs!FA37</f>
        <v>0</v>
      </c>
      <c r="FB36" s="82">
        <f>Costs!FB37</f>
        <v>0</v>
      </c>
      <c r="FC36" s="82">
        <f>Costs!FC37</f>
        <v>0</v>
      </c>
      <c r="FD36" s="82">
        <f>Costs!FD37</f>
        <v>0</v>
      </c>
      <c r="FE36" s="82">
        <f>Costs!FE37</f>
        <v>0</v>
      </c>
      <c r="FF36" s="82">
        <f>Costs!FF37</f>
        <v>0</v>
      </c>
      <c r="FG36" s="82">
        <f>Costs!FG37</f>
        <v>0</v>
      </c>
      <c r="FH36" s="82">
        <f>Costs!FH37</f>
        <v>0</v>
      </c>
      <c r="FI36" s="82">
        <f>Costs!FI37</f>
        <v>0</v>
      </c>
      <c r="FJ36" s="82">
        <f>Costs!FJ37</f>
        <v>0</v>
      </c>
      <c r="FK36" s="82">
        <f>Costs!FK37</f>
        <v>0</v>
      </c>
      <c r="FL36" s="82">
        <f>Costs!FL37</f>
        <v>0</v>
      </c>
      <c r="FM36" s="82">
        <f>Costs!FM37</f>
        <v>0</v>
      </c>
      <c r="FN36" s="82">
        <f>Costs!FN37</f>
        <v>0</v>
      </c>
      <c r="FO36" s="82">
        <f>Costs!FO37</f>
        <v>0</v>
      </c>
      <c r="FP36" s="82">
        <f>Costs!FP37</f>
        <v>0</v>
      </c>
      <c r="FQ36" s="82">
        <f>Costs!FQ37</f>
        <v>0</v>
      </c>
      <c r="FR36" s="82">
        <f>Costs!FR37</f>
        <v>0</v>
      </c>
      <c r="FS36" s="82">
        <f>Costs!FS37</f>
        <v>0</v>
      </c>
      <c r="FT36" s="82">
        <f>Costs!FT37</f>
        <v>0</v>
      </c>
      <c r="FU36" s="82">
        <f>Costs!FU37</f>
        <v>0</v>
      </c>
      <c r="FV36" s="82">
        <f>Costs!FV37</f>
        <v>0</v>
      </c>
      <c r="FW36" s="82">
        <f>Costs!FW37</f>
        <v>0</v>
      </c>
      <c r="FX36" s="82">
        <f>Costs!FX37</f>
        <v>0</v>
      </c>
      <c r="FY36" s="82">
        <f>Costs!FY37</f>
        <v>0</v>
      </c>
      <c r="FZ36" s="82">
        <f>Costs!FZ37</f>
        <v>0</v>
      </c>
      <c r="GA36" s="82">
        <f>Costs!GA37</f>
        <v>0</v>
      </c>
      <c r="GB36" s="82">
        <f>Costs!GB37</f>
        <v>0</v>
      </c>
      <c r="GC36" s="82">
        <f>Costs!GC37</f>
        <v>0</v>
      </c>
      <c r="GD36" s="82">
        <f>Costs!GD37</f>
        <v>0</v>
      </c>
      <c r="GE36" s="82">
        <f>Costs!GE37</f>
        <v>0</v>
      </c>
      <c r="GF36" s="82">
        <f>Costs!GF37</f>
        <v>0</v>
      </c>
      <c r="GG36" s="82">
        <f>Costs!GG37</f>
        <v>0</v>
      </c>
      <c r="GH36" s="82">
        <f>Costs!GH37</f>
        <v>0</v>
      </c>
      <c r="GI36" s="82">
        <f>Costs!GI37</f>
        <v>0</v>
      </c>
      <c r="GJ36" s="82">
        <f>Costs!GJ37</f>
        <v>0</v>
      </c>
      <c r="GK36" s="82">
        <f>Costs!GK37</f>
        <v>0</v>
      </c>
      <c r="GL36" s="82">
        <f>Costs!GL37</f>
        <v>0</v>
      </c>
      <c r="GM36" s="82">
        <f>Costs!GM37</f>
        <v>0</v>
      </c>
      <c r="GN36" s="82">
        <f>Costs!GN37</f>
        <v>0</v>
      </c>
      <c r="GO36" s="82">
        <f>Costs!GO37</f>
        <v>0</v>
      </c>
      <c r="GP36" s="82">
        <f>Costs!GP37</f>
        <v>0</v>
      </c>
      <c r="GQ36" s="82">
        <f>Costs!GQ37</f>
        <v>0</v>
      </c>
      <c r="GR36" s="82">
        <f>Costs!GR37</f>
        <v>0</v>
      </c>
      <c r="GS36" s="82">
        <f>Costs!GS37</f>
        <v>0</v>
      </c>
      <c r="GT36" s="82">
        <f>Costs!GT37</f>
        <v>0</v>
      </c>
      <c r="GU36" s="82">
        <f>Costs!GU37</f>
        <v>0</v>
      </c>
      <c r="GV36" s="82">
        <f>Costs!GV37</f>
        <v>0</v>
      </c>
      <c r="GW36" s="82">
        <f>Costs!GW37</f>
        <v>0</v>
      </c>
      <c r="GX36" s="82">
        <f>Costs!GX37</f>
        <v>0</v>
      </c>
      <c r="GY36" s="82">
        <f>Costs!GY37</f>
        <v>0</v>
      </c>
      <c r="GZ36" s="82">
        <f>Costs!GZ37</f>
        <v>0</v>
      </c>
      <c r="HA36" s="82">
        <f>Costs!HA37</f>
        <v>0</v>
      </c>
      <c r="HB36" s="82">
        <f>Costs!HB37</f>
        <v>0</v>
      </c>
      <c r="HC36" s="82">
        <f>Costs!HC37</f>
        <v>0</v>
      </c>
      <c r="HD36" s="82">
        <f>Costs!HD37</f>
        <v>0</v>
      </c>
      <c r="HE36" s="82">
        <f>Costs!HE37</f>
        <v>0</v>
      </c>
      <c r="HF36" s="82">
        <f>Costs!HF37</f>
        <v>0</v>
      </c>
      <c r="HG36" s="82">
        <f>Costs!HG37</f>
        <v>0</v>
      </c>
      <c r="HH36" s="82">
        <f>Costs!HH37</f>
        <v>0</v>
      </c>
      <c r="HI36" s="82">
        <f>Costs!HI37</f>
        <v>0</v>
      </c>
      <c r="HJ36" s="82">
        <f>Costs!HJ37</f>
        <v>0</v>
      </c>
      <c r="HK36" s="82">
        <f>Costs!HK37</f>
        <v>0</v>
      </c>
      <c r="HL36" s="82">
        <f>Costs!HL37</f>
        <v>0</v>
      </c>
      <c r="HM36" s="82">
        <f>Costs!HM37</f>
        <v>0</v>
      </c>
      <c r="HN36" s="82">
        <f>Costs!HN37</f>
        <v>0</v>
      </c>
      <c r="HO36" s="82">
        <f>Costs!HO37</f>
        <v>0</v>
      </c>
      <c r="HP36" s="82">
        <f>Costs!HP37</f>
        <v>0</v>
      </c>
      <c r="HQ36" s="82">
        <f>Costs!HQ37</f>
        <v>0</v>
      </c>
      <c r="HR36" s="82">
        <f>Costs!HR37</f>
        <v>0</v>
      </c>
      <c r="HS36" s="82">
        <f>Costs!HS37</f>
        <v>0</v>
      </c>
      <c r="HT36" s="82">
        <f>Costs!HT37</f>
        <v>0</v>
      </c>
      <c r="HU36" s="82">
        <f>Costs!HU37</f>
        <v>0</v>
      </c>
      <c r="HV36" s="82">
        <f>Costs!HV37</f>
        <v>0</v>
      </c>
      <c r="HW36" s="82">
        <f>Costs!HW37</f>
        <v>0</v>
      </c>
      <c r="HX36" s="82">
        <f>Costs!HX37</f>
        <v>0</v>
      </c>
      <c r="HY36" s="82">
        <f>Costs!HY37</f>
        <v>0</v>
      </c>
      <c r="HZ36" s="82">
        <f>Costs!HZ37</f>
        <v>0</v>
      </c>
      <c r="IA36" s="82">
        <f>Costs!IA37</f>
        <v>0</v>
      </c>
      <c r="IB36" s="82">
        <f>Costs!IB37</f>
        <v>0</v>
      </c>
      <c r="IC36" s="82">
        <f>Costs!IC37</f>
        <v>0</v>
      </c>
      <c r="ID36" s="82">
        <f>Costs!ID37</f>
        <v>0</v>
      </c>
      <c r="IE36" s="82">
        <f>Costs!IE37</f>
        <v>0</v>
      </c>
      <c r="IF36" s="82">
        <f>Costs!IF37</f>
        <v>0</v>
      </c>
      <c r="IG36" s="82">
        <f>Costs!IG37</f>
        <v>0</v>
      </c>
      <c r="IH36" s="82">
        <f>Costs!IH37</f>
        <v>0</v>
      </c>
    </row>
    <row r="37" spans="1:242" ht="14.65" thickTop="1" x14ac:dyDescent="0.45">
      <c r="A37" s="77"/>
      <c r="B37" s="78"/>
      <c r="C37" s="85">
        <f>SUM(C19:C36)</f>
        <v>859101.199449974</v>
      </c>
      <c r="D37" s="85">
        <f t="shared" ref="D37:BO37" si="12">SUM(D19:D36)</f>
        <v>476601.199449974</v>
      </c>
      <c r="E37" s="85">
        <f t="shared" si="12"/>
        <v>476601.199449974</v>
      </c>
      <c r="F37" s="85">
        <f t="shared" si="12"/>
        <v>476601.199449974</v>
      </c>
      <c r="G37" s="85">
        <f t="shared" si="12"/>
        <v>476601.199449974</v>
      </c>
      <c r="H37" s="85">
        <f t="shared" si="12"/>
        <v>476601.199449974</v>
      </c>
      <c r="I37" s="85">
        <f t="shared" si="12"/>
        <v>476601.199449974</v>
      </c>
      <c r="J37" s="85">
        <f t="shared" si="12"/>
        <v>476601.199449974</v>
      </c>
      <c r="K37" s="85">
        <f t="shared" si="12"/>
        <v>476601.199449974</v>
      </c>
      <c r="L37" s="85">
        <f t="shared" si="12"/>
        <v>476601.199449974</v>
      </c>
      <c r="M37" s="85">
        <f t="shared" si="12"/>
        <v>476601.199449974</v>
      </c>
      <c r="N37" s="85">
        <f t="shared" si="12"/>
        <v>476601.199449974</v>
      </c>
      <c r="O37" s="85">
        <f t="shared" si="12"/>
        <v>616601.199449974</v>
      </c>
      <c r="P37" s="85">
        <f t="shared" si="12"/>
        <v>476601.199449974</v>
      </c>
      <c r="Q37" s="85">
        <f t="shared" si="12"/>
        <v>476601.199449974</v>
      </c>
      <c r="R37" s="85">
        <f t="shared" si="12"/>
        <v>476601.199449974</v>
      </c>
      <c r="S37" s="85">
        <f t="shared" si="12"/>
        <v>476601.199449974</v>
      </c>
      <c r="T37" s="85">
        <f t="shared" si="12"/>
        <v>476601.199449974</v>
      </c>
      <c r="U37" s="85">
        <f t="shared" si="12"/>
        <v>476601.199449974</v>
      </c>
      <c r="V37" s="85">
        <f t="shared" si="12"/>
        <v>476601.199449974</v>
      </c>
      <c r="W37" s="85">
        <f t="shared" si="12"/>
        <v>476601.199449974</v>
      </c>
      <c r="X37" s="85">
        <f t="shared" si="12"/>
        <v>476601.199449974</v>
      </c>
      <c r="Y37" s="85">
        <f t="shared" si="12"/>
        <v>476601.199449974</v>
      </c>
      <c r="Z37" s="85">
        <f t="shared" si="12"/>
        <v>476601.199449974</v>
      </c>
      <c r="AA37" s="85">
        <f t="shared" si="12"/>
        <v>1184803.5983499219</v>
      </c>
      <c r="AB37" s="85">
        <f t="shared" si="12"/>
        <v>1184803.5983499219</v>
      </c>
      <c r="AC37" s="85">
        <f t="shared" si="12"/>
        <v>1184803.5983499219</v>
      </c>
      <c r="AD37" s="85">
        <f t="shared" si="12"/>
        <v>1184803.5983499219</v>
      </c>
      <c r="AE37" s="85">
        <f t="shared" si="12"/>
        <v>1184803.5983499219</v>
      </c>
      <c r="AF37" s="85">
        <f t="shared" si="12"/>
        <v>1184803.5983499219</v>
      </c>
      <c r="AG37" s="85">
        <f t="shared" si="12"/>
        <v>1184803.5983499219</v>
      </c>
      <c r="AH37" s="85">
        <f t="shared" si="12"/>
        <v>1184803.5983499219</v>
      </c>
      <c r="AI37" s="85">
        <f t="shared" si="12"/>
        <v>1184803.5983499219</v>
      </c>
      <c r="AJ37" s="85">
        <f t="shared" si="12"/>
        <v>1184803.5983499219</v>
      </c>
      <c r="AK37" s="85">
        <f t="shared" si="12"/>
        <v>1184803.5983499219</v>
      </c>
      <c r="AL37" s="85">
        <f t="shared" si="12"/>
        <v>1184803.5983499219</v>
      </c>
      <c r="AM37" s="85">
        <f t="shared" si="12"/>
        <v>1184803.5983499219</v>
      </c>
      <c r="AN37" s="85">
        <f t="shared" si="12"/>
        <v>1184803.5983499219</v>
      </c>
      <c r="AO37" s="85">
        <f t="shared" si="12"/>
        <v>1184803.5983499219</v>
      </c>
      <c r="AP37" s="85">
        <f t="shared" si="12"/>
        <v>1184803.5983499219</v>
      </c>
      <c r="AQ37" s="85">
        <f t="shared" si="12"/>
        <v>1184803.5983499219</v>
      </c>
      <c r="AR37" s="85">
        <f t="shared" si="12"/>
        <v>1184803.5983499219</v>
      </c>
      <c r="AS37" s="85">
        <f t="shared" si="12"/>
        <v>1184803.5983499219</v>
      </c>
      <c r="AT37" s="85">
        <f t="shared" si="12"/>
        <v>1184803.5983499219</v>
      </c>
      <c r="AU37" s="85">
        <f t="shared" si="12"/>
        <v>1184803.5983499219</v>
      </c>
      <c r="AV37" s="85">
        <f t="shared" si="12"/>
        <v>1184803.5983499219</v>
      </c>
      <c r="AW37" s="85">
        <f t="shared" si="12"/>
        <v>1184803.5983499219</v>
      </c>
      <c r="AX37" s="85">
        <f t="shared" si="12"/>
        <v>1184803.5983499219</v>
      </c>
      <c r="AY37" s="85">
        <f t="shared" si="12"/>
        <v>1184803.5983499219</v>
      </c>
      <c r="AZ37" s="85">
        <f t="shared" si="12"/>
        <v>1184803.5983499219</v>
      </c>
      <c r="BA37" s="85">
        <f t="shared" si="12"/>
        <v>1184803.5983499219</v>
      </c>
      <c r="BB37" s="85">
        <f t="shared" si="12"/>
        <v>1184803.5983499219</v>
      </c>
      <c r="BC37" s="85">
        <f t="shared" si="12"/>
        <v>1184803.5983499219</v>
      </c>
      <c r="BD37" s="85">
        <f t="shared" si="12"/>
        <v>1184803.5983499219</v>
      </c>
      <c r="BE37" s="85">
        <f t="shared" si="12"/>
        <v>1184803.5983499219</v>
      </c>
      <c r="BF37" s="85">
        <f t="shared" si="12"/>
        <v>1184803.5983499219</v>
      </c>
      <c r="BG37" s="85">
        <f t="shared" si="12"/>
        <v>1184803.5983499219</v>
      </c>
      <c r="BH37" s="85">
        <f t="shared" si="12"/>
        <v>1184803.5983499219</v>
      </c>
      <c r="BI37" s="85">
        <f t="shared" si="12"/>
        <v>1184803.5983499219</v>
      </c>
      <c r="BJ37" s="85">
        <f t="shared" si="12"/>
        <v>1184803.5983499219</v>
      </c>
      <c r="BK37" s="85">
        <f t="shared" si="12"/>
        <v>1184803.5983499219</v>
      </c>
      <c r="BL37" s="85">
        <f t="shared" si="12"/>
        <v>1184803.5983499219</v>
      </c>
      <c r="BM37" s="85">
        <f t="shared" si="12"/>
        <v>1184803.5983499219</v>
      </c>
      <c r="BN37" s="85">
        <f t="shared" si="12"/>
        <v>1184803.5983499219</v>
      </c>
      <c r="BO37" s="85">
        <f t="shared" si="12"/>
        <v>1184803.5983499219</v>
      </c>
      <c r="BP37" s="85">
        <f t="shared" ref="BP37:EA37" si="13">SUM(BP19:BP36)</f>
        <v>1184803.5983499219</v>
      </c>
      <c r="BQ37" s="85">
        <f t="shared" si="13"/>
        <v>1184803.5983499219</v>
      </c>
      <c r="BR37" s="85">
        <f t="shared" si="13"/>
        <v>1184803.5983499219</v>
      </c>
      <c r="BS37" s="85">
        <f t="shared" si="13"/>
        <v>1184803.5983499219</v>
      </c>
      <c r="BT37" s="85">
        <f t="shared" si="13"/>
        <v>1184803.5983499219</v>
      </c>
      <c r="BU37" s="85">
        <f t="shared" si="13"/>
        <v>1184803.5983499219</v>
      </c>
      <c r="BV37" s="85">
        <f t="shared" si="13"/>
        <v>1184803.5983499219</v>
      </c>
      <c r="BW37" s="85">
        <f t="shared" si="13"/>
        <v>1576404.797799896</v>
      </c>
      <c r="BX37" s="85">
        <f t="shared" si="13"/>
        <v>1576404.797799896</v>
      </c>
      <c r="BY37" s="85">
        <f t="shared" si="13"/>
        <v>1576404.797799896</v>
      </c>
      <c r="BZ37" s="85">
        <f t="shared" si="13"/>
        <v>1576404.797799896</v>
      </c>
      <c r="CA37" s="85">
        <f t="shared" si="13"/>
        <v>1576404.797799896</v>
      </c>
      <c r="CB37" s="85">
        <f t="shared" si="13"/>
        <v>1576404.797799896</v>
      </c>
      <c r="CC37" s="85">
        <f t="shared" si="13"/>
        <v>1576404.797799896</v>
      </c>
      <c r="CD37" s="85">
        <f t="shared" si="13"/>
        <v>1576404.797799896</v>
      </c>
      <c r="CE37" s="85">
        <f t="shared" si="13"/>
        <v>1576404.797799896</v>
      </c>
      <c r="CF37" s="85">
        <f t="shared" si="13"/>
        <v>1576404.797799896</v>
      </c>
      <c r="CG37" s="85">
        <f t="shared" si="13"/>
        <v>1576404.797799896</v>
      </c>
      <c r="CH37" s="85">
        <f t="shared" si="13"/>
        <v>1576404.797799896</v>
      </c>
      <c r="CI37" s="85">
        <f t="shared" si="13"/>
        <v>1576404.797799896</v>
      </c>
      <c r="CJ37" s="85">
        <f t="shared" si="13"/>
        <v>1576404.797799896</v>
      </c>
      <c r="CK37" s="85">
        <f t="shared" si="13"/>
        <v>1576404.797799896</v>
      </c>
      <c r="CL37" s="85">
        <f t="shared" si="13"/>
        <v>1576404.797799896</v>
      </c>
      <c r="CM37" s="85">
        <f t="shared" si="13"/>
        <v>1576404.797799896</v>
      </c>
      <c r="CN37" s="85">
        <f t="shared" si="13"/>
        <v>1623396.9417338928</v>
      </c>
      <c r="CO37" s="85">
        <f t="shared" si="13"/>
        <v>1623396.9417338928</v>
      </c>
      <c r="CP37" s="85">
        <f t="shared" si="13"/>
        <v>1623396.9417338928</v>
      </c>
      <c r="CQ37" s="85">
        <f t="shared" si="13"/>
        <v>1623396.9417338928</v>
      </c>
      <c r="CR37" s="85">
        <f t="shared" si="13"/>
        <v>1623396.9417338928</v>
      </c>
      <c r="CS37" s="85">
        <f t="shared" si="13"/>
        <v>1623396.9417338928</v>
      </c>
      <c r="CT37" s="85">
        <f t="shared" si="13"/>
        <v>1623396.9417338928</v>
      </c>
      <c r="CU37" s="85">
        <f t="shared" si="13"/>
        <v>1670389.0856678898</v>
      </c>
      <c r="CV37" s="85">
        <f t="shared" si="13"/>
        <v>1670389.0856678898</v>
      </c>
      <c r="CW37" s="85">
        <f t="shared" si="13"/>
        <v>1670389.0856678898</v>
      </c>
      <c r="CX37" s="85">
        <f t="shared" si="13"/>
        <v>1670389.0856678898</v>
      </c>
      <c r="CY37" s="85">
        <f t="shared" si="13"/>
        <v>1670389.0856678898</v>
      </c>
      <c r="CZ37" s="85">
        <f t="shared" si="13"/>
        <v>1670389.0856678898</v>
      </c>
      <c r="DA37" s="85">
        <f t="shared" si="13"/>
        <v>1670389.0856678898</v>
      </c>
      <c r="DB37" s="85">
        <f t="shared" si="13"/>
        <v>1670389.0856678898</v>
      </c>
      <c r="DC37" s="85">
        <f t="shared" si="13"/>
        <v>1670389.0856678898</v>
      </c>
      <c r="DD37" s="85">
        <f t="shared" si="13"/>
        <v>1670389.0856678898</v>
      </c>
      <c r="DE37" s="85">
        <f t="shared" si="13"/>
        <v>1670389.0856678898</v>
      </c>
      <c r="DF37" s="85">
        <f t="shared" si="13"/>
        <v>1670389.0856678898</v>
      </c>
      <c r="DG37" s="85">
        <f t="shared" si="13"/>
        <v>1717381.2296018864</v>
      </c>
      <c r="DH37" s="85">
        <f t="shared" si="13"/>
        <v>1717381.2296018864</v>
      </c>
      <c r="DI37" s="85">
        <f t="shared" si="13"/>
        <v>1717381.2296018864</v>
      </c>
      <c r="DJ37" s="85">
        <f t="shared" si="13"/>
        <v>1717381.2296018864</v>
      </c>
      <c r="DK37" s="85">
        <f t="shared" si="13"/>
        <v>1717381.2296018864</v>
      </c>
      <c r="DL37" s="85">
        <f t="shared" si="13"/>
        <v>1717381.2296018864</v>
      </c>
      <c r="DM37" s="85">
        <f t="shared" si="13"/>
        <v>1717381.2296018864</v>
      </c>
      <c r="DN37" s="85">
        <f t="shared" si="13"/>
        <v>1717381.2296018864</v>
      </c>
      <c r="DO37" s="85">
        <f t="shared" si="13"/>
        <v>1717381.2296018864</v>
      </c>
      <c r="DP37" s="85">
        <f t="shared" si="13"/>
        <v>1717381.2296018864</v>
      </c>
      <c r="DQ37" s="85">
        <f t="shared" si="13"/>
        <v>1717381.2296018864</v>
      </c>
      <c r="DR37" s="85">
        <f t="shared" si="13"/>
        <v>1717381.2296018864</v>
      </c>
      <c r="DS37" s="85">
        <f t="shared" si="13"/>
        <v>1764373.3735358836</v>
      </c>
      <c r="DT37" s="85">
        <f t="shared" si="13"/>
        <v>1764373.3735358836</v>
      </c>
      <c r="DU37" s="85">
        <f t="shared" si="13"/>
        <v>1764373.3735358836</v>
      </c>
      <c r="DV37" s="85">
        <f t="shared" si="13"/>
        <v>1764373.3735358836</v>
      </c>
      <c r="DW37" s="85">
        <f t="shared" si="13"/>
        <v>1764373.3735358836</v>
      </c>
      <c r="DX37" s="85">
        <f t="shared" si="13"/>
        <v>1764373.3735358836</v>
      </c>
      <c r="DY37" s="85">
        <f t="shared" si="13"/>
        <v>1764373.3735358836</v>
      </c>
      <c r="DZ37" s="85">
        <f t="shared" si="13"/>
        <v>1764373.3735358836</v>
      </c>
      <c r="EA37" s="85">
        <f t="shared" si="13"/>
        <v>1764373.3735358836</v>
      </c>
      <c r="EB37" s="85">
        <f t="shared" ref="EB37:GI37" si="14">SUM(EB19:EB36)</f>
        <v>1764373.3735358836</v>
      </c>
      <c r="EC37" s="85">
        <f t="shared" si="14"/>
        <v>1764373.3735358836</v>
      </c>
      <c r="ED37" s="85">
        <f t="shared" si="14"/>
        <v>1764373.3735358836</v>
      </c>
      <c r="EE37" s="85">
        <f t="shared" si="14"/>
        <v>1811365.5174698804</v>
      </c>
      <c r="EF37" s="85">
        <f t="shared" si="14"/>
        <v>1811365.5174698804</v>
      </c>
      <c r="EG37" s="85">
        <f t="shared" si="14"/>
        <v>1811365.5174698804</v>
      </c>
      <c r="EH37" s="85">
        <f t="shared" si="14"/>
        <v>1811365.5174698804</v>
      </c>
      <c r="EI37" s="85">
        <f t="shared" si="14"/>
        <v>1811365.5174698804</v>
      </c>
      <c r="EJ37" s="85">
        <f t="shared" si="14"/>
        <v>1811365.5174698804</v>
      </c>
      <c r="EK37" s="85">
        <f t="shared" si="14"/>
        <v>1811365.5174698804</v>
      </c>
      <c r="EL37" s="85">
        <f t="shared" si="14"/>
        <v>1811365.5174698804</v>
      </c>
      <c r="EM37" s="85">
        <f t="shared" si="14"/>
        <v>1811365.5174698804</v>
      </c>
      <c r="EN37" s="85">
        <f t="shared" si="14"/>
        <v>1811365.5174698804</v>
      </c>
      <c r="EO37" s="85">
        <f t="shared" si="14"/>
        <v>1811365.5174698804</v>
      </c>
      <c r="EP37" s="85">
        <f t="shared" si="14"/>
        <v>1811365.5174698804</v>
      </c>
      <c r="EQ37" s="85">
        <f t="shared" si="14"/>
        <v>1858357.6614038774</v>
      </c>
      <c r="ER37" s="85">
        <f t="shared" si="14"/>
        <v>1858357.6614038774</v>
      </c>
      <c r="ES37" s="85">
        <f t="shared" si="14"/>
        <v>1858357.6614038774</v>
      </c>
      <c r="ET37" s="85">
        <f t="shared" si="14"/>
        <v>1858357.6614038774</v>
      </c>
      <c r="EU37" s="85">
        <f t="shared" si="14"/>
        <v>1858357.6614038774</v>
      </c>
      <c r="EV37" s="85">
        <f t="shared" si="14"/>
        <v>1858357.6614038774</v>
      </c>
      <c r="EW37" s="85">
        <f t="shared" si="14"/>
        <v>1858357.6614038774</v>
      </c>
      <c r="EX37" s="85">
        <f t="shared" si="14"/>
        <v>1858357.6614038774</v>
      </c>
      <c r="EY37" s="85">
        <f t="shared" si="14"/>
        <v>1858357.6614038774</v>
      </c>
      <c r="EZ37" s="85">
        <f t="shared" si="14"/>
        <v>1858357.6614038774</v>
      </c>
      <c r="FA37" s="85">
        <f t="shared" si="14"/>
        <v>1858357.6614038774</v>
      </c>
      <c r="FB37" s="85">
        <f t="shared" si="14"/>
        <v>1858357.6614038774</v>
      </c>
      <c r="FC37" s="85">
        <f t="shared" si="14"/>
        <v>1905349.8053378742</v>
      </c>
      <c r="FD37" s="85">
        <f t="shared" si="14"/>
        <v>1905349.8053378742</v>
      </c>
      <c r="FE37" s="85">
        <f t="shared" si="14"/>
        <v>1905349.8053378742</v>
      </c>
      <c r="FF37" s="85">
        <f t="shared" si="14"/>
        <v>1905349.8053378742</v>
      </c>
      <c r="FG37" s="85">
        <f t="shared" si="14"/>
        <v>1905349.8053378742</v>
      </c>
      <c r="FH37" s="85">
        <f t="shared" si="14"/>
        <v>1905349.8053378742</v>
      </c>
      <c r="FI37" s="85">
        <f t="shared" si="14"/>
        <v>1905349.8053378742</v>
      </c>
      <c r="FJ37" s="85">
        <f t="shared" si="14"/>
        <v>1905349.8053378742</v>
      </c>
      <c r="FK37" s="85">
        <f t="shared" si="14"/>
        <v>1905349.8053378742</v>
      </c>
      <c r="FL37" s="85">
        <f t="shared" si="14"/>
        <v>1905349.8053378742</v>
      </c>
      <c r="FM37" s="85">
        <f t="shared" si="14"/>
        <v>1905349.8053378742</v>
      </c>
      <c r="FN37" s="85">
        <f t="shared" si="14"/>
        <v>1905349.8053378742</v>
      </c>
      <c r="FO37" s="85">
        <f t="shared" si="14"/>
        <v>1952341.949271871</v>
      </c>
      <c r="FP37" s="85">
        <f t="shared" si="14"/>
        <v>1952341.949271871</v>
      </c>
      <c r="FQ37" s="85">
        <f t="shared" si="14"/>
        <v>1952341.949271871</v>
      </c>
      <c r="FR37" s="85">
        <f t="shared" si="14"/>
        <v>1952341.949271871</v>
      </c>
      <c r="FS37" s="85">
        <f t="shared" si="14"/>
        <v>1952341.949271871</v>
      </c>
      <c r="FT37" s="85">
        <f t="shared" si="14"/>
        <v>1952341.949271871</v>
      </c>
      <c r="FU37" s="85">
        <f t="shared" si="14"/>
        <v>1952341.949271871</v>
      </c>
      <c r="FV37" s="85">
        <f t="shared" si="14"/>
        <v>1952341.949271871</v>
      </c>
      <c r="FW37" s="85">
        <f t="shared" si="14"/>
        <v>1952341.949271871</v>
      </c>
      <c r="FX37" s="85">
        <f t="shared" si="14"/>
        <v>1952341.949271871</v>
      </c>
      <c r="FY37" s="85">
        <f t="shared" si="14"/>
        <v>1952341.949271871</v>
      </c>
      <c r="FZ37" s="85">
        <f t="shared" si="14"/>
        <v>1952341.949271871</v>
      </c>
      <c r="GA37" s="85">
        <f t="shared" si="14"/>
        <v>1999334.0932058678</v>
      </c>
      <c r="GB37" s="85">
        <f t="shared" si="14"/>
        <v>1999334.0932058678</v>
      </c>
      <c r="GC37" s="85">
        <f t="shared" si="14"/>
        <v>1999334.0932058678</v>
      </c>
      <c r="GD37" s="85">
        <f t="shared" si="14"/>
        <v>1999334.0932058678</v>
      </c>
      <c r="GE37" s="85">
        <f t="shared" si="14"/>
        <v>1999334.0932058678</v>
      </c>
      <c r="GF37" s="85">
        <f t="shared" si="14"/>
        <v>1999334.0932058678</v>
      </c>
      <c r="GG37" s="85">
        <f t="shared" si="14"/>
        <v>1999334.0932058678</v>
      </c>
      <c r="GH37" s="85">
        <f t="shared" si="14"/>
        <v>1999334.0932058678</v>
      </c>
      <c r="GI37" s="85">
        <f t="shared" si="14"/>
        <v>1999334.0932058678</v>
      </c>
      <c r="GJ37" s="85">
        <f t="shared" ref="GJ37:IH37" si="15">SUM(GJ19:GJ36)</f>
        <v>1999334.0932058678</v>
      </c>
      <c r="GK37" s="85">
        <f t="shared" si="15"/>
        <v>1999334.0932058678</v>
      </c>
      <c r="GL37" s="85">
        <f t="shared" si="15"/>
        <v>1999334.0932058678</v>
      </c>
      <c r="GM37" s="85">
        <f t="shared" si="15"/>
        <v>2046326.2371398648</v>
      </c>
      <c r="GN37" s="85">
        <f t="shared" si="15"/>
        <v>2046326.2371398648</v>
      </c>
      <c r="GO37" s="85">
        <f t="shared" si="15"/>
        <v>2046326.2371398648</v>
      </c>
      <c r="GP37" s="85">
        <f t="shared" si="15"/>
        <v>2046326.2371398648</v>
      </c>
      <c r="GQ37" s="85">
        <f t="shared" si="15"/>
        <v>2046326.2371398648</v>
      </c>
      <c r="GR37" s="85">
        <f t="shared" si="15"/>
        <v>2046326.2371398648</v>
      </c>
      <c r="GS37" s="85">
        <f t="shared" si="15"/>
        <v>2046326.2371398648</v>
      </c>
      <c r="GT37" s="85">
        <f t="shared" si="15"/>
        <v>2046326.2371398648</v>
      </c>
      <c r="GU37" s="85">
        <f t="shared" si="15"/>
        <v>2046326.2371398648</v>
      </c>
      <c r="GV37" s="85">
        <f t="shared" si="15"/>
        <v>2046326.2371398648</v>
      </c>
      <c r="GW37" s="85">
        <f t="shared" si="15"/>
        <v>2046326.2371398648</v>
      </c>
      <c r="GX37" s="85">
        <f t="shared" si="15"/>
        <v>2046326.2371398648</v>
      </c>
      <c r="GY37" s="85">
        <f t="shared" si="15"/>
        <v>2093318.3810738618</v>
      </c>
      <c r="GZ37" s="85">
        <f t="shared" si="15"/>
        <v>2093318.3810738618</v>
      </c>
      <c r="HA37" s="85">
        <f t="shared" si="15"/>
        <v>2093318.3810738618</v>
      </c>
      <c r="HB37" s="85">
        <f t="shared" si="15"/>
        <v>2093318.3810738618</v>
      </c>
      <c r="HC37" s="85">
        <f t="shared" si="15"/>
        <v>2093318.3810738618</v>
      </c>
      <c r="HD37" s="85">
        <f t="shared" si="15"/>
        <v>2093318.3810738618</v>
      </c>
      <c r="HE37" s="85">
        <f t="shared" si="15"/>
        <v>2093318.3810738618</v>
      </c>
      <c r="HF37" s="85">
        <f t="shared" si="15"/>
        <v>2093318.3810738618</v>
      </c>
      <c r="HG37" s="85">
        <f t="shared" si="15"/>
        <v>2093318.3810738618</v>
      </c>
      <c r="HH37" s="85">
        <f t="shared" si="15"/>
        <v>2093318.3810738618</v>
      </c>
      <c r="HI37" s="85">
        <f t="shared" si="15"/>
        <v>2093318.3810738618</v>
      </c>
      <c r="HJ37" s="85">
        <f t="shared" si="15"/>
        <v>2093318.3810738618</v>
      </c>
      <c r="HK37" s="85">
        <f t="shared" si="15"/>
        <v>2093318.3810738618</v>
      </c>
      <c r="HL37" s="85">
        <f t="shared" si="15"/>
        <v>2093318.3810738618</v>
      </c>
      <c r="HM37" s="85">
        <f t="shared" si="15"/>
        <v>2093318.3810738618</v>
      </c>
      <c r="HN37" s="85">
        <f t="shared" si="15"/>
        <v>2093318.3810738618</v>
      </c>
      <c r="HO37" s="85">
        <f t="shared" si="15"/>
        <v>2093318.3810738618</v>
      </c>
      <c r="HP37" s="85">
        <f t="shared" si="15"/>
        <v>2093318.3810738618</v>
      </c>
      <c r="HQ37" s="85">
        <f t="shared" si="15"/>
        <v>2093318.3810738618</v>
      </c>
      <c r="HR37" s="85">
        <f t="shared" si="15"/>
        <v>2093318.3810738618</v>
      </c>
      <c r="HS37" s="85">
        <f t="shared" si="15"/>
        <v>2093318.3810738618</v>
      </c>
      <c r="HT37" s="85">
        <f t="shared" si="15"/>
        <v>2093318.3810738618</v>
      </c>
      <c r="HU37" s="85">
        <f t="shared" si="15"/>
        <v>2093318.3810738618</v>
      </c>
      <c r="HV37" s="85">
        <f t="shared" si="15"/>
        <v>2093318.3810738618</v>
      </c>
      <c r="HW37" s="85">
        <f t="shared" si="15"/>
        <v>2093318.3810738618</v>
      </c>
      <c r="HX37" s="85">
        <f t="shared" si="15"/>
        <v>2093318.3810738618</v>
      </c>
      <c r="HY37" s="85">
        <f t="shared" si="15"/>
        <v>2093318.3810738618</v>
      </c>
      <c r="HZ37" s="85">
        <f t="shared" si="15"/>
        <v>2093318.3810738618</v>
      </c>
      <c r="IA37" s="85">
        <f t="shared" si="15"/>
        <v>2093318.3810738618</v>
      </c>
      <c r="IB37" s="85">
        <f t="shared" si="15"/>
        <v>2093318.3810738618</v>
      </c>
      <c r="IC37" s="85">
        <f t="shared" si="15"/>
        <v>2093318.3810738618</v>
      </c>
      <c r="ID37" s="85">
        <f t="shared" si="15"/>
        <v>2093318.3810738618</v>
      </c>
      <c r="IE37" s="85">
        <f t="shared" si="15"/>
        <v>2093318.3810738618</v>
      </c>
      <c r="IF37" s="85">
        <f t="shared" si="15"/>
        <v>2093318.3810738618</v>
      </c>
      <c r="IG37" s="85">
        <f t="shared" si="15"/>
        <v>2093318.3810738618</v>
      </c>
      <c r="IH37" s="85">
        <f t="shared" si="15"/>
        <v>2093318.3810738618</v>
      </c>
    </row>
    <row r="38" spans="1:242" s="79" customFormat="1" x14ac:dyDescent="0.45">
      <c r="A38" s="888"/>
      <c r="B38" s="889"/>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6"/>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6"/>
      <c r="CB38" s="86"/>
      <c r="CC38" s="86"/>
      <c r="CD38" s="86"/>
      <c r="CE38" s="86"/>
      <c r="CF38" s="86"/>
      <c r="CG38" s="86"/>
      <c r="CH38" s="86"/>
      <c r="CI38" s="86"/>
      <c r="CJ38" s="86"/>
      <c r="CK38" s="86"/>
      <c r="CL38" s="86"/>
      <c r="CM38" s="86"/>
      <c r="CN38" s="86"/>
      <c r="CO38" s="86"/>
      <c r="CP38" s="86"/>
      <c r="CQ38" s="86"/>
      <c r="CR38" s="86"/>
      <c r="CS38" s="86"/>
      <c r="CT38" s="86"/>
      <c r="CU38" s="86"/>
      <c r="CV38" s="86"/>
      <c r="CW38" s="86"/>
      <c r="CX38" s="86"/>
      <c r="CY38" s="86"/>
      <c r="CZ38" s="86"/>
      <c r="DA38" s="86"/>
      <c r="DB38" s="86"/>
      <c r="DC38" s="86"/>
      <c r="DD38" s="86"/>
      <c r="DE38" s="86"/>
      <c r="DF38" s="86"/>
      <c r="DG38" s="86"/>
      <c r="DH38" s="86"/>
      <c r="DI38" s="86"/>
      <c r="DJ38" s="86"/>
      <c r="DK38" s="86"/>
      <c r="DL38" s="86"/>
      <c r="DM38" s="86"/>
      <c r="DN38" s="86"/>
      <c r="DO38" s="86"/>
      <c r="DP38" s="86"/>
      <c r="DQ38" s="86"/>
      <c r="DR38" s="86"/>
      <c r="DS38" s="86"/>
      <c r="DT38" s="86"/>
      <c r="DU38" s="86"/>
      <c r="DV38" s="86"/>
      <c r="DW38" s="86"/>
      <c r="DX38" s="86"/>
      <c r="DY38" s="86"/>
      <c r="DZ38" s="86"/>
      <c r="EA38" s="86"/>
      <c r="EB38" s="86"/>
      <c r="EC38" s="86"/>
      <c r="ED38" s="86"/>
      <c r="EE38" s="86"/>
      <c r="EF38" s="86"/>
      <c r="EG38" s="86"/>
      <c r="EH38" s="86"/>
      <c r="EI38" s="86"/>
      <c r="EJ38" s="86"/>
      <c r="EK38" s="86"/>
      <c r="EL38" s="86"/>
      <c r="EM38" s="86"/>
      <c r="EN38" s="86"/>
      <c r="EO38" s="86"/>
      <c r="EP38" s="86"/>
      <c r="EQ38" s="86"/>
      <c r="ER38" s="86"/>
      <c r="ES38" s="86"/>
      <c r="ET38" s="86"/>
      <c r="EU38" s="86"/>
      <c r="EV38" s="86"/>
      <c r="EW38" s="86"/>
      <c r="EX38" s="86"/>
      <c r="EY38" s="86"/>
      <c r="EZ38" s="86"/>
      <c r="FA38" s="86"/>
      <c r="FB38" s="86"/>
      <c r="FC38" s="86"/>
      <c r="FD38" s="86"/>
      <c r="FE38" s="86"/>
      <c r="FF38" s="86"/>
      <c r="FG38" s="86"/>
      <c r="FH38" s="86"/>
      <c r="FI38" s="86"/>
      <c r="FJ38" s="86"/>
      <c r="FK38" s="86"/>
      <c r="FL38" s="86"/>
      <c r="FM38" s="86"/>
      <c r="FN38" s="86"/>
      <c r="FO38" s="86"/>
      <c r="FP38" s="86"/>
      <c r="FQ38" s="86"/>
      <c r="FR38" s="86"/>
      <c r="FS38" s="86"/>
      <c r="FT38" s="86"/>
      <c r="FU38" s="86"/>
      <c r="FV38" s="86"/>
      <c r="FW38" s="86"/>
      <c r="FX38" s="86"/>
      <c r="FY38" s="86"/>
      <c r="FZ38" s="86"/>
      <c r="GA38" s="86"/>
      <c r="GB38" s="86"/>
      <c r="GC38" s="86"/>
      <c r="GD38" s="86"/>
      <c r="GE38" s="86"/>
      <c r="GF38" s="86"/>
      <c r="GG38" s="86"/>
      <c r="GH38" s="86"/>
      <c r="GI38" s="86"/>
      <c r="GJ38" s="86"/>
      <c r="GK38" s="86"/>
      <c r="GL38" s="86"/>
      <c r="GM38" s="86"/>
      <c r="GN38" s="86"/>
      <c r="GO38" s="86"/>
      <c r="GP38" s="86"/>
      <c r="GQ38" s="86"/>
      <c r="GR38" s="86"/>
      <c r="GS38" s="86"/>
      <c r="GT38" s="86"/>
      <c r="GU38" s="86"/>
      <c r="GV38" s="86"/>
      <c r="GW38" s="86"/>
      <c r="GX38" s="86"/>
      <c r="GY38" s="86"/>
      <c r="GZ38" s="86"/>
      <c r="HA38" s="86"/>
      <c r="HB38" s="86"/>
      <c r="HC38" s="86"/>
      <c r="HD38" s="86"/>
      <c r="HE38" s="86"/>
      <c r="HF38" s="86"/>
      <c r="HG38" s="86"/>
      <c r="HH38" s="86"/>
      <c r="HI38" s="86"/>
      <c r="HJ38" s="86"/>
      <c r="HK38" s="86"/>
      <c r="HL38" s="86"/>
      <c r="HM38" s="86"/>
      <c r="HN38" s="86"/>
      <c r="HO38" s="86"/>
      <c r="HP38" s="86"/>
      <c r="HQ38" s="86"/>
      <c r="HR38" s="86"/>
      <c r="HS38" s="86"/>
      <c r="HT38" s="86"/>
      <c r="HU38" s="86"/>
      <c r="HV38" s="86"/>
      <c r="HW38" s="86"/>
      <c r="HX38" s="86"/>
      <c r="HY38" s="86"/>
      <c r="HZ38" s="86"/>
      <c r="IA38" s="86"/>
      <c r="IB38" s="86"/>
      <c r="IC38" s="86"/>
      <c r="ID38" s="86"/>
      <c r="IE38" s="86"/>
      <c r="IF38" s="86"/>
      <c r="IG38" s="86"/>
      <c r="IH38" s="86"/>
    </row>
    <row r="39" spans="1:242" s="79" customFormat="1" x14ac:dyDescent="0.45">
      <c r="A39" s="888" t="s">
        <v>268</v>
      </c>
      <c r="B39" s="889"/>
      <c r="C39" s="87">
        <f>C16-C37</f>
        <v>-859101.199449974</v>
      </c>
      <c r="D39" s="87">
        <f t="shared" ref="D39:BO39" si="16">D16-D37</f>
        <v>-476601.199449974</v>
      </c>
      <c r="E39" s="87">
        <f t="shared" si="16"/>
        <v>-476601.199449974</v>
      </c>
      <c r="F39" s="87">
        <f t="shared" si="16"/>
        <v>-476601.199449974</v>
      </c>
      <c r="G39" s="87">
        <f t="shared" si="16"/>
        <v>-476601.199449974</v>
      </c>
      <c r="H39" s="87">
        <f t="shared" si="16"/>
        <v>-476601.199449974</v>
      </c>
      <c r="I39" s="87">
        <f t="shared" si="16"/>
        <v>-476601.199449974</v>
      </c>
      <c r="J39" s="87">
        <f t="shared" si="16"/>
        <v>-476601.199449974</v>
      </c>
      <c r="K39" s="87">
        <f t="shared" si="16"/>
        <v>-476601.199449974</v>
      </c>
      <c r="L39" s="87">
        <f t="shared" si="16"/>
        <v>-476601.199449974</v>
      </c>
      <c r="M39" s="87">
        <f t="shared" si="16"/>
        <v>-476601.199449974</v>
      </c>
      <c r="N39" s="87">
        <f t="shared" si="16"/>
        <v>-476601.199449974</v>
      </c>
      <c r="O39" s="87">
        <f t="shared" si="16"/>
        <v>-659715.86611664062</v>
      </c>
      <c r="P39" s="87">
        <f t="shared" si="16"/>
        <v>-519715.86611664068</v>
      </c>
      <c r="Q39" s="87">
        <f t="shared" si="16"/>
        <v>-519715.86611664068</v>
      </c>
      <c r="R39" s="87">
        <f t="shared" si="16"/>
        <v>-519715.86611664068</v>
      </c>
      <c r="S39" s="87">
        <f t="shared" si="16"/>
        <v>-519715.86611664068</v>
      </c>
      <c r="T39" s="87">
        <f t="shared" si="16"/>
        <v>-519715.86611664068</v>
      </c>
      <c r="U39" s="87">
        <f t="shared" si="16"/>
        <v>-519715.86611664068</v>
      </c>
      <c r="V39" s="87">
        <f t="shared" si="16"/>
        <v>-519715.86611664068</v>
      </c>
      <c r="W39" s="87">
        <f t="shared" si="16"/>
        <v>-519715.86611664068</v>
      </c>
      <c r="X39" s="87">
        <f t="shared" si="16"/>
        <v>-519715.86611664068</v>
      </c>
      <c r="Y39" s="87">
        <f t="shared" si="16"/>
        <v>-519715.86611664068</v>
      </c>
      <c r="Z39" s="87">
        <f t="shared" si="16"/>
        <v>-519715.86611664068</v>
      </c>
      <c r="AA39" s="87">
        <f t="shared" si="16"/>
        <v>4277454.1184444912</v>
      </c>
      <c r="AB39" s="87">
        <f t="shared" si="16"/>
        <v>4277454.1184444912</v>
      </c>
      <c r="AC39" s="87">
        <f t="shared" si="16"/>
        <v>4277454.1184444912</v>
      </c>
      <c r="AD39" s="87">
        <f t="shared" si="16"/>
        <v>4277454.1184444912</v>
      </c>
      <c r="AE39" s="87">
        <f t="shared" si="16"/>
        <v>4277454.1184444912</v>
      </c>
      <c r="AF39" s="87">
        <f t="shared" si="16"/>
        <v>4277454.1184444912</v>
      </c>
      <c r="AG39" s="87">
        <f t="shared" si="16"/>
        <v>4277454.1184444912</v>
      </c>
      <c r="AH39" s="87">
        <f t="shared" si="16"/>
        <v>4277454.1184444912</v>
      </c>
      <c r="AI39" s="87">
        <f t="shared" si="16"/>
        <v>4277454.1184444912</v>
      </c>
      <c r="AJ39" s="87">
        <f t="shared" si="16"/>
        <v>4277454.1184444912</v>
      </c>
      <c r="AK39" s="87">
        <f t="shared" si="16"/>
        <v>4277454.1184444912</v>
      </c>
      <c r="AL39" s="87">
        <f t="shared" si="16"/>
        <v>4277454.1184444912</v>
      </c>
      <c r="AM39" s="87">
        <f t="shared" si="16"/>
        <v>7894687.7074185461</v>
      </c>
      <c r="AN39" s="87">
        <f t="shared" si="16"/>
        <v>7894687.7074185461</v>
      </c>
      <c r="AO39" s="87">
        <f t="shared" si="16"/>
        <v>7894687.7074185461</v>
      </c>
      <c r="AP39" s="87">
        <f t="shared" si="16"/>
        <v>7894687.7074185461</v>
      </c>
      <c r="AQ39" s="87">
        <f t="shared" si="16"/>
        <v>7894687.7074185461</v>
      </c>
      <c r="AR39" s="87">
        <f t="shared" si="16"/>
        <v>7894687.7074185461</v>
      </c>
      <c r="AS39" s="87">
        <f t="shared" si="16"/>
        <v>7894687.7074185461</v>
      </c>
      <c r="AT39" s="87">
        <f t="shared" si="16"/>
        <v>7894687.7074185461</v>
      </c>
      <c r="AU39" s="87">
        <f t="shared" si="16"/>
        <v>7894687.7074185461</v>
      </c>
      <c r="AV39" s="87">
        <f t="shared" si="16"/>
        <v>7894687.7074185461</v>
      </c>
      <c r="AW39" s="87">
        <f t="shared" si="16"/>
        <v>7894687.7074185461</v>
      </c>
      <c r="AX39" s="87">
        <f t="shared" si="16"/>
        <v>7894687.7074185461</v>
      </c>
      <c r="AY39" s="87">
        <f t="shared" si="16"/>
        <v>12149913.274463061</v>
      </c>
      <c r="AZ39" s="87">
        <f t="shared" si="16"/>
        <v>12149913.274463061</v>
      </c>
      <c r="BA39" s="87">
        <f t="shared" si="16"/>
        <v>12149913.274463061</v>
      </c>
      <c r="BB39" s="87">
        <f t="shared" si="16"/>
        <v>12149913.274463061</v>
      </c>
      <c r="BC39" s="87">
        <f t="shared" si="16"/>
        <v>12149913.274463061</v>
      </c>
      <c r="BD39" s="87">
        <f t="shared" si="16"/>
        <v>12149913.274463061</v>
      </c>
      <c r="BE39" s="87">
        <f t="shared" si="16"/>
        <v>12149913.274463061</v>
      </c>
      <c r="BF39" s="87">
        <f t="shared" si="16"/>
        <v>12149913.274463061</v>
      </c>
      <c r="BG39" s="87">
        <f t="shared" si="16"/>
        <v>12149913.274463061</v>
      </c>
      <c r="BH39" s="87">
        <f t="shared" si="16"/>
        <v>12149913.274463061</v>
      </c>
      <c r="BI39" s="87">
        <f t="shared" si="16"/>
        <v>12149913.274463061</v>
      </c>
      <c r="BJ39" s="87">
        <f t="shared" si="16"/>
        <v>12149913.274463061</v>
      </c>
      <c r="BK39" s="87">
        <f t="shared" si="16"/>
        <v>14998484.725780128</v>
      </c>
      <c r="BL39" s="87">
        <f t="shared" si="16"/>
        <v>14998484.725780128</v>
      </c>
      <c r="BM39" s="87">
        <f t="shared" si="16"/>
        <v>14998484.725780128</v>
      </c>
      <c r="BN39" s="87">
        <f t="shared" si="16"/>
        <v>14998484.725780128</v>
      </c>
      <c r="BO39" s="87">
        <f t="shared" si="16"/>
        <v>14998484.725780128</v>
      </c>
      <c r="BP39" s="87">
        <f t="shared" ref="BP39:EA39" si="17">BP16-BP37</f>
        <v>14998484.725780128</v>
      </c>
      <c r="BQ39" s="87">
        <f t="shared" si="17"/>
        <v>14998484.725780128</v>
      </c>
      <c r="BR39" s="87">
        <f t="shared" si="17"/>
        <v>14998484.725780128</v>
      </c>
      <c r="BS39" s="87">
        <f t="shared" si="17"/>
        <v>14998484.725780128</v>
      </c>
      <c r="BT39" s="87">
        <f t="shared" si="17"/>
        <v>14998484.725780128</v>
      </c>
      <c r="BU39" s="87">
        <f t="shared" si="17"/>
        <v>14998484.725780128</v>
      </c>
      <c r="BV39" s="87">
        <f t="shared" si="17"/>
        <v>14998484.725780128</v>
      </c>
      <c r="BW39" s="87">
        <f t="shared" si="17"/>
        <v>15380521.763987143</v>
      </c>
      <c r="BX39" s="87">
        <f t="shared" si="17"/>
        <v>15380521.763987143</v>
      </c>
      <c r="BY39" s="87">
        <f t="shared" si="17"/>
        <v>15380521.763987143</v>
      </c>
      <c r="BZ39" s="87">
        <f t="shared" si="17"/>
        <v>15380521.763987143</v>
      </c>
      <c r="CA39" s="87">
        <f t="shared" si="17"/>
        <v>15380521.763987143</v>
      </c>
      <c r="CB39" s="87">
        <f t="shared" si="17"/>
        <v>15380521.763987143</v>
      </c>
      <c r="CC39" s="87">
        <f t="shared" si="17"/>
        <v>15380521.763987143</v>
      </c>
      <c r="CD39" s="87">
        <f t="shared" si="17"/>
        <v>15380521.763987143</v>
      </c>
      <c r="CE39" s="87">
        <f t="shared" si="17"/>
        <v>15380521.763987143</v>
      </c>
      <c r="CF39" s="87">
        <f t="shared" si="17"/>
        <v>15380521.763987143</v>
      </c>
      <c r="CG39" s="87">
        <f t="shared" si="17"/>
        <v>15380521.763987143</v>
      </c>
      <c r="CH39" s="87">
        <f t="shared" si="17"/>
        <v>15380521.763987143</v>
      </c>
      <c r="CI39" s="87">
        <f t="shared" si="17"/>
        <v>15380521.763987143</v>
      </c>
      <c r="CJ39" s="87">
        <f t="shared" si="17"/>
        <v>15380521.763987143</v>
      </c>
      <c r="CK39" s="87">
        <f t="shared" si="17"/>
        <v>15380521.763987143</v>
      </c>
      <c r="CL39" s="87">
        <f t="shared" si="17"/>
        <v>15380521.763987143</v>
      </c>
      <c r="CM39" s="87">
        <f t="shared" si="17"/>
        <v>15380521.763987143</v>
      </c>
      <c r="CN39" s="87">
        <f t="shared" si="17"/>
        <v>15333529.620053146</v>
      </c>
      <c r="CO39" s="87">
        <f t="shared" si="17"/>
        <v>15333529.620053146</v>
      </c>
      <c r="CP39" s="87">
        <f t="shared" si="17"/>
        <v>15333529.620053146</v>
      </c>
      <c r="CQ39" s="87">
        <f t="shared" si="17"/>
        <v>15333529.620053146</v>
      </c>
      <c r="CR39" s="87">
        <f t="shared" si="17"/>
        <v>15333529.620053146</v>
      </c>
      <c r="CS39" s="87">
        <f t="shared" si="17"/>
        <v>15333529.620053146</v>
      </c>
      <c r="CT39" s="87">
        <f t="shared" si="17"/>
        <v>15333529.620053146</v>
      </c>
      <c r="CU39" s="87">
        <f t="shared" si="17"/>
        <v>16060175.713776138</v>
      </c>
      <c r="CV39" s="87">
        <f t="shared" si="17"/>
        <v>16060175.713776138</v>
      </c>
      <c r="CW39" s="87">
        <f t="shared" si="17"/>
        <v>16060175.713776138</v>
      </c>
      <c r="CX39" s="87">
        <f t="shared" si="17"/>
        <v>16060175.713776138</v>
      </c>
      <c r="CY39" s="87">
        <f t="shared" si="17"/>
        <v>16060175.713776138</v>
      </c>
      <c r="CZ39" s="87">
        <f t="shared" si="17"/>
        <v>16060175.713776138</v>
      </c>
      <c r="DA39" s="87">
        <f t="shared" si="17"/>
        <v>16060175.713776138</v>
      </c>
      <c r="DB39" s="87">
        <f t="shared" si="17"/>
        <v>16060175.713776138</v>
      </c>
      <c r="DC39" s="87">
        <f t="shared" si="17"/>
        <v>16060175.713776138</v>
      </c>
      <c r="DD39" s="87">
        <f t="shared" si="17"/>
        <v>16060175.713776138</v>
      </c>
      <c r="DE39" s="87">
        <f t="shared" si="17"/>
        <v>16060175.713776138</v>
      </c>
      <c r="DF39" s="87">
        <f t="shared" si="17"/>
        <v>16060175.713776138</v>
      </c>
      <c r="DG39" s="87">
        <f t="shared" si="17"/>
        <v>16013183.569842141</v>
      </c>
      <c r="DH39" s="87">
        <f t="shared" si="17"/>
        <v>16013183.569842141</v>
      </c>
      <c r="DI39" s="87">
        <f t="shared" si="17"/>
        <v>16013183.569842141</v>
      </c>
      <c r="DJ39" s="87">
        <f t="shared" si="17"/>
        <v>16013183.569842141</v>
      </c>
      <c r="DK39" s="87">
        <f t="shared" si="17"/>
        <v>16013183.569842141</v>
      </c>
      <c r="DL39" s="87">
        <f t="shared" si="17"/>
        <v>16013183.569842141</v>
      </c>
      <c r="DM39" s="87">
        <f t="shared" si="17"/>
        <v>16013183.569842141</v>
      </c>
      <c r="DN39" s="87">
        <f t="shared" si="17"/>
        <v>16013183.569842141</v>
      </c>
      <c r="DO39" s="87">
        <f t="shared" si="17"/>
        <v>16013183.569842141</v>
      </c>
      <c r="DP39" s="87">
        <f t="shared" si="17"/>
        <v>16013183.569842141</v>
      </c>
      <c r="DQ39" s="87">
        <f t="shared" si="17"/>
        <v>16013183.569842141</v>
      </c>
      <c r="DR39" s="87">
        <f t="shared" si="17"/>
        <v>16013183.569842141</v>
      </c>
      <c r="DS39" s="87">
        <f t="shared" si="17"/>
        <v>16739829.663565133</v>
      </c>
      <c r="DT39" s="87">
        <f t="shared" si="17"/>
        <v>16739829.663565133</v>
      </c>
      <c r="DU39" s="87">
        <f t="shared" si="17"/>
        <v>16739829.663565133</v>
      </c>
      <c r="DV39" s="87">
        <f t="shared" si="17"/>
        <v>16739829.663565133</v>
      </c>
      <c r="DW39" s="87">
        <f t="shared" si="17"/>
        <v>16739829.663565133</v>
      </c>
      <c r="DX39" s="87">
        <f t="shared" si="17"/>
        <v>16739829.663565133</v>
      </c>
      <c r="DY39" s="87">
        <f t="shared" si="17"/>
        <v>16739829.663565133</v>
      </c>
      <c r="DZ39" s="87">
        <f t="shared" si="17"/>
        <v>16739829.663565133</v>
      </c>
      <c r="EA39" s="87">
        <f t="shared" si="17"/>
        <v>16739829.663565133</v>
      </c>
      <c r="EB39" s="87">
        <f t="shared" ref="EB39:GI39" si="18">EB16-EB37</f>
        <v>16739829.663565133</v>
      </c>
      <c r="EC39" s="87">
        <f t="shared" si="18"/>
        <v>16739829.663565133</v>
      </c>
      <c r="ED39" s="87">
        <f t="shared" si="18"/>
        <v>16739829.663565133</v>
      </c>
      <c r="EE39" s="87">
        <f t="shared" si="18"/>
        <v>16692837.519631134</v>
      </c>
      <c r="EF39" s="87">
        <f t="shared" si="18"/>
        <v>16692837.519631134</v>
      </c>
      <c r="EG39" s="87">
        <f t="shared" si="18"/>
        <v>16692837.519631134</v>
      </c>
      <c r="EH39" s="87">
        <f t="shared" si="18"/>
        <v>16692837.519631134</v>
      </c>
      <c r="EI39" s="87">
        <f t="shared" si="18"/>
        <v>16692837.519631134</v>
      </c>
      <c r="EJ39" s="87">
        <f t="shared" si="18"/>
        <v>16692837.519631134</v>
      </c>
      <c r="EK39" s="87">
        <f t="shared" si="18"/>
        <v>16692837.519631134</v>
      </c>
      <c r="EL39" s="87">
        <f t="shared" si="18"/>
        <v>16692837.519631134</v>
      </c>
      <c r="EM39" s="87">
        <f t="shared" si="18"/>
        <v>16692837.519631134</v>
      </c>
      <c r="EN39" s="87">
        <f t="shared" si="18"/>
        <v>16692837.519631134</v>
      </c>
      <c r="EO39" s="87">
        <f t="shared" si="18"/>
        <v>16692837.519631134</v>
      </c>
      <c r="EP39" s="87">
        <f t="shared" si="18"/>
        <v>16692837.519631134</v>
      </c>
      <c r="EQ39" s="87">
        <f t="shared" si="18"/>
        <v>17419483.613354128</v>
      </c>
      <c r="ER39" s="87">
        <f t="shared" si="18"/>
        <v>17419483.613354128</v>
      </c>
      <c r="ES39" s="87">
        <f t="shared" si="18"/>
        <v>17419483.613354128</v>
      </c>
      <c r="ET39" s="87">
        <f t="shared" si="18"/>
        <v>17419483.613354128</v>
      </c>
      <c r="EU39" s="87">
        <f t="shared" si="18"/>
        <v>17419483.613354128</v>
      </c>
      <c r="EV39" s="87">
        <f t="shared" si="18"/>
        <v>17419483.613354128</v>
      </c>
      <c r="EW39" s="87">
        <f t="shared" si="18"/>
        <v>17419483.613354128</v>
      </c>
      <c r="EX39" s="87">
        <f t="shared" si="18"/>
        <v>17419483.613354128</v>
      </c>
      <c r="EY39" s="87">
        <f t="shared" si="18"/>
        <v>17419483.613354128</v>
      </c>
      <c r="EZ39" s="87">
        <f t="shared" si="18"/>
        <v>17419483.613354128</v>
      </c>
      <c r="FA39" s="87">
        <f t="shared" si="18"/>
        <v>17419483.613354128</v>
      </c>
      <c r="FB39" s="87">
        <f t="shared" si="18"/>
        <v>17419483.613354128</v>
      </c>
      <c r="FC39" s="87">
        <f t="shared" si="18"/>
        <v>17372491.469420128</v>
      </c>
      <c r="FD39" s="87">
        <f t="shared" si="18"/>
        <v>17372491.469420128</v>
      </c>
      <c r="FE39" s="87">
        <f t="shared" si="18"/>
        <v>17372491.469420128</v>
      </c>
      <c r="FF39" s="87">
        <f t="shared" si="18"/>
        <v>17372491.469420128</v>
      </c>
      <c r="FG39" s="87">
        <f t="shared" si="18"/>
        <v>17372491.469420128</v>
      </c>
      <c r="FH39" s="87">
        <f t="shared" si="18"/>
        <v>17372491.469420128</v>
      </c>
      <c r="FI39" s="87">
        <f t="shared" si="18"/>
        <v>17372491.469420128</v>
      </c>
      <c r="FJ39" s="87">
        <f t="shared" si="18"/>
        <v>17372491.469420128</v>
      </c>
      <c r="FK39" s="87">
        <f t="shared" si="18"/>
        <v>17372491.469420128</v>
      </c>
      <c r="FL39" s="87">
        <f t="shared" si="18"/>
        <v>17372491.469420128</v>
      </c>
      <c r="FM39" s="87">
        <f t="shared" si="18"/>
        <v>17372491.469420128</v>
      </c>
      <c r="FN39" s="87">
        <f t="shared" si="18"/>
        <v>17372491.469420128</v>
      </c>
      <c r="FO39" s="87">
        <f t="shared" si="18"/>
        <v>18099137.563143115</v>
      </c>
      <c r="FP39" s="87">
        <f t="shared" si="18"/>
        <v>18099137.563143115</v>
      </c>
      <c r="FQ39" s="87">
        <f t="shared" si="18"/>
        <v>18099137.563143115</v>
      </c>
      <c r="FR39" s="87">
        <f t="shared" si="18"/>
        <v>18099137.563143115</v>
      </c>
      <c r="FS39" s="87">
        <f t="shared" si="18"/>
        <v>18099137.563143115</v>
      </c>
      <c r="FT39" s="87">
        <f t="shared" si="18"/>
        <v>18099137.563143115</v>
      </c>
      <c r="FU39" s="87">
        <f t="shared" si="18"/>
        <v>18099137.563143115</v>
      </c>
      <c r="FV39" s="87">
        <f t="shared" si="18"/>
        <v>18099137.563143115</v>
      </c>
      <c r="FW39" s="87">
        <f t="shared" si="18"/>
        <v>18099137.563143115</v>
      </c>
      <c r="FX39" s="87">
        <f t="shared" si="18"/>
        <v>18099137.563143115</v>
      </c>
      <c r="FY39" s="87">
        <f t="shared" si="18"/>
        <v>18099137.563143115</v>
      </c>
      <c r="FZ39" s="87">
        <f t="shared" si="18"/>
        <v>18099137.563143115</v>
      </c>
      <c r="GA39" s="87">
        <f t="shared" si="18"/>
        <v>18052145.419209119</v>
      </c>
      <c r="GB39" s="87">
        <f t="shared" si="18"/>
        <v>18052145.419209119</v>
      </c>
      <c r="GC39" s="87">
        <f t="shared" si="18"/>
        <v>18052145.419209119</v>
      </c>
      <c r="GD39" s="87">
        <f t="shared" si="18"/>
        <v>18052145.419209119</v>
      </c>
      <c r="GE39" s="87">
        <f t="shared" si="18"/>
        <v>18052145.419209119</v>
      </c>
      <c r="GF39" s="87">
        <f t="shared" si="18"/>
        <v>18052145.419209119</v>
      </c>
      <c r="GG39" s="87">
        <f t="shared" si="18"/>
        <v>18052145.419209119</v>
      </c>
      <c r="GH39" s="87">
        <f t="shared" si="18"/>
        <v>18052145.419209119</v>
      </c>
      <c r="GI39" s="87">
        <f t="shared" si="18"/>
        <v>18052145.419209119</v>
      </c>
      <c r="GJ39" s="87">
        <f t="shared" ref="GJ39:IH39" si="19">GJ16-GJ37</f>
        <v>18052145.419209119</v>
      </c>
      <c r="GK39" s="87">
        <f t="shared" si="19"/>
        <v>18052145.419209119</v>
      </c>
      <c r="GL39" s="87">
        <f t="shared" si="19"/>
        <v>18052145.419209119</v>
      </c>
      <c r="GM39" s="87">
        <f t="shared" si="19"/>
        <v>18778791.512932111</v>
      </c>
      <c r="GN39" s="87">
        <f t="shared" si="19"/>
        <v>18778791.512932111</v>
      </c>
      <c r="GO39" s="87">
        <f t="shared" si="19"/>
        <v>18778791.512932111</v>
      </c>
      <c r="GP39" s="87">
        <f t="shared" si="19"/>
        <v>18778791.512932111</v>
      </c>
      <c r="GQ39" s="87">
        <f t="shared" si="19"/>
        <v>18778791.512932111</v>
      </c>
      <c r="GR39" s="87">
        <f t="shared" si="19"/>
        <v>18778791.512932111</v>
      </c>
      <c r="GS39" s="87">
        <f t="shared" si="19"/>
        <v>18778791.512932111</v>
      </c>
      <c r="GT39" s="87">
        <f t="shared" si="19"/>
        <v>18778791.512932111</v>
      </c>
      <c r="GU39" s="87">
        <f t="shared" si="19"/>
        <v>18778791.512932111</v>
      </c>
      <c r="GV39" s="87">
        <f t="shared" si="19"/>
        <v>18778791.512932111</v>
      </c>
      <c r="GW39" s="87">
        <f t="shared" si="19"/>
        <v>18778791.512932111</v>
      </c>
      <c r="GX39" s="87">
        <f t="shared" si="19"/>
        <v>18778791.512932111</v>
      </c>
      <c r="GY39" s="87">
        <f t="shared" si="19"/>
        <v>18731799.368998114</v>
      </c>
      <c r="GZ39" s="87">
        <f t="shared" si="19"/>
        <v>18731799.368998114</v>
      </c>
      <c r="HA39" s="87">
        <f t="shared" si="19"/>
        <v>18731799.368998114</v>
      </c>
      <c r="HB39" s="87">
        <f t="shared" si="19"/>
        <v>18731799.368998114</v>
      </c>
      <c r="HC39" s="87">
        <f t="shared" si="19"/>
        <v>18731799.368998114</v>
      </c>
      <c r="HD39" s="87">
        <f t="shared" si="19"/>
        <v>18731799.368998114</v>
      </c>
      <c r="HE39" s="87">
        <f t="shared" si="19"/>
        <v>18731799.368998114</v>
      </c>
      <c r="HF39" s="87">
        <f t="shared" si="19"/>
        <v>18731799.368998114</v>
      </c>
      <c r="HG39" s="87">
        <f t="shared" si="19"/>
        <v>18731799.368998114</v>
      </c>
      <c r="HH39" s="87">
        <f t="shared" si="19"/>
        <v>18731799.368998114</v>
      </c>
      <c r="HI39" s="87">
        <f t="shared" si="19"/>
        <v>18731799.368998114</v>
      </c>
      <c r="HJ39" s="87">
        <f t="shared" si="19"/>
        <v>18731799.368998114</v>
      </c>
      <c r="HK39" s="87">
        <f t="shared" si="19"/>
        <v>19505437.606655095</v>
      </c>
      <c r="HL39" s="87">
        <f t="shared" si="19"/>
        <v>19505437.606655095</v>
      </c>
      <c r="HM39" s="87">
        <f t="shared" si="19"/>
        <v>19505437.606655095</v>
      </c>
      <c r="HN39" s="87">
        <f t="shared" si="19"/>
        <v>19505437.606655095</v>
      </c>
      <c r="HO39" s="87">
        <f t="shared" si="19"/>
        <v>19505437.606655095</v>
      </c>
      <c r="HP39" s="87">
        <f t="shared" si="19"/>
        <v>19505437.606655095</v>
      </c>
      <c r="HQ39" s="87">
        <f t="shared" si="19"/>
        <v>19505437.606655095</v>
      </c>
      <c r="HR39" s="87">
        <f t="shared" si="19"/>
        <v>19505437.606655095</v>
      </c>
      <c r="HS39" s="87">
        <f t="shared" si="19"/>
        <v>19505437.606655095</v>
      </c>
      <c r="HT39" s="87">
        <f t="shared" si="19"/>
        <v>19505437.606655095</v>
      </c>
      <c r="HU39" s="87">
        <f t="shared" si="19"/>
        <v>19505437.606655095</v>
      </c>
      <c r="HV39" s="87">
        <f t="shared" si="19"/>
        <v>19505437.606655095</v>
      </c>
      <c r="HW39" s="87">
        <f t="shared" si="19"/>
        <v>19505437.606655095</v>
      </c>
      <c r="HX39" s="87">
        <f t="shared" si="19"/>
        <v>19505437.606655095</v>
      </c>
      <c r="HY39" s="87">
        <f t="shared" si="19"/>
        <v>19505437.606655095</v>
      </c>
      <c r="HZ39" s="87">
        <f t="shared" si="19"/>
        <v>19505437.606655095</v>
      </c>
      <c r="IA39" s="87">
        <f t="shared" si="19"/>
        <v>19505437.606655095</v>
      </c>
      <c r="IB39" s="87">
        <f t="shared" si="19"/>
        <v>19505437.606655095</v>
      </c>
      <c r="IC39" s="87">
        <f t="shared" si="19"/>
        <v>19505437.606655095</v>
      </c>
      <c r="ID39" s="87">
        <f t="shared" si="19"/>
        <v>19505437.606655095</v>
      </c>
      <c r="IE39" s="87">
        <f t="shared" si="19"/>
        <v>19505437.606655095</v>
      </c>
      <c r="IF39" s="87">
        <f t="shared" si="19"/>
        <v>19505437.606655095</v>
      </c>
      <c r="IG39" s="87">
        <f t="shared" si="19"/>
        <v>19505437.606655095</v>
      </c>
      <c r="IH39" s="87">
        <f t="shared" si="19"/>
        <v>19505437.606655095</v>
      </c>
    </row>
    <row r="40" spans="1:242" x14ac:dyDescent="0.45">
      <c r="A40" s="895" t="s">
        <v>269</v>
      </c>
      <c r="B40" s="896"/>
      <c r="C40" s="81">
        <f>IF(C5&gt;12, IF(C5&gt;CST_DEP_BLDG+12,0,('CAPEX Schedule'!$II$13)/CST_DEP_BLDG),0)</f>
        <v>0</v>
      </c>
      <c r="D40" s="81">
        <f>IF(D5&gt;12, IF(D5&gt;CST_DEP_BLDG+12,0,('CAPEX Schedule'!$II$13)/CST_DEP_BLDG),0)</f>
        <v>0</v>
      </c>
      <c r="E40" s="81">
        <f>IF(E5&gt;12, IF(E5&gt;CST_DEP_BLDG+12,0,('CAPEX Schedule'!$II$13)/CST_DEP_BLDG),0)</f>
        <v>0</v>
      </c>
      <c r="F40" s="81">
        <f>IF(F5&gt;12, IF(F5&gt;CST_DEP_BLDG+12,0,('CAPEX Schedule'!$II$13)/CST_DEP_BLDG),0)</f>
        <v>0</v>
      </c>
      <c r="G40" s="81">
        <f>IF(G5&gt;12, IF(G5&gt;CST_DEP_BLDG+12,0,('CAPEX Schedule'!$II$13)/CST_DEP_BLDG),0)</f>
        <v>0</v>
      </c>
      <c r="H40" s="81">
        <f>IF(H5&gt;12, IF(H5&gt;CST_DEP_BLDG+12,0,('CAPEX Schedule'!$II$13)/CST_DEP_BLDG),0)</f>
        <v>0</v>
      </c>
      <c r="I40" s="81">
        <f>IF(I5&gt;12, IF(I5&gt;CST_DEP_BLDG+12,0,('CAPEX Schedule'!$II$13)/CST_DEP_BLDG),0)</f>
        <v>0</v>
      </c>
      <c r="J40" s="81">
        <f>IF(J5&gt;12, IF(J5&gt;CST_DEP_BLDG+12,0,('CAPEX Schedule'!$II$13)/CST_DEP_BLDG),0)</f>
        <v>0</v>
      </c>
      <c r="K40" s="81">
        <f>IF(K5&gt;12, IF(K5&gt;CST_DEP_BLDG+12,0,('CAPEX Schedule'!$II$13)/CST_DEP_BLDG),0)</f>
        <v>0</v>
      </c>
      <c r="L40" s="81">
        <f>IF(L5&gt;12, IF(L5&gt;CST_DEP_BLDG+12,0,('CAPEX Schedule'!$II$13)/CST_DEP_BLDG),0)</f>
        <v>0</v>
      </c>
      <c r="M40" s="81">
        <f>IF(M5&gt;12, IF(M5&gt;CST_DEP_BLDG+12,0,('CAPEX Schedule'!$II$13)/CST_DEP_BLDG),0)</f>
        <v>0</v>
      </c>
      <c r="N40" s="81">
        <f>IF(N5&gt;12, IF(N5&gt;CST_DEP_BLDG+12,0,('CAPEX Schedule'!$II$13)/CST_DEP_BLDG),0)</f>
        <v>0</v>
      </c>
      <c r="O40" s="81">
        <f>IF(O5&gt;12, IF(O5&gt;CST_DEP_BLDG+12,0,('CAPEX Schedule'!$II$13)/CST_DEP_BLDG),0)</f>
        <v>5753592.9706652779</v>
      </c>
      <c r="P40" s="81">
        <f>IF(P5&gt;12, IF(P5&gt;CST_DEP_BLDG+12,0,('CAPEX Schedule'!$II$13)/CST_DEP_BLDG),0)</f>
        <v>5753592.9706652779</v>
      </c>
      <c r="Q40" s="81">
        <f>IF(Q5&gt;12, IF(Q5&gt;CST_DEP_BLDG+12,0,('CAPEX Schedule'!$II$13)/CST_DEP_BLDG),0)</f>
        <v>5753592.9706652779</v>
      </c>
      <c r="R40" s="81">
        <f>IF(R5&gt;12, IF(R5&gt;CST_DEP_BLDG+12,0,('CAPEX Schedule'!$II$13)/CST_DEP_BLDG),0)</f>
        <v>5753592.9706652779</v>
      </c>
      <c r="S40" s="81">
        <f>IF(S5&gt;12, IF(S5&gt;CST_DEP_BLDG+12,0,('CAPEX Schedule'!$II$13)/CST_DEP_BLDG),0)</f>
        <v>5753592.9706652779</v>
      </c>
      <c r="T40" s="81">
        <f>IF(T5&gt;12, IF(T5&gt;CST_DEP_BLDG+12,0,('CAPEX Schedule'!$II$13)/CST_DEP_BLDG),0)</f>
        <v>5753592.9706652779</v>
      </c>
      <c r="U40" s="81">
        <f>IF(U5&gt;12, IF(U5&gt;CST_DEP_BLDG+12,0,('CAPEX Schedule'!$II$13)/CST_DEP_BLDG),0)</f>
        <v>5753592.9706652779</v>
      </c>
      <c r="V40" s="81">
        <f>IF(V5&gt;12, IF(V5&gt;CST_DEP_BLDG+12,0,('CAPEX Schedule'!$II$13)/CST_DEP_BLDG),0)</f>
        <v>5753592.9706652779</v>
      </c>
      <c r="W40" s="81">
        <f>IF(W5&gt;12, IF(W5&gt;CST_DEP_BLDG+12,0,('CAPEX Schedule'!$II$13)/CST_DEP_BLDG),0)</f>
        <v>5753592.9706652779</v>
      </c>
      <c r="X40" s="81">
        <f>IF(X5&gt;12, IF(X5&gt;CST_DEP_BLDG+12,0,('CAPEX Schedule'!$II$13)/CST_DEP_BLDG),0)</f>
        <v>5753592.9706652779</v>
      </c>
      <c r="Y40" s="81">
        <f>IF(Y5&gt;12, IF(Y5&gt;CST_DEP_BLDG+12,0,('CAPEX Schedule'!$II$13)/CST_DEP_BLDG),0)</f>
        <v>5753592.9706652779</v>
      </c>
      <c r="Z40" s="81">
        <f>IF(Z5&gt;12, IF(Z5&gt;CST_DEP_BLDG+12,0,('CAPEX Schedule'!$II$13)/CST_DEP_BLDG),0)</f>
        <v>5753592.9706652779</v>
      </c>
      <c r="AA40" s="81">
        <f>IF(AA5&gt;12, IF(AA5&gt;CST_DEP_BLDG+12,0,('CAPEX Schedule'!$II$13)/CST_DEP_BLDG),0)</f>
        <v>5753592.9706652779</v>
      </c>
      <c r="AB40" s="81">
        <f>IF(AB5&gt;12, IF(AB5&gt;CST_DEP_BLDG+12,0,('CAPEX Schedule'!$II$13)/CST_DEP_BLDG),0)</f>
        <v>5753592.9706652779</v>
      </c>
      <c r="AC40" s="81">
        <f>IF(AC5&gt;12, IF(AC5&gt;CST_DEP_BLDG+12,0,('CAPEX Schedule'!$II$13)/CST_DEP_BLDG),0)</f>
        <v>5753592.9706652779</v>
      </c>
      <c r="AD40" s="81">
        <f>IF(AD5&gt;12, IF(AD5&gt;CST_DEP_BLDG+12,0,('CAPEX Schedule'!$II$13)/CST_DEP_BLDG),0)</f>
        <v>5753592.9706652779</v>
      </c>
      <c r="AE40" s="81">
        <f>IF(AE5&gt;12, IF(AE5&gt;CST_DEP_BLDG+12,0,('CAPEX Schedule'!$II$13)/CST_DEP_BLDG),0)</f>
        <v>5753592.9706652779</v>
      </c>
      <c r="AF40" s="81">
        <f>IF(AF5&gt;12, IF(AF5&gt;CST_DEP_BLDG+12,0,('CAPEX Schedule'!$II$13)/CST_DEP_BLDG),0)</f>
        <v>5753592.9706652779</v>
      </c>
      <c r="AG40" s="81">
        <f>IF(AG5&gt;12, IF(AG5&gt;CST_DEP_BLDG+12,0,('CAPEX Schedule'!$II$13)/CST_DEP_BLDG),0)</f>
        <v>5753592.9706652779</v>
      </c>
      <c r="AH40" s="81">
        <f>IF(AH5&gt;12, IF(AH5&gt;CST_DEP_BLDG+12,0,('CAPEX Schedule'!$II$13)/CST_DEP_BLDG),0)</f>
        <v>5753592.9706652779</v>
      </c>
      <c r="AI40" s="81">
        <f>IF(AI5&gt;12, IF(AI5&gt;CST_DEP_BLDG+12,0,('CAPEX Schedule'!$II$13)/CST_DEP_BLDG),0)</f>
        <v>5753592.9706652779</v>
      </c>
      <c r="AJ40" s="81">
        <f>IF(AJ5&gt;12, IF(AJ5&gt;CST_DEP_BLDG+12,0,('CAPEX Schedule'!$II$13)/CST_DEP_BLDG),0)</f>
        <v>5753592.9706652779</v>
      </c>
      <c r="AK40" s="81">
        <f>IF(AK5&gt;12, IF(AK5&gt;CST_DEP_BLDG+12,0,('CAPEX Schedule'!$II$13)/CST_DEP_BLDG),0)</f>
        <v>5753592.9706652779</v>
      </c>
      <c r="AL40" s="81">
        <f>IF(AL5&gt;12, IF(AL5&gt;CST_DEP_BLDG+12,0,('CAPEX Schedule'!$II$13)/CST_DEP_BLDG),0)</f>
        <v>5753592.9706652779</v>
      </c>
      <c r="AM40" s="81">
        <f>IF(AM5&gt;12, IF(AM5&gt;CST_DEP_BLDG+12,0,('CAPEX Schedule'!$II$13)/CST_DEP_BLDG),0)</f>
        <v>5753592.9706652779</v>
      </c>
      <c r="AN40" s="81">
        <f>IF(AN5&gt;12, IF(AN5&gt;CST_DEP_BLDG+12,0,('CAPEX Schedule'!$II$13)/CST_DEP_BLDG),0)</f>
        <v>5753592.9706652779</v>
      </c>
      <c r="AO40" s="81">
        <f>IF(AO5&gt;12, IF(AO5&gt;CST_DEP_BLDG+12,0,('CAPEX Schedule'!$II$13)/CST_DEP_BLDG),0)</f>
        <v>5753592.9706652779</v>
      </c>
      <c r="AP40" s="81">
        <f>IF(AP5&gt;12, IF(AP5&gt;CST_DEP_BLDG+12,0,('CAPEX Schedule'!$II$13)/CST_DEP_BLDG),0)</f>
        <v>5753592.9706652779</v>
      </c>
      <c r="AQ40" s="81">
        <f>IF(AQ5&gt;12, IF(AQ5&gt;CST_DEP_BLDG+12,0,('CAPEX Schedule'!$II$13)/CST_DEP_BLDG),0)</f>
        <v>5753592.9706652779</v>
      </c>
      <c r="AR40" s="81">
        <f>IF(AR5&gt;12, IF(AR5&gt;CST_DEP_BLDG+12,0,('CAPEX Schedule'!$II$13)/CST_DEP_BLDG),0)</f>
        <v>5753592.9706652779</v>
      </c>
      <c r="AS40" s="81">
        <f>IF(AS5&gt;12, IF(AS5&gt;CST_DEP_BLDG+12,0,('CAPEX Schedule'!$II$13)/CST_DEP_BLDG),0)</f>
        <v>5753592.9706652779</v>
      </c>
      <c r="AT40" s="81">
        <f>IF(AT5&gt;12, IF(AT5&gt;CST_DEP_BLDG+12,0,('CAPEX Schedule'!$II$13)/CST_DEP_BLDG),0)</f>
        <v>5753592.9706652779</v>
      </c>
      <c r="AU40" s="81">
        <f>IF(AU5&gt;12, IF(AU5&gt;CST_DEP_BLDG+12,0,('CAPEX Schedule'!$II$13)/CST_DEP_BLDG),0)</f>
        <v>5753592.9706652779</v>
      </c>
      <c r="AV40" s="81">
        <f>IF(AV5&gt;12, IF(AV5&gt;CST_DEP_BLDG+12,0,('CAPEX Schedule'!$II$13)/CST_DEP_BLDG),0)</f>
        <v>5753592.9706652779</v>
      </c>
      <c r="AW40" s="81">
        <f>IF(AW5&gt;12, IF(AW5&gt;CST_DEP_BLDG+12,0,('CAPEX Schedule'!$II$13)/CST_DEP_BLDG),0)</f>
        <v>5753592.9706652779</v>
      </c>
      <c r="AX40" s="81">
        <f>IF(AX5&gt;12, IF(AX5&gt;CST_DEP_BLDG+12,0,('CAPEX Schedule'!$II$13)/CST_DEP_BLDG),0)</f>
        <v>5753592.9706652779</v>
      </c>
      <c r="AY40" s="81">
        <f>IF(AY5&gt;12, IF(AY5&gt;CST_DEP_BLDG+12,0,('CAPEX Schedule'!$II$13)/CST_DEP_BLDG),0)</f>
        <v>5753592.9706652779</v>
      </c>
      <c r="AZ40" s="81">
        <f>IF(AZ5&gt;12, IF(AZ5&gt;CST_DEP_BLDG+12,0,('CAPEX Schedule'!$II$13)/CST_DEP_BLDG),0)</f>
        <v>5753592.9706652779</v>
      </c>
      <c r="BA40" s="81">
        <f>IF(BA5&gt;12, IF(BA5&gt;CST_DEP_BLDG+12,0,('CAPEX Schedule'!$II$13)/CST_DEP_BLDG),0)</f>
        <v>5753592.9706652779</v>
      </c>
      <c r="BB40" s="81">
        <f>IF(BB5&gt;12, IF(BB5&gt;CST_DEP_BLDG+12,0,('CAPEX Schedule'!$II$13)/CST_DEP_BLDG),0)</f>
        <v>5753592.9706652779</v>
      </c>
      <c r="BC40" s="81">
        <f>IF(BC5&gt;12, IF(BC5&gt;CST_DEP_BLDG+12,0,('CAPEX Schedule'!$II$13)/CST_DEP_BLDG),0)</f>
        <v>5753592.9706652779</v>
      </c>
      <c r="BD40" s="81">
        <f>IF(BD5&gt;12, IF(BD5&gt;CST_DEP_BLDG+12,0,('CAPEX Schedule'!$II$13)/CST_DEP_BLDG),0)</f>
        <v>5753592.9706652779</v>
      </c>
      <c r="BE40" s="81">
        <f>IF(BE5&gt;12, IF(BE5&gt;CST_DEP_BLDG+12,0,('CAPEX Schedule'!$II$13)/CST_DEP_BLDG),0)</f>
        <v>5753592.9706652779</v>
      </c>
      <c r="BF40" s="81">
        <f>IF(BF5&gt;12, IF(BF5&gt;CST_DEP_BLDG+12,0,('CAPEX Schedule'!$II$13)/CST_DEP_BLDG),0)</f>
        <v>5753592.9706652779</v>
      </c>
      <c r="BG40" s="81">
        <f>IF(BG5&gt;12, IF(BG5&gt;CST_DEP_BLDG+12,0,('CAPEX Schedule'!$II$13)/CST_DEP_BLDG),0)</f>
        <v>5753592.9706652779</v>
      </c>
      <c r="BH40" s="81">
        <f>IF(BH5&gt;12, IF(BH5&gt;CST_DEP_BLDG+12,0,('CAPEX Schedule'!$II$13)/CST_DEP_BLDG),0)</f>
        <v>5753592.9706652779</v>
      </c>
      <c r="BI40" s="81">
        <f>IF(BI5&gt;12, IF(BI5&gt;CST_DEP_BLDG+12,0,('CAPEX Schedule'!$II$13)/CST_DEP_BLDG),0)</f>
        <v>5753592.9706652779</v>
      </c>
      <c r="BJ40" s="81">
        <f>IF(BJ5&gt;12, IF(BJ5&gt;CST_DEP_BLDG+12,0,('CAPEX Schedule'!$II$13)/CST_DEP_BLDG),0)</f>
        <v>5753592.9706652779</v>
      </c>
      <c r="BK40" s="81">
        <f>IF(BK5&gt;12, IF(BK5&gt;CST_DEP_BLDG+12,0,('CAPEX Schedule'!$II$13)/CST_DEP_BLDG),0)</f>
        <v>5753592.9706652779</v>
      </c>
      <c r="BL40" s="81">
        <f>IF(BL5&gt;12, IF(BL5&gt;CST_DEP_BLDG+12,0,('CAPEX Schedule'!$II$13)/CST_DEP_BLDG),0)</f>
        <v>5753592.9706652779</v>
      </c>
      <c r="BM40" s="81">
        <f>IF(BM5&gt;12, IF(BM5&gt;CST_DEP_BLDG+12,0,('CAPEX Schedule'!$II$13)/CST_DEP_BLDG),0)</f>
        <v>5753592.9706652779</v>
      </c>
      <c r="BN40" s="81">
        <f>IF(BN5&gt;12, IF(BN5&gt;CST_DEP_BLDG+12,0,('CAPEX Schedule'!$II$13)/CST_DEP_BLDG),0)</f>
        <v>5753592.9706652779</v>
      </c>
      <c r="BO40" s="81">
        <f>IF(BO5&gt;12, IF(BO5&gt;CST_DEP_BLDG+12,0,('CAPEX Schedule'!$II$13)/CST_DEP_BLDG),0)</f>
        <v>5753592.9706652779</v>
      </c>
      <c r="BP40" s="81">
        <f>IF(BP5&gt;12, IF(BP5&gt;CST_DEP_BLDG+12,0,('CAPEX Schedule'!$II$13)/CST_DEP_BLDG),0)</f>
        <v>5753592.9706652779</v>
      </c>
      <c r="BQ40" s="81">
        <f>IF(BQ5&gt;12, IF(BQ5&gt;CST_DEP_BLDG+12,0,('CAPEX Schedule'!$II$13)/CST_DEP_BLDG),0)</f>
        <v>5753592.9706652779</v>
      </c>
      <c r="BR40" s="81">
        <f>IF(BR5&gt;12, IF(BR5&gt;CST_DEP_BLDG+12,0,('CAPEX Schedule'!$II$13)/CST_DEP_BLDG),0)</f>
        <v>5753592.9706652779</v>
      </c>
      <c r="BS40" s="81">
        <f>IF(BS5&gt;12, IF(BS5&gt;CST_DEP_BLDG+12,0,('CAPEX Schedule'!$II$13)/CST_DEP_BLDG),0)</f>
        <v>5753592.9706652779</v>
      </c>
      <c r="BT40" s="81">
        <f>IF(BT5&gt;12, IF(BT5&gt;CST_DEP_BLDG+12,0,('CAPEX Schedule'!$II$13)/CST_DEP_BLDG),0)</f>
        <v>5753592.9706652779</v>
      </c>
      <c r="BU40" s="81">
        <f>IF(BU5&gt;12, IF(BU5&gt;CST_DEP_BLDG+12,0,('CAPEX Schedule'!$II$13)/CST_DEP_BLDG),0)</f>
        <v>5753592.9706652779</v>
      </c>
      <c r="BV40" s="81">
        <f>IF(BV5&gt;12, IF(BV5&gt;CST_DEP_BLDG+12,0,('CAPEX Schedule'!$II$13)/CST_DEP_BLDG),0)</f>
        <v>5753592.9706652779</v>
      </c>
      <c r="BW40" s="81">
        <f>IF(BW5&gt;12, IF(BW5&gt;CST_DEP_BLDG+12,0,('CAPEX Schedule'!$II$13)/CST_DEP_BLDG),0)</f>
        <v>5753592.9706652779</v>
      </c>
      <c r="BX40" s="81">
        <f>IF(BX5&gt;12, IF(BX5&gt;CST_DEP_BLDG+12,0,('CAPEX Schedule'!$II$13)/CST_DEP_BLDG),0)</f>
        <v>5753592.9706652779</v>
      </c>
      <c r="BY40" s="81">
        <f>IF(BY5&gt;12, IF(BY5&gt;CST_DEP_BLDG+12,0,('CAPEX Schedule'!$II$13)/CST_DEP_BLDG),0)</f>
        <v>5753592.9706652779</v>
      </c>
      <c r="BZ40" s="81">
        <f>IF(BZ5&gt;12, IF(BZ5&gt;CST_DEP_BLDG+12,0,('CAPEX Schedule'!$II$13)/CST_DEP_BLDG),0)</f>
        <v>5753592.9706652779</v>
      </c>
      <c r="CA40" s="81">
        <f>IF(CA5&gt;12, IF(CA5&gt;CST_DEP_BLDG+12,0,('CAPEX Schedule'!$II$13)/CST_DEP_BLDG),0)</f>
        <v>5753592.9706652779</v>
      </c>
      <c r="CB40" s="81">
        <f>IF(CB5&gt;12, IF(CB5&gt;CST_DEP_BLDG+12,0,('CAPEX Schedule'!$II$13)/CST_DEP_BLDG),0)</f>
        <v>5753592.9706652779</v>
      </c>
      <c r="CC40" s="81">
        <f>IF(CC5&gt;12, IF(CC5&gt;CST_DEP_BLDG+12,0,('CAPEX Schedule'!$II$13)/CST_DEP_BLDG),0)</f>
        <v>5753592.9706652779</v>
      </c>
      <c r="CD40" s="81">
        <f>IF(CD5&gt;12, IF(CD5&gt;CST_DEP_BLDG+12,0,('CAPEX Schedule'!$II$13)/CST_DEP_BLDG),0)</f>
        <v>5753592.9706652779</v>
      </c>
      <c r="CE40" s="81">
        <f>IF(CE5&gt;12, IF(CE5&gt;CST_DEP_BLDG+12,0,('CAPEX Schedule'!$II$13)/CST_DEP_BLDG),0)</f>
        <v>5753592.9706652779</v>
      </c>
      <c r="CF40" s="81">
        <f>IF(CF5&gt;12, IF(CF5&gt;CST_DEP_BLDG+12,0,('CAPEX Schedule'!$II$13)/CST_DEP_BLDG),0)</f>
        <v>5753592.9706652779</v>
      </c>
      <c r="CG40" s="81">
        <f>IF(CG5&gt;12, IF(CG5&gt;CST_DEP_BLDG+12,0,('CAPEX Schedule'!$II$13)/CST_DEP_BLDG),0)</f>
        <v>5753592.9706652779</v>
      </c>
      <c r="CH40" s="81">
        <f>IF(CH5&gt;12, IF(CH5&gt;CST_DEP_BLDG+12,0,('CAPEX Schedule'!$II$13)/CST_DEP_BLDG),0)</f>
        <v>5753592.9706652779</v>
      </c>
      <c r="CI40" s="81">
        <f>IF(CI5&gt;12, IF(CI5&gt;CST_DEP_BLDG+12,0,('CAPEX Schedule'!$II$13)/CST_DEP_BLDG),0)</f>
        <v>5753592.9706652779</v>
      </c>
      <c r="CJ40" s="81">
        <f>IF(CJ5&gt;12, IF(CJ5&gt;CST_DEP_BLDG+12,0,('CAPEX Schedule'!$II$13)/CST_DEP_BLDG),0)</f>
        <v>5753592.9706652779</v>
      </c>
      <c r="CK40" s="81">
        <f>IF(CK5&gt;12, IF(CK5&gt;CST_DEP_BLDG+12,0,('CAPEX Schedule'!$II$13)/CST_DEP_BLDG),0)</f>
        <v>5753592.9706652779</v>
      </c>
      <c r="CL40" s="81">
        <f>IF(CL5&gt;12, IF(CL5&gt;CST_DEP_BLDG+12,0,('CAPEX Schedule'!$II$13)/CST_DEP_BLDG),0)</f>
        <v>5753592.9706652779</v>
      </c>
      <c r="CM40" s="81">
        <f>IF(CM5&gt;12, IF(CM5&gt;CST_DEP_BLDG+12,0,('CAPEX Schedule'!$II$13)/CST_DEP_BLDG),0)</f>
        <v>5753592.9706652779</v>
      </c>
      <c r="CN40" s="81">
        <f>IF(CN5&gt;12, IF(CN5&gt;CST_DEP_BLDG+12,0,('CAPEX Schedule'!$II$13)/CST_DEP_BLDG),0)</f>
        <v>5753592.9706652779</v>
      </c>
      <c r="CO40" s="81">
        <f>IF(CO5&gt;12, IF(CO5&gt;CST_DEP_BLDG+12,0,('CAPEX Schedule'!$II$13)/CST_DEP_BLDG),0)</f>
        <v>5753592.9706652779</v>
      </c>
      <c r="CP40" s="81">
        <f>IF(CP5&gt;12, IF(CP5&gt;CST_DEP_BLDG+12,0,('CAPEX Schedule'!$II$13)/CST_DEP_BLDG),0)</f>
        <v>5753592.9706652779</v>
      </c>
      <c r="CQ40" s="81">
        <f>IF(CQ5&gt;12, IF(CQ5&gt;CST_DEP_BLDG+12,0,('CAPEX Schedule'!$II$13)/CST_DEP_BLDG),0)</f>
        <v>5753592.9706652779</v>
      </c>
      <c r="CR40" s="81">
        <f>IF(CR5&gt;12, IF(CR5&gt;CST_DEP_BLDG+12,0,('CAPEX Schedule'!$II$13)/CST_DEP_BLDG),0)</f>
        <v>5753592.9706652779</v>
      </c>
      <c r="CS40" s="81">
        <f>IF(CS5&gt;12, IF(CS5&gt;CST_DEP_BLDG+12,0,('CAPEX Schedule'!$II$13)/CST_DEP_BLDG),0)</f>
        <v>5753592.9706652779</v>
      </c>
      <c r="CT40" s="81">
        <f>IF(CT5&gt;12, IF(CT5&gt;CST_DEP_BLDG+12,0,('CAPEX Schedule'!$II$13)/CST_DEP_BLDG),0)</f>
        <v>5753592.9706652779</v>
      </c>
      <c r="CU40" s="81">
        <f>IF(CU5&gt;12, IF(CU5&gt;CST_DEP_BLDG+12,0,('CAPEX Schedule'!$II$13)/CST_DEP_BLDG),0)</f>
        <v>5753592.9706652779</v>
      </c>
      <c r="CV40" s="81">
        <f>IF(CV5&gt;12, IF(CV5&gt;CST_DEP_BLDG+12,0,('CAPEX Schedule'!$II$13)/CST_DEP_BLDG),0)</f>
        <v>5753592.9706652779</v>
      </c>
      <c r="CW40" s="81">
        <f>IF(CW5&gt;12, IF(CW5&gt;CST_DEP_BLDG+12,0,('CAPEX Schedule'!$II$13)/CST_DEP_BLDG),0)</f>
        <v>5753592.9706652779</v>
      </c>
      <c r="CX40" s="81">
        <f>IF(CX5&gt;12, IF(CX5&gt;CST_DEP_BLDG+12,0,('CAPEX Schedule'!$II$13)/CST_DEP_BLDG),0)</f>
        <v>5753592.9706652779</v>
      </c>
      <c r="CY40" s="81">
        <f>IF(CY5&gt;12, IF(CY5&gt;CST_DEP_BLDG+12,0,('CAPEX Schedule'!$II$13)/CST_DEP_BLDG),0)</f>
        <v>5753592.9706652779</v>
      </c>
      <c r="CZ40" s="81">
        <f>IF(CZ5&gt;12, IF(CZ5&gt;CST_DEP_BLDG+12,0,('CAPEX Schedule'!$II$13)/CST_DEP_BLDG),0)</f>
        <v>5753592.9706652779</v>
      </c>
      <c r="DA40" s="81">
        <f>IF(DA5&gt;12, IF(DA5&gt;CST_DEP_BLDG+12,0,('CAPEX Schedule'!$II$13)/CST_DEP_BLDG),0)</f>
        <v>5753592.9706652779</v>
      </c>
      <c r="DB40" s="81">
        <f>IF(DB5&gt;12, IF(DB5&gt;CST_DEP_BLDG+12,0,('CAPEX Schedule'!$II$13)/CST_DEP_BLDG),0)</f>
        <v>5753592.9706652779</v>
      </c>
      <c r="DC40" s="81">
        <f>IF(DC5&gt;12, IF(DC5&gt;CST_DEP_BLDG+12,0,('CAPEX Schedule'!$II$13)/CST_DEP_BLDG),0)</f>
        <v>5753592.9706652779</v>
      </c>
      <c r="DD40" s="81">
        <f>IF(DD5&gt;12, IF(DD5&gt;CST_DEP_BLDG+12,0,('CAPEX Schedule'!$II$13)/CST_DEP_BLDG),0)</f>
        <v>5753592.9706652779</v>
      </c>
      <c r="DE40" s="81">
        <f>IF(DE5&gt;12, IF(DE5&gt;CST_DEP_BLDG+12,0,('CAPEX Schedule'!$II$13)/CST_DEP_BLDG),0)</f>
        <v>5753592.9706652779</v>
      </c>
      <c r="DF40" s="81">
        <f>IF(DF5&gt;12, IF(DF5&gt;CST_DEP_BLDG+12,0,('CAPEX Schedule'!$II$13)/CST_DEP_BLDG),0)</f>
        <v>5753592.9706652779</v>
      </c>
      <c r="DG40" s="81">
        <f>IF(DG5&gt;12, IF(DG5&gt;CST_DEP_BLDG+12,0,('CAPEX Schedule'!$II$13)/CST_DEP_BLDG),0)</f>
        <v>5753592.9706652779</v>
      </c>
      <c r="DH40" s="81">
        <f>IF(DH5&gt;12, IF(DH5&gt;CST_DEP_BLDG+12,0,('CAPEX Schedule'!$II$13)/CST_DEP_BLDG),0)</f>
        <v>5753592.9706652779</v>
      </c>
      <c r="DI40" s="81">
        <f>IF(DI5&gt;12, IF(DI5&gt;CST_DEP_BLDG+12,0,('CAPEX Schedule'!$II$13)/CST_DEP_BLDG),0)</f>
        <v>5753592.9706652779</v>
      </c>
      <c r="DJ40" s="81">
        <f>IF(DJ5&gt;12, IF(DJ5&gt;CST_DEP_BLDG+12,0,('CAPEX Schedule'!$II$13)/CST_DEP_BLDG),0)</f>
        <v>5753592.9706652779</v>
      </c>
      <c r="DK40" s="81">
        <f>IF(DK5&gt;12, IF(DK5&gt;CST_DEP_BLDG+12,0,('CAPEX Schedule'!$II$13)/CST_DEP_BLDG),0)</f>
        <v>5753592.9706652779</v>
      </c>
      <c r="DL40" s="81">
        <f>IF(DL5&gt;12, IF(DL5&gt;CST_DEP_BLDG+12,0,('CAPEX Schedule'!$II$13)/CST_DEP_BLDG),0)</f>
        <v>5753592.9706652779</v>
      </c>
      <c r="DM40" s="81">
        <f>IF(DM5&gt;12, IF(DM5&gt;CST_DEP_BLDG+12,0,('CAPEX Schedule'!$II$13)/CST_DEP_BLDG),0)</f>
        <v>5753592.9706652779</v>
      </c>
      <c r="DN40" s="81">
        <f>IF(DN5&gt;12, IF(DN5&gt;CST_DEP_BLDG+12,0,('CAPEX Schedule'!$II$13)/CST_DEP_BLDG),0)</f>
        <v>5753592.9706652779</v>
      </c>
      <c r="DO40" s="81">
        <f>IF(DO5&gt;12, IF(DO5&gt;CST_DEP_BLDG+12,0,('CAPEX Schedule'!$II$13)/CST_DEP_BLDG),0)</f>
        <v>5753592.9706652779</v>
      </c>
      <c r="DP40" s="81">
        <f>IF(DP5&gt;12, IF(DP5&gt;CST_DEP_BLDG+12,0,('CAPEX Schedule'!$II$13)/CST_DEP_BLDG),0)</f>
        <v>5753592.9706652779</v>
      </c>
      <c r="DQ40" s="81">
        <f>IF(DQ5&gt;12, IF(DQ5&gt;CST_DEP_BLDG+12,0,('CAPEX Schedule'!$II$13)/CST_DEP_BLDG),0)</f>
        <v>5753592.9706652779</v>
      </c>
      <c r="DR40" s="81">
        <f>IF(DR5&gt;12, IF(DR5&gt;CST_DEP_BLDG+12,0,('CAPEX Schedule'!$II$13)/CST_DEP_BLDG),0)</f>
        <v>5753592.9706652779</v>
      </c>
      <c r="DS40" s="81">
        <f>IF(DS5&gt;12, IF(DS5&gt;CST_DEP_BLDG+12,0,('CAPEX Schedule'!$II$13)/CST_DEP_BLDG),0)</f>
        <v>5753592.9706652779</v>
      </c>
      <c r="DT40" s="81">
        <f>IF(DT5&gt;12, IF(DT5&gt;CST_DEP_BLDG+12,0,('CAPEX Schedule'!$II$13)/CST_DEP_BLDG),0)</f>
        <v>5753592.9706652779</v>
      </c>
      <c r="DU40" s="81">
        <f>IF(DU5&gt;12, IF(DU5&gt;CST_DEP_BLDG+12,0,('CAPEX Schedule'!$II$13)/CST_DEP_BLDG),0)</f>
        <v>5753592.9706652779</v>
      </c>
      <c r="DV40" s="81">
        <f>IF(DV5&gt;12, IF(DV5&gt;CST_DEP_BLDG+12,0,('CAPEX Schedule'!$II$13)/CST_DEP_BLDG),0)</f>
        <v>5753592.9706652779</v>
      </c>
      <c r="DW40" s="81">
        <f>IF(DW5&gt;12, IF(DW5&gt;CST_DEP_BLDG+12,0,('CAPEX Schedule'!$II$13)/CST_DEP_BLDG),0)</f>
        <v>5753592.9706652779</v>
      </c>
      <c r="DX40" s="81">
        <f>IF(DX5&gt;12, IF(DX5&gt;CST_DEP_BLDG+12,0,('CAPEX Schedule'!$II$13)/CST_DEP_BLDG),0)</f>
        <v>5753592.9706652779</v>
      </c>
      <c r="DY40" s="81">
        <f>IF(DY5&gt;12, IF(DY5&gt;CST_DEP_BLDG+12,0,('CAPEX Schedule'!$II$13)/CST_DEP_BLDG),0)</f>
        <v>5753592.9706652779</v>
      </c>
      <c r="DZ40" s="81">
        <f>IF(DZ5&gt;12, IF(DZ5&gt;CST_DEP_BLDG+12,0,('CAPEX Schedule'!$II$13)/CST_DEP_BLDG),0)</f>
        <v>5753592.9706652779</v>
      </c>
      <c r="EA40" s="81">
        <f>IF(EA5&gt;12, IF(EA5&gt;CST_DEP_BLDG+12,0,('CAPEX Schedule'!$II$13)/CST_DEP_BLDG),0)</f>
        <v>5753592.9706652779</v>
      </c>
      <c r="EB40" s="81">
        <f>IF(EB5&gt;12, IF(EB5&gt;CST_DEP_BLDG+12,0,('CAPEX Schedule'!$II$13)/CST_DEP_BLDG),0)</f>
        <v>5753592.9706652779</v>
      </c>
      <c r="EC40" s="81">
        <f>IF(EC5&gt;12, IF(EC5&gt;CST_DEP_BLDG+12,0,('CAPEX Schedule'!$II$13)/CST_DEP_BLDG),0)</f>
        <v>5753592.9706652779</v>
      </c>
      <c r="ED40" s="81">
        <f>IF(ED5&gt;12, IF(ED5&gt;CST_DEP_BLDG+12,0,('CAPEX Schedule'!$II$13)/CST_DEP_BLDG),0)</f>
        <v>5753592.9706652779</v>
      </c>
      <c r="EE40" s="81">
        <f>IF(EE5&gt;12, IF(EE5&gt;CST_DEP_BLDG+12,0,('CAPEX Schedule'!$II$13)/CST_DEP_BLDG),0)</f>
        <v>5753592.9706652779</v>
      </c>
      <c r="EF40" s="81">
        <f>IF(EF5&gt;12, IF(EF5&gt;CST_DEP_BLDG+12,0,('CAPEX Schedule'!$II$13)/CST_DEP_BLDG),0)</f>
        <v>5753592.9706652779</v>
      </c>
      <c r="EG40" s="81">
        <f>IF(EG5&gt;12, IF(EG5&gt;CST_DEP_BLDG+12,0,('CAPEX Schedule'!$II$13)/CST_DEP_BLDG),0)</f>
        <v>5753592.9706652779</v>
      </c>
      <c r="EH40" s="81">
        <f>IF(EH5&gt;12, IF(EH5&gt;CST_DEP_BLDG+12,0,('CAPEX Schedule'!$II$13)/CST_DEP_BLDG),0)</f>
        <v>5753592.9706652779</v>
      </c>
      <c r="EI40" s="81">
        <f>IF(EI5&gt;12, IF(EI5&gt;CST_DEP_BLDG+12,0,('CAPEX Schedule'!$II$13)/CST_DEP_BLDG),0)</f>
        <v>5753592.9706652779</v>
      </c>
      <c r="EJ40" s="81">
        <f>IF(EJ5&gt;12, IF(EJ5&gt;CST_DEP_BLDG+12,0,('CAPEX Schedule'!$II$13)/CST_DEP_BLDG),0)</f>
        <v>5753592.9706652779</v>
      </c>
      <c r="EK40" s="81">
        <f>IF(EK5&gt;12, IF(EK5&gt;CST_DEP_BLDG+12,0,('CAPEX Schedule'!$II$13)/CST_DEP_BLDG),0)</f>
        <v>5753592.9706652779</v>
      </c>
      <c r="EL40" s="81">
        <f>IF(EL5&gt;12, IF(EL5&gt;CST_DEP_BLDG+12,0,('CAPEX Schedule'!$II$13)/CST_DEP_BLDG),0)</f>
        <v>5753592.9706652779</v>
      </c>
      <c r="EM40" s="81">
        <f>IF(EM5&gt;12, IF(EM5&gt;CST_DEP_BLDG+12,0,('CAPEX Schedule'!$II$13)/CST_DEP_BLDG),0)</f>
        <v>5753592.9706652779</v>
      </c>
      <c r="EN40" s="81">
        <f>IF(EN5&gt;12, IF(EN5&gt;CST_DEP_BLDG+12,0,('CAPEX Schedule'!$II$13)/CST_DEP_BLDG),0)</f>
        <v>5753592.9706652779</v>
      </c>
      <c r="EO40" s="81">
        <f>IF(EO5&gt;12, IF(EO5&gt;CST_DEP_BLDG+12,0,('CAPEX Schedule'!$II$13)/CST_DEP_BLDG),0)</f>
        <v>5753592.9706652779</v>
      </c>
      <c r="EP40" s="81">
        <f>IF(EP5&gt;12, IF(EP5&gt;CST_DEP_BLDG+12,0,('CAPEX Schedule'!$II$13)/CST_DEP_BLDG),0)</f>
        <v>5753592.9706652779</v>
      </c>
      <c r="EQ40" s="81">
        <f>IF(EQ5&gt;12, IF(EQ5&gt;CST_DEP_BLDG+12,0,('CAPEX Schedule'!$II$13)/CST_DEP_BLDG),0)</f>
        <v>5753592.9706652779</v>
      </c>
      <c r="ER40" s="81">
        <f>IF(ER5&gt;12, IF(ER5&gt;CST_DEP_BLDG+12,0,('CAPEX Schedule'!$II$13)/CST_DEP_BLDG),0)</f>
        <v>5753592.9706652779</v>
      </c>
      <c r="ES40" s="81">
        <f>IF(ES5&gt;12, IF(ES5&gt;CST_DEP_BLDG+12,0,('CAPEX Schedule'!$II$13)/CST_DEP_BLDG),0)</f>
        <v>5753592.9706652779</v>
      </c>
      <c r="ET40" s="81">
        <f>IF(ET5&gt;12, IF(ET5&gt;CST_DEP_BLDG+12,0,('CAPEX Schedule'!$II$13)/CST_DEP_BLDG),0)</f>
        <v>5753592.9706652779</v>
      </c>
      <c r="EU40" s="81">
        <f>IF(EU5&gt;12, IF(EU5&gt;CST_DEP_BLDG+12,0,('CAPEX Schedule'!$II$13)/CST_DEP_BLDG),0)</f>
        <v>5753592.9706652779</v>
      </c>
      <c r="EV40" s="81">
        <f>IF(EV5&gt;12, IF(EV5&gt;CST_DEP_BLDG+12,0,('CAPEX Schedule'!$II$13)/CST_DEP_BLDG),0)</f>
        <v>5753592.9706652779</v>
      </c>
      <c r="EW40" s="81">
        <f>IF(EW5&gt;12, IF(EW5&gt;CST_DEP_BLDG+12,0,('CAPEX Schedule'!$II$13)/CST_DEP_BLDG),0)</f>
        <v>5753592.9706652779</v>
      </c>
      <c r="EX40" s="81">
        <f>IF(EX5&gt;12, IF(EX5&gt;CST_DEP_BLDG+12,0,('CAPEX Schedule'!$II$13)/CST_DEP_BLDG),0)</f>
        <v>5753592.9706652779</v>
      </c>
      <c r="EY40" s="81">
        <f>IF(EY5&gt;12, IF(EY5&gt;CST_DEP_BLDG+12,0,('CAPEX Schedule'!$II$13)/CST_DEP_BLDG),0)</f>
        <v>5753592.9706652779</v>
      </c>
      <c r="EZ40" s="81">
        <f>IF(EZ5&gt;12, IF(EZ5&gt;CST_DEP_BLDG+12,0,('CAPEX Schedule'!$II$13)/CST_DEP_BLDG),0)</f>
        <v>5753592.9706652779</v>
      </c>
      <c r="FA40" s="81">
        <f>IF(FA5&gt;12, IF(FA5&gt;CST_DEP_BLDG+12,0,('CAPEX Schedule'!$II$13)/CST_DEP_BLDG),0)</f>
        <v>5753592.9706652779</v>
      </c>
      <c r="FB40" s="81">
        <f>IF(FB5&gt;12, IF(FB5&gt;CST_DEP_BLDG+12,0,('CAPEX Schedule'!$II$13)/CST_DEP_BLDG),0)</f>
        <v>5753592.9706652779</v>
      </c>
      <c r="FC40" s="81">
        <f>IF(FC5&gt;12, IF(FC5&gt;CST_DEP_BLDG+12,0,('CAPEX Schedule'!$II$13)/CST_DEP_BLDG),0)</f>
        <v>5753592.9706652779</v>
      </c>
      <c r="FD40" s="81">
        <f>IF(FD5&gt;12, IF(FD5&gt;CST_DEP_BLDG+12,0,('CAPEX Schedule'!$II$13)/CST_DEP_BLDG),0)</f>
        <v>5753592.9706652779</v>
      </c>
      <c r="FE40" s="81">
        <f>IF(FE5&gt;12, IF(FE5&gt;CST_DEP_BLDG+12,0,('CAPEX Schedule'!$II$13)/CST_DEP_BLDG),0)</f>
        <v>5753592.9706652779</v>
      </c>
      <c r="FF40" s="81">
        <f>IF(FF5&gt;12, IF(FF5&gt;CST_DEP_BLDG+12,0,('CAPEX Schedule'!$II$13)/CST_DEP_BLDG),0)</f>
        <v>5753592.9706652779</v>
      </c>
      <c r="FG40" s="81">
        <f>IF(FG5&gt;12, IF(FG5&gt;CST_DEP_BLDG+12,0,('CAPEX Schedule'!$II$13)/CST_DEP_BLDG),0)</f>
        <v>5753592.9706652779</v>
      </c>
      <c r="FH40" s="81">
        <f>IF(FH5&gt;12, IF(FH5&gt;CST_DEP_BLDG+12,0,('CAPEX Schedule'!$II$13)/CST_DEP_BLDG),0)</f>
        <v>5753592.9706652779</v>
      </c>
      <c r="FI40" s="81">
        <f>IF(FI5&gt;12, IF(FI5&gt;CST_DEP_BLDG+12,0,('CAPEX Schedule'!$II$13)/CST_DEP_BLDG),0)</f>
        <v>5753592.9706652779</v>
      </c>
      <c r="FJ40" s="81">
        <f>IF(FJ5&gt;12, IF(FJ5&gt;CST_DEP_BLDG+12,0,('CAPEX Schedule'!$II$13)/CST_DEP_BLDG),0)</f>
        <v>5753592.9706652779</v>
      </c>
      <c r="FK40" s="81">
        <f>IF(FK5&gt;12, IF(FK5&gt;CST_DEP_BLDG+12,0,('CAPEX Schedule'!$II$13)/CST_DEP_BLDG),0)</f>
        <v>5753592.9706652779</v>
      </c>
      <c r="FL40" s="81">
        <f>IF(FL5&gt;12, IF(FL5&gt;CST_DEP_BLDG+12,0,('CAPEX Schedule'!$II$13)/CST_DEP_BLDG),0)</f>
        <v>5753592.9706652779</v>
      </c>
      <c r="FM40" s="81">
        <f>IF(FM5&gt;12, IF(FM5&gt;CST_DEP_BLDG+12,0,('CAPEX Schedule'!$II$13)/CST_DEP_BLDG),0)</f>
        <v>5753592.9706652779</v>
      </c>
      <c r="FN40" s="81">
        <f>IF(FN5&gt;12, IF(FN5&gt;CST_DEP_BLDG+12,0,('CAPEX Schedule'!$II$13)/CST_DEP_BLDG),0)</f>
        <v>5753592.9706652779</v>
      </c>
      <c r="FO40" s="81">
        <f>IF(FO5&gt;12, IF(FO5&gt;CST_DEP_BLDG+12,0,('CAPEX Schedule'!$II$13)/CST_DEP_BLDG),0)</f>
        <v>5753592.9706652779</v>
      </c>
      <c r="FP40" s="81">
        <f>IF(FP5&gt;12, IF(FP5&gt;CST_DEP_BLDG+12,0,('CAPEX Schedule'!$II$13)/CST_DEP_BLDG),0)</f>
        <v>5753592.9706652779</v>
      </c>
      <c r="FQ40" s="81">
        <f>IF(FQ5&gt;12, IF(FQ5&gt;CST_DEP_BLDG+12,0,('CAPEX Schedule'!$II$13)/CST_DEP_BLDG),0)</f>
        <v>5753592.9706652779</v>
      </c>
      <c r="FR40" s="81">
        <f>IF(FR5&gt;12, IF(FR5&gt;CST_DEP_BLDG+12,0,('CAPEX Schedule'!$II$13)/CST_DEP_BLDG),0)</f>
        <v>5753592.9706652779</v>
      </c>
      <c r="FS40" s="81">
        <f>IF(FS5&gt;12, IF(FS5&gt;CST_DEP_BLDG+12,0,('CAPEX Schedule'!$II$13)/CST_DEP_BLDG),0)</f>
        <v>5753592.9706652779</v>
      </c>
      <c r="FT40" s="81">
        <f>IF(FT5&gt;12, IF(FT5&gt;CST_DEP_BLDG+12,0,('CAPEX Schedule'!$II$13)/CST_DEP_BLDG),0)</f>
        <v>5753592.9706652779</v>
      </c>
      <c r="FU40" s="81">
        <f>IF(FU5&gt;12, IF(FU5&gt;CST_DEP_BLDG+12,0,('CAPEX Schedule'!$II$13)/CST_DEP_BLDG),0)</f>
        <v>5753592.9706652779</v>
      </c>
      <c r="FV40" s="81">
        <f>IF(FV5&gt;12, IF(FV5&gt;CST_DEP_BLDG+12,0,('CAPEX Schedule'!$II$13)/CST_DEP_BLDG),0)</f>
        <v>5753592.9706652779</v>
      </c>
      <c r="FW40" s="81">
        <f>IF(FW5&gt;12, IF(FW5&gt;CST_DEP_BLDG+12,0,('CAPEX Schedule'!$II$13)/CST_DEP_BLDG),0)</f>
        <v>5753592.9706652779</v>
      </c>
      <c r="FX40" s="81">
        <f>IF(FX5&gt;12, IF(FX5&gt;CST_DEP_BLDG+12,0,('CAPEX Schedule'!$II$13)/CST_DEP_BLDG),0)</f>
        <v>5753592.9706652779</v>
      </c>
      <c r="FY40" s="81">
        <f>IF(FY5&gt;12, IF(FY5&gt;CST_DEP_BLDG+12,0,('CAPEX Schedule'!$II$13)/CST_DEP_BLDG),0)</f>
        <v>5753592.9706652779</v>
      </c>
      <c r="FZ40" s="81">
        <f>IF(FZ5&gt;12, IF(FZ5&gt;CST_DEP_BLDG+12,0,('CAPEX Schedule'!$II$13)/CST_DEP_BLDG),0)</f>
        <v>5753592.9706652779</v>
      </c>
      <c r="GA40" s="81">
        <f>IF(GA5&gt;12, IF(GA5&gt;CST_DEP_BLDG+12,0,('CAPEX Schedule'!$II$13)/CST_DEP_BLDG),0)</f>
        <v>5753592.9706652779</v>
      </c>
      <c r="GB40" s="81">
        <f>IF(GB5&gt;12, IF(GB5&gt;CST_DEP_BLDG+12,0,('CAPEX Schedule'!$II$13)/CST_DEP_BLDG),0)</f>
        <v>5753592.9706652779</v>
      </c>
      <c r="GC40" s="81">
        <f>IF(GC5&gt;12, IF(GC5&gt;CST_DEP_BLDG+12,0,('CAPEX Schedule'!$II$13)/CST_DEP_BLDG),0)</f>
        <v>5753592.9706652779</v>
      </c>
      <c r="GD40" s="81">
        <f>IF(GD5&gt;12, IF(GD5&gt;CST_DEP_BLDG+12,0,('CAPEX Schedule'!$II$13)/CST_DEP_BLDG),0)</f>
        <v>5753592.9706652779</v>
      </c>
      <c r="GE40" s="81">
        <f>IF(GE5&gt;12, IF(GE5&gt;CST_DEP_BLDG+12,0,('CAPEX Schedule'!$II$13)/CST_DEP_BLDG),0)</f>
        <v>5753592.9706652779</v>
      </c>
      <c r="GF40" s="81">
        <f>IF(GF5&gt;12, IF(GF5&gt;CST_DEP_BLDG+12,0,('CAPEX Schedule'!$II$13)/CST_DEP_BLDG),0)</f>
        <v>5753592.9706652779</v>
      </c>
      <c r="GG40" s="81">
        <f>IF(GG5&gt;12, IF(GG5&gt;CST_DEP_BLDG+12,0,('CAPEX Schedule'!$II$13)/CST_DEP_BLDG),0)</f>
        <v>5753592.9706652779</v>
      </c>
      <c r="GH40" s="81">
        <f>IF(GH5&gt;12, IF(GH5&gt;CST_DEP_BLDG+12,0,('CAPEX Schedule'!$II$13)/CST_DEP_BLDG),0)</f>
        <v>5753592.9706652779</v>
      </c>
      <c r="GI40" s="81">
        <f>IF(GI5&gt;12, IF(GI5&gt;CST_DEP_BLDG+12,0,('CAPEX Schedule'!$II$13)/CST_DEP_BLDG),0)</f>
        <v>5753592.9706652779</v>
      </c>
      <c r="GJ40" s="81">
        <f>IF(GJ5&gt;12, IF(GJ5&gt;CST_DEP_BLDG+12,0,('CAPEX Schedule'!$II$13)/CST_DEP_BLDG),0)</f>
        <v>5753592.9706652779</v>
      </c>
      <c r="GK40" s="81">
        <f>IF(GK5&gt;12, IF(GK5&gt;CST_DEP_BLDG+12,0,('CAPEX Schedule'!$II$13)/CST_DEP_BLDG),0)</f>
        <v>5753592.9706652779</v>
      </c>
      <c r="GL40" s="81">
        <f>IF(GL5&gt;12, IF(GL5&gt;CST_DEP_BLDG+12,0,('CAPEX Schedule'!$II$13)/CST_DEP_BLDG),0)</f>
        <v>5753592.9706652779</v>
      </c>
      <c r="GM40" s="81">
        <f>IF(GM5&gt;12, IF(GM5&gt;CST_DEP_BLDG+12,0,('CAPEX Schedule'!$II$13)/CST_DEP_BLDG),0)</f>
        <v>0</v>
      </c>
      <c r="GN40" s="81">
        <f>IF(GN5&gt;12, IF(GN5&gt;CST_DEP_BLDG+12,0,('CAPEX Schedule'!$II$13)/CST_DEP_BLDG),0)</f>
        <v>0</v>
      </c>
      <c r="GO40" s="81">
        <f>IF(GO5&gt;12, IF(GO5&gt;CST_DEP_BLDG+12,0,('CAPEX Schedule'!$II$13)/CST_DEP_BLDG),0)</f>
        <v>0</v>
      </c>
      <c r="GP40" s="81">
        <f>IF(GP5&gt;12, IF(GP5&gt;CST_DEP_BLDG+12,0,('CAPEX Schedule'!$II$13)/CST_DEP_BLDG),0)</f>
        <v>0</v>
      </c>
      <c r="GQ40" s="81">
        <f>IF(GQ5&gt;12, IF(GQ5&gt;CST_DEP_BLDG+12,0,('CAPEX Schedule'!$II$13)/CST_DEP_BLDG),0)</f>
        <v>0</v>
      </c>
      <c r="GR40" s="81">
        <f>IF(GR5&gt;12, IF(GR5&gt;CST_DEP_BLDG+12,0,('CAPEX Schedule'!$II$13)/CST_DEP_BLDG),0)</f>
        <v>0</v>
      </c>
      <c r="GS40" s="81">
        <f>IF(GS5&gt;12, IF(GS5&gt;CST_DEP_BLDG+12,0,('CAPEX Schedule'!$II$13)/CST_DEP_BLDG),0)</f>
        <v>0</v>
      </c>
      <c r="GT40" s="81">
        <f>IF(GT5&gt;12, IF(GT5&gt;CST_DEP_BLDG+12,0,('CAPEX Schedule'!$II$13)/CST_DEP_BLDG),0)</f>
        <v>0</v>
      </c>
      <c r="GU40" s="81">
        <f>IF(GU5&gt;12, IF(GU5&gt;CST_DEP_BLDG+12,0,('CAPEX Schedule'!$II$13)/CST_DEP_BLDG),0)</f>
        <v>0</v>
      </c>
      <c r="GV40" s="81">
        <f>IF(GV5&gt;12, IF(GV5&gt;CST_DEP_BLDG+12,0,('CAPEX Schedule'!$II$13)/CST_DEP_BLDG),0)</f>
        <v>0</v>
      </c>
      <c r="GW40" s="81">
        <f>IF(GW5&gt;12, IF(GW5&gt;CST_DEP_BLDG+12,0,('CAPEX Schedule'!$II$13)/CST_DEP_BLDG),0)</f>
        <v>0</v>
      </c>
      <c r="GX40" s="81">
        <f>IF(GX5&gt;12, IF(GX5&gt;CST_DEP_BLDG+12,0,('CAPEX Schedule'!$II$13)/CST_DEP_BLDG),0)</f>
        <v>0</v>
      </c>
      <c r="GY40" s="81">
        <f>IF(GY5&gt;12, IF(GY5&gt;CST_DEP_BLDG+12,0,('CAPEX Schedule'!$II$13)/CST_DEP_BLDG),0)</f>
        <v>0</v>
      </c>
      <c r="GZ40" s="81">
        <f>IF(GZ5&gt;12, IF(GZ5&gt;CST_DEP_BLDG+12,0,('CAPEX Schedule'!$II$13)/CST_DEP_BLDG),0)</f>
        <v>0</v>
      </c>
      <c r="HA40" s="81">
        <f>IF(HA5&gt;12, IF(HA5&gt;CST_DEP_BLDG+12,0,('CAPEX Schedule'!$II$13)/CST_DEP_BLDG),0)</f>
        <v>0</v>
      </c>
      <c r="HB40" s="81">
        <f>IF(HB5&gt;12, IF(HB5&gt;CST_DEP_BLDG+12,0,('CAPEX Schedule'!$II$13)/CST_DEP_BLDG),0)</f>
        <v>0</v>
      </c>
      <c r="HC40" s="81">
        <f>IF(HC5&gt;12, IF(HC5&gt;CST_DEP_BLDG+12,0,('CAPEX Schedule'!$II$13)/CST_DEP_BLDG),0)</f>
        <v>0</v>
      </c>
      <c r="HD40" s="81">
        <f>IF(HD5&gt;12, IF(HD5&gt;CST_DEP_BLDG+12,0,('CAPEX Schedule'!$II$13)/CST_DEP_BLDG),0)</f>
        <v>0</v>
      </c>
      <c r="HE40" s="81">
        <f>IF(HE5&gt;12, IF(HE5&gt;CST_DEP_BLDG+12,0,('CAPEX Schedule'!$II$13)/CST_DEP_BLDG),0)</f>
        <v>0</v>
      </c>
      <c r="HF40" s="81">
        <f>IF(HF5&gt;12, IF(HF5&gt;CST_DEP_BLDG+12,0,('CAPEX Schedule'!$II$13)/CST_DEP_BLDG),0)</f>
        <v>0</v>
      </c>
      <c r="HG40" s="81">
        <f>IF(HG5&gt;12, IF(HG5&gt;CST_DEP_BLDG+12,0,('CAPEX Schedule'!$II$13)/CST_DEP_BLDG),0)</f>
        <v>0</v>
      </c>
      <c r="HH40" s="81">
        <f>IF(HH5&gt;12, IF(HH5&gt;CST_DEP_BLDG+12,0,('CAPEX Schedule'!$II$13)/CST_DEP_BLDG),0)</f>
        <v>0</v>
      </c>
      <c r="HI40" s="81">
        <f>IF(HI5&gt;12, IF(HI5&gt;CST_DEP_BLDG+12,0,('CAPEX Schedule'!$II$13)/CST_DEP_BLDG),0)</f>
        <v>0</v>
      </c>
      <c r="HJ40" s="81">
        <f>IF(HJ5&gt;12, IF(HJ5&gt;CST_DEP_BLDG+12,0,('CAPEX Schedule'!$II$13)/CST_DEP_BLDG),0)</f>
        <v>0</v>
      </c>
      <c r="HK40" s="81">
        <f>IF(HK5&gt;12, IF(HK5&gt;CST_DEP_BLDG+12,0,('CAPEX Schedule'!$II$13)/CST_DEP_BLDG),0)</f>
        <v>0</v>
      </c>
      <c r="HL40" s="81">
        <f>IF(HL5&gt;12, IF(HL5&gt;CST_DEP_BLDG+12,0,('CAPEX Schedule'!$II$13)/CST_DEP_BLDG),0)</f>
        <v>0</v>
      </c>
      <c r="HM40" s="81">
        <f>IF(HM5&gt;12, IF(HM5&gt;CST_DEP_BLDG+12,0,('CAPEX Schedule'!$II$13)/CST_DEP_BLDG),0)</f>
        <v>0</v>
      </c>
      <c r="HN40" s="81">
        <f>IF(HN5&gt;12, IF(HN5&gt;CST_DEP_BLDG+12,0,('CAPEX Schedule'!$II$13)/CST_DEP_BLDG),0)</f>
        <v>0</v>
      </c>
      <c r="HO40" s="81">
        <f>IF(HO5&gt;12, IF(HO5&gt;CST_DEP_BLDG+12,0,('CAPEX Schedule'!$II$13)/CST_DEP_BLDG),0)</f>
        <v>0</v>
      </c>
      <c r="HP40" s="81">
        <f>IF(HP5&gt;12, IF(HP5&gt;CST_DEP_BLDG+12,0,('CAPEX Schedule'!$II$13)/CST_DEP_BLDG),0)</f>
        <v>0</v>
      </c>
      <c r="HQ40" s="81">
        <f>IF(HQ5&gt;12, IF(HQ5&gt;CST_DEP_BLDG+12,0,('CAPEX Schedule'!$II$13)/CST_DEP_BLDG),0)</f>
        <v>0</v>
      </c>
      <c r="HR40" s="81">
        <f>IF(HR5&gt;12, IF(HR5&gt;CST_DEP_BLDG+12,0,('CAPEX Schedule'!$II$13)/CST_DEP_BLDG),0)</f>
        <v>0</v>
      </c>
      <c r="HS40" s="81">
        <f>IF(HS5&gt;12, IF(HS5&gt;CST_DEP_BLDG+12,0,('CAPEX Schedule'!$II$13)/CST_DEP_BLDG),0)</f>
        <v>0</v>
      </c>
      <c r="HT40" s="81">
        <f>IF(HT5&gt;12, IF(HT5&gt;CST_DEP_BLDG+12,0,('CAPEX Schedule'!$II$13)/CST_DEP_BLDG),0)</f>
        <v>0</v>
      </c>
      <c r="HU40" s="81">
        <f>IF(HU5&gt;12, IF(HU5&gt;CST_DEP_BLDG+12,0,('CAPEX Schedule'!$II$13)/CST_DEP_BLDG),0)</f>
        <v>0</v>
      </c>
      <c r="HV40" s="81">
        <f>IF(HV5&gt;12, IF(HV5&gt;CST_DEP_BLDG+12,0,('CAPEX Schedule'!$II$13)/CST_DEP_BLDG),0)</f>
        <v>0</v>
      </c>
      <c r="HW40" s="81">
        <f>IF(HW5&gt;12, IF(HW5&gt;CST_DEP_BLDG+12,0,('CAPEX Schedule'!$II$13)/CST_DEP_BLDG),0)</f>
        <v>0</v>
      </c>
      <c r="HX40" s="81">
        <f>IF(HX5&gt;12, IF(HX5&gt;CST_DEP_BLDG+12,0,('CAPEX Schedule'!$II$13)/CST_DEP_BLDG),0)</f>
        <v>0</v>
      </c>
      <c r="HY40" s="81">
        <f>IF(HY5&gt;12, IF(HY5&gt;CST_DEP_BLDG+12,0,('CAPEX Schedule'!$II$13)/CST_DEP_BLDG),0)</f>
        <v>0</v>
      </c>
      <c r="HZ40" s="81">
        <f>IF(HZ5&gt;12, IF(HZ5&gt;CST_DEP_BLDG+12,0,('CAPEX Schedule'!$II$13)/CST_DEP_BLDG),0)</f>
        <v>0</v>
      </c>
      <c r="IA40" s="81">
        <f>IF(IA5&gt;12, IF(IA5&gt;CST_DEP_BLDG+12,0,('CAPEX Schedule'!$II$13)/CST_DEP_BLDG),0)</f>
        <v>0</v>
      </c>
      <c r="IB40" s="81">
        <f>IF(IB5&gt;12, IF(IB5&gt;CST_DEP_BLDG+12,0,('CAPEX Schedule'!$II$13)/CST_DEP_BLDG),0)</f>
        <v>0</v>
      </c>
      <c r="IC40" s="81">
        <f>IF(IC5&gt;12, IF(IC5&gt;CST_DEP_BLDG+12,0,('CAPEX Schedule'!$II$13)/CST_DEP_BLDG),0)</f>
        <v>0</v>
      </c>
      <c r="ID40" s="81">
        <f>IF(ID5&gt;12, IF(ID5&gt;CST_DEP_BLDG+12,0,('CAPEX Schedule'!$II$13)/CST_DEP_BLDG),0)</f>
        <v>0</v>
      </c>
      <c r="IE40" s="81">
        <f>IF(IE5&gt;12, IF(IE5&gt;CST_DEP_BLDG+12,0,('CAPEX Schedule'!$II$13)/CST_DEP_BLDG),0)</f>
        <v>0</v>
      </c>
      <c r="IF40" s="81">
        <f>IF(IF5&gt;12, IF(IF5&gt;CST_DEP_BLDG+12,0,('CAPEX Schedule'!$II$13)/CST_DEP_BLDG),0)</f>
        <v>0</v>
      </c>
      <c r="IG40" s="81">
        <f>IF(IG5&gt;12, IF(IG5&gt;CST_DEP_BLDG+12,0,('CAPEX Schedule'!$II$13)/CST_DEP_BLDG),0)</f>
        <v>0</v>
      </c>
      <c r="IH40" s="81">
        <f>IF(IH5&gt;12, IF(IH5&gt;CST_DEP_BLDG+12,0,('CAPEX Schedule'!$II$13)/CST_DEP_BLDG),0)</f>
        <v>0</v>
      </c>
    </row>
    <row r="41" spans="1:242" ht="14.65" thickBot="1" x14ac:dyDescent="0.5">
      <c r="A41" s="895" t="s">
        <v>270</v>
      </c>
      <c r="B41" s="896"/>
      <c r="C41" s="82">
        <f>LTD!C7</f>
        <v>4487802.5171189178</v>
      </c>
      <c r="D41" s="82">
        <f>LTD!D7</f>
        <v>4461153.3576217992</v>
      </c>
      <c r="E41" s="82">
        <f>LTD!E7</f>
        <v>4434359.8485107366</v>
      </c>
      <c r="F41" s="82">
        <f>LTD!F7</f>
        <v>4407421.2078919923</v>
      </c>
      <c r="G41" s="82">
        <f>LTD!G7</f>
        <v>4380336.6496365601</v>
      </c>
      <c r="H41" s="82">
        <f>LTD!H7</f>
        <v>4353105.3833572464</v>
      </c>
      <c r="I41" s="82">
        <f>LTD!I7</f>
        <v>4325726.6143855853</v>
      </c>
      <c r="J41" s="82">
        <f>LTD!J7</f>
        <v>4298199.5437486591</v>
      </c>
      <c r="K41" s="82">
        <f>LTD!K7</f>
        <v>4270523.3681457853</v>
      </c>
      <c r="L41" s="82">
        <f>LTD!L7</f>
        <v>4242697.2799250633</v>
      </c>
      <c r="M41" s="82">
        <f>LTD!M7</f>
        <v>4214720.4670598106</v>
      </c>
      <c r="N41" s="82">
        <f>LTD!N7</f>
        <v>4186592.1131248726</v>
      </c>
      <c r="O41" s="82">
        <f>LTD!O7</f>
        <v>4158311.3972727866</v>
      </c>
      <c r="P41" s="82">
        <f>LTD!P7</f>
        <v>4129877.4942098344</v>
      </c>
      <c r="Q41" s="82">
        <f>LTD!Q7</f>
        <v>4101289.5741719576</v>
      </c>
      <c r="R41" s="82">
        <f>LTD!R7</f>
        <v>4072546.8029005434</v>
      </c>
      <c r="S41" s="82">
        <f>LTD!S7</f>
        <v>4043648.3416180746</v>
      </c>
      <c r="T41" s="82">
        <f>LTD!T7</f>
        <v>4014593.3470036597</v>
      </c>
      <c r="U41" s="82">
        <f>LTD!U7</f>
        <v>3985380.9711684179</v>
      </c>
      <c r="V41" s="82">
        <f>LTD!V7</f>
        <v>3956010.3616307327</v>
      </c>
      <c r="W41" s="82">
        <f>LTD!W7</f>
        <v>3926480.6612913879</v>
      </c>
      <c r="X41" s="82">
        <f>LTD!X7</f>
        <v>3896791.0084085362</v>
      </c>
      <c r="Y41" s="82">
        <f>LTD!Y7</f>
        <v>3866940.5365725695</v>
      </c>
      <c r="Z41" s="82">
        <f>LTD!Z7</f>
        <v>3836928.3746808255</v>
      </c>
      <c r="AA41" s="82">
        <f>LTD!AA7</f>
        <v>3806753.6469121664</v>
      </c>
      <c r="AB41" s="82">
        <f>LTD!AB7</f>
        <v>3776415.472701428</v>
      </c>
      <c r="AC41" s="82">
        <f>LTD!AC7</f>
        <v>3745912.9667137149</v>
      </c>
      <c r="AD41" s="82">
        <f>LTD!AD7</f>
        <v>3715245.2388185677</v>
      </c>
      <c r="AE41" s="82">
        <f>LTD!AE7</f>
        <v>3684411.3940639892</v>
      </c>
      <c r="AF41" s="82">
        <f>LTD!AF7</f>
        <v>3653410.5326503236</v>
      </c>
      <c r="AG41" s="82">
        <f>LTD!AG7</f>
        <v>3622241.7499039993</v>
      </c>
      <c r="AH41" s="82">
        <f>LTD!AH7</f>
        <v>3590904.1362511329</v>
      </c>
      <c r="AI41" s="82">
        <f>LTD!AI7</f>
        <v>3559396.7771909814</v>
      </c>
      <c r="AJ41" s="82">
        <f>LTD!AJ7</f>
        <v>3527718.7532692524</v>
      </c>
      <c r="AK41" s="82">
        <f>LTD!AK7</f>
        <v>3495869.1400512815</v>
      </c>
      <c r="AL41" s="82">
        <f>LTD!AL7</f>
        <v>3463847.008095047</v>
      </c>
      <c r="AM41" s="82">
        <f>LTD!AM7</f>
        <v>3431651.4229240492</v>
      </c>
      <c r="AN41" s="82">
        <f>LTD!AN7</f>
        <v>3399281.4450000408</v>
      </c>
      <c r="AO41" s="82">
        <f>LTD!AO7</f>
        <v>3366736.129695612</v>
      </c>
      <c r="AP41" s="82">
        <f>LTD!AP7</f>
        <v>3334014.5272666174</v>
      </c>
      <c r="AQ41" s="82">
        <f>LTD!AQ7</f>
        <v>3301115.6828244654</v>
      </c>
      <c r="AR41" s="82">
        <f>LTD!AR7</f>
        <v>3268038.6363082519</v>
      </c>
      <c r="AS41" s="82">
        <f>LTD!AS7</f>
        <v>3234782.4224567418</v>
      </c>
      <c r="AT41" s="82">
        <f>LTD!AT7</f>
        <v>3201346.0707802032</v>
      </c>
      <c r="AU41" s="82">
        <f>LTD!AU7</f>
        <v>3167728.6055320837</v>
      </c>
      <c r="AV41" s="82">
        <f>LTD!AV7</f>
        <v>3133929.045680536</v>
      </c>
      <c r="AW41" s="82">
        <f>LTD!AW7</f>
        <v>3099946.4048797931</v>
      </c>
      <c r="AX41" s="82">
        <f>LTD!AX7</f>
        <v>3065779.6914413786</v>
      </c>
      <c r="AY41" s="82">
        <f>LTD!AY7</f>
        <v>3031427.9083051733</v>
      </c>
      <c r="AZ41" s="82">
        <f>LTD!AZ7</f>
        <v>2996890.0530103138</v>
      </c>
      <c r="BA41" s="82">
        <f>LTD!BA7</f>
        <v>2962165.1176659409</v>
      </c>
      <c r="BB41" s="82">
        <f>LTD!BB7</f>
        <v>2927252.0889217849</v>
      </c>
      <c r="BC41" s="82">
        <f>LTD!BC7</f>
        <v>2892149.9479385982</v>
      </c>
      <c r="BD41" s="82">
        <f>LTD!BD7</f>
        <v>2856857.6703584199</v>
      </c>
      <c r="BE41" s="82">
        <f>LTD!BE7</f>
        <v>2821374.2262746813</v>
      </c>
      <c r="BF41" s="82">
        <f>LTD!BF7</f>
        <v>2785698.5802021562</v>
      </c>
      <c r="BG41" s="82">
        <f>LTD!BG7</f>
        <v>2749829.691046739</v>
      </c>
      <c r="BH41" s="82">
        <f>LTD!BH7</f>
        <v>2713766.5120750628</v>
      </c>
      <c r="BI41" s="82">
        <f>LTD!BI7</f>
        <v>2677507.9908839567</v>
      </c>
      <c r="BJ41" s="82">
        <f>LTD!BJ7</f>
        <v>2641053.0693697319</v>
      </c>
      <c r="BK41" s="82">
        <f>LTD!BK7</f>
        <v>2604400.6836973052</v>
      </c>
      <c r="BL41" s="82">
        <f>LTD!BL7</f>
        <v>2567549.7642691531</v>
      </c>
      <c r="BM41" s="82">
        <f>LTD!BM7</f>
        <v>2530499.2356940978</v>
      </c>
      <c r="BN41" s="82">
        <f>LTD!BN7</f>
        <v>2493248.0167559288</v>
      </c>
      <c r="BO41" s="82">
        <f>LTD!BO7</f>
        <v>2455795.0203818437</v>
      </c>
      <c r="BP41" s="82">
        <f>LTD!BP7</f>
        <v>2418139.1536107324</v>
      </c>
      <c r="BQ41" s="82">
        <f>LTD!BQ7</f>
        <v>2380279.3175612777</v>
      </c>
      <c r="BR41" s="82">
        <f>LTD!BR7</f>
        <v>2342214.4073998882</v>
      </c>
      <c r="BS41" s="82">
        <f>LTD!BS7</f>
        <v>2303943.3123084586</v>
      </c>
      <c r="BT41" s="82">
        <f>LTD!BT7</f>
        <v>2265464.9154519499</v>
      </c>
      <c r="BU41" s="82">
        <f>LTD!BU7</f>
        <v>2226778.0939458022</v>
      </c>
      <c r="BV41" s="82">
        <f>LTD!BV7</f>
        <v>2187881.7188231619</v>
      </c>
      <c r="BW41" s="82">
        <f>LTD!BW7</f>
        <v>2148774.6550019411</v>
      </c>
      <c r="BX41" s="82">
        <f>LTD!BX7</f>
        <v>2109455.7612516894</v>
      </c>
      <c r="BY41" s="82">
        <f>LTD!BY7</f>
        <v>2069923.8901602898</v>
      </c>
      <c r="BZ41" s="82">
        <f>LTD!BZ7</f>
        <v>2030177.8881004786</v>
      </c>
      <c r="CA41" s="82">
        <f>LTD!CA7</f>
        <v>1990216.5951961766</v>
      </c>
      <c r="CB41" s="82">
        <f>LTD!CB7</f>
        <v>1950038.8452886431</v>
      </c>
      <c r="CC41" s="82">
        <f>LTD!CC7</f>
        <v>1909643.465902444</v>
      </c>
      <c r="CD41" s="82">
        <f>LTD!CD7</f>
        <v>1869029.278211236</v>
      </c>
      <c r="CE41" s="82">
        <f>LTD!CE7</f>
        <v>1828195.0970033675</v>
      </c>
      <c r="CF41" s="82">
        <f>LTD!CF7</f>
        <v>1787139.7306472899</v>
      </c>
      <c r="CG41" s="82">
        <f>LTD!CG7</f>
        <v>1745861.9810567831</v>
      </c>
      <c r="CH41" s="82">
        <f>LTD!CH7</f>
        <v>1704360.6436559947</v>
      </c>
      <c r="CI41" s="82">
        <f>LTD!CI7</f>
        <v>1662634.507344285</v>
      </c>
      <c r="CJ41" s="82">
        <f>LTD!CJ7</f>
        <v>1620682.3544608874</v>
      </c>
      <c r="CK41" s="82">
        <f>LTD!CK7</f>
        <v>1578502.960749371</v>
      </c>
      <c r="CL41" s="82">
        <f>LTD!CL7</f>
        <v>1536095.0953219174</v>
      </c>
      <c r="CM41" s="82">
        <f>LTD!CM7</f>
        <v>1493457.5206233982</v>
      </c>
      <c r="CN41" s="82">
        <f>LTD!CN7</f>
        <v>1450588.9923952625</v>
      </c>
      <c r="CO41" s="82">
        <f>LTD!CO7</f>
        <v>1407488.2596392238</v>
      </c>
      <c r="CP41" s="82">
        <f>LTD!CP7</f>
        <v>1364154.0645807569</v>
      </c>
      <c r="CQ41" s="82">
        <f>LTD!CQ7</f>
        <v>1320585.1426323899</v>
      </c>
      <c r="CR41" s="82">
        <f>LTD!CR7</f>
        <v>1276780.2223568026</v>
      </c>
      <c r="CS41" s="82">
        <f>LTD!CS7</f>
        <v>1232738.0254297224</v>
      </c>
      <c r="CT41" s="82">
        <f>LTD!CT7</f>
        <v>1188457.2666026207</v>
      </c>
      <c r="CU41" s="82">
        <f>LTD!CU7</f>
        <v>1143936.6536652055</v>
      </c>
      <c r="CV41" s="82">
        <f>LTD!CV7</f>
        <v>1099174.8874077126</v>
      </c>
      <c r="CW41" s="82">
        <f>LTD!CW7</f>
        <v>1054170.6615829917</v>
      </c>
      <c r="CX41" s="82">
        <f>LTD!CX7</f>
        <v>1008922.6628683868</v>
      </c>
      <c r="CY41" s="82">
        <f>LTD!CY7</f>
        <v>963429.57082741114</v>
      </c>
      <c r="CZ41" s="82">
        <f>LTD!CZ7</f>
        <v>917690.05787121342</v>
      </c>
      <c r="DA41" s="82">
        <f>LTD!DA7</f>
        <v>871702.78921983659</v>
      </c>
      <c r="DB41" s="82">
        <f>LTD!DB7</f>
        <v>825466.42286326457</v>
      </c>
      <c r="DC41" s="82">
        <f>LTD!DC7</f>
        <v>778979.60952226084</v>
      </c>
      <c r="DD41" s="82">
        <f>LTD!DD7</f>
        <v>732240.99260899378</v>
      </c>
      <c r="DE41" s="82">
        <f>LTD!DE7</f>
        <v>685249.20818744646</v>
      </c>
      <c r="DF41" s="82">
        <f>LTD!DF7</f>
        <v>638002.88493361569</v>
      </c>
      <c r="DG41" s="82">
        <f>LTD!DG7</f>
        <v>590500.64409549336</v>
      </c>
      <c r="DH41" s="82">
        <f>LTD!DH7</f>
        <v>542741.0994528312</v>
      </c>
      <c r="DI41" s="82">
        <f>LTD!DI7</f>
        <v>494722.85727668786</v>
      </c>
      <c r="DJ41" s="82">
        <f>LTD!DJ7</f>
        <v>446444.51628875721</v>
      </c>
      <c r="DK41" s="82">
        <f>LTD!DK7</f>
        <v>397904.66762047523</v>
      </c>
      <c r="DL41" s="82">
        <f>LTD!DL7</f>
        <v>349101.89477190672</v>
      </c>
      <c r="DM41" s="82">
        <f>LTD!DM7</f>
        <v>300034.7735704084</v>
      </c>
      <c r="DN41" s="82">
        <f>LTD!DN7</f>
        <v>250701.87212906871</v>
      </c>
      <c r="DO41" s="82">
        <f>LTD!DO7</f>
        <v>201101.75080492173</v>
      </c>
      <c r="DP41" s="82">
        <f>LTD!DP7</f>
        <v>151232.96215693562</v>
      </c>
      <c r="DQ41" s="82">
        <f>LTD!DQ7</f>
        <v>101094.05090377292</v>
      </c>
      <c r="DR41" s="82">
        <f>LTD!DR7</f>
        <v>50683.553881322274</v>
      </c>
      <c r="DS41" s="82">
        <f>LTD!DS7</f>
        <v>0</v>
      </c>
      <c r="DT41" s="82">
        <f>LTD!DT7</f>
        <v>0</v>
      </c>
      <c r="DU41" s="82">
        <f>LTD!DU7</f>
        <v>0</v>
      </c>
      <c r="DV41" s="82">
        <f>LTD!DV7</f>
        <v>0</v>
      </c>
      <c r="DW41" s="82">
        <f>LTD!DW7</f>
        <v>0</v>
      </c>
      <c r="DX41" s="82">
        <f>LTD!DX7</f>
        <v>0</v>
      </c>
      <c r="DY41" s="82">
        <f>LTD!DY7</f>
        <v>0</v>
      </c>
      <c r="DZ41" s="82">
        <f>LTD!DZ7</f>
        <v>0</v>
      </c>
      <c r="EA41" s="82">
        <f>LTD!EA7</f>
        <v>0</v>
      </c>
      <c r="EB41" s="82">
        <f>LTD!EB7</f>
        <v>0</v>
      </c>
      <c r="EC41" s="82">
        <f>LTD!EC7</f>
        <v>0</v>
      </c>
      <c r="ED41" s="82">
        <f>LTD!ED7</f>
        <v>0</v>
      </c>
      <c r="EE41" s="82">
        <f>LTD!EE7</f>
        <v>0</v>
      </c>
      <c r="EF41" s="82">
        <f>LTD!EF7</f>
        <v>0</v>
      </c>
      <c r="EG41" s="82">
        <f>LTD!EG7</f>
        <v>0</v>
      </c>
      <c r="EH41" s="82">
        <f>LTD!EH7</f>
        <v>0</v>
      </c>
      <c r="EI41" s="82">
        <f>LTD!EI7</f>
        <v>0</v>
      </c>
      <c r="EJ41" s="82">
        <f>LTD!EJ7</f>
        <v>0</v>
      </c>
      <c r="EK41" s="82">
        <f>LTD!EK7</f>
        <v>0</v>
      </c>
      <c r="EL41" s="82">
        <f>LTD!EL7</f>
        <v>0</v>
      </c>
      <c r="EM41" s="82">
        <f>LTD!EM7</f>
        <v>0</v>
      </c>
      <c r="EN41" s="82">
        <f>LTD!EN7</f>
        <v>0</v>
      </c>
      <c r="EO41" s="82">
        <f>LTD!EO7</f>
        <v>0</v>
      </c>
      <c r="EP41" s="82">
        <f>LTD!EP7</f>
        <v>0</v>
      </c>
      <c r="EQ41" s="82">
        <f>LTD!EQ7</f>
        <v>0</v>
      </c>
      <c r="ER41" s="82">
        <f>LTD!ER7</f>
        <v>0</v>
      </c>
      <c r="ES41" s="82">
        <f>LTD!ES7</f>
        <v>0</v>
      </c>
      <c r="ET41" s="82">
        <f>LTD!ET7</f>
        <v>0</v>
      </c>
      <c r="EU41" s="82">
        <f>LTD!EU7</f>
        <v>0</v>
      </c>
      <c r="EV41" s="82">
        <f>LTD!EV7</f>
        <v>0</v>
      </c>
      <c r="EW41" s="82">
        <f>LTD!EW7</f>
        <v>0</v>
      </c>
      <c r="EX41" s="82">
        <f>LTD!EX7</f>
        <v>0</v>
      </c>
      <c r="EY41" s="82">
        <f>LTD!EY7</f>
        <v>0</v>
      </c>
      <c r="EZ41" s="82">
        <f>LTD!EZ7</f>
        <v>0</v>
      </c>
      <c r="FA41" s="82">
        <f>LTD!FA7</f>
        <v>0</v>
      </c>
      <c r="FB41" s="82">
        <f>LTD!FB7</f>
        <v>0</v>
      </c>
      <c r="FC41" s="82">
        <f>LTD!FC7</f>
        <v>0</v>
      </c>
      <c r="FD41" s="82">
        <f>LTD!FD7</f>
        <v>0</v>
      </c>
      <c r="FE41" s="82">
        <f>LTD!FE7</f>
        <v>0</v>
      </c>
      <c r="FF41" s="82">
        <f>LTD!FF7</f>
        <v>0</v>
      </c>
      <c r="FG41" s="82">
        <f>LTD!FG7</f>
        <v>0</v>
      </c>
      <c r="FH41" s="82">
        <f>LTD!FH7</f>
        <v>0</v>
      </c>
      <c r="FI41" s="82">
        <f>LTD!FI7</f>
        <v>0</v>
      </c>
      <c r="FJ41" s="82">
        <f>LTD!FJ7</f>
        <v>0</v>
      </c>
      <c r="FK41" s="82">
        <f>LTD!FK7</f>
        <v>0</v>
      </c>
      <c r="FL41" s="82">
        <f>LTD!FL7</f>
        <v>0</v>
      </c>
      <c r="FM41" s="82">
        <f>LTD!FM7</f>
        <v>0</v>
      </c>
      <c r="FN41" s="82">
        <f>LTD!FN7</f>
        <v>0</v>
      </c>
      <c r="FO41" s="82">
        <f>LTD!FO7</f>
        <v>0</v>
      </c>
      <c r="FP41" s="82">
        <f>LTD!FP7</f>
        <v>0</v>
      </c>
      <c r="FQ41" s="82">
        <f>LTD!FQ7</f>
        <v>0</v>
      </c>
      <c r="FR41" s="82">
        <f>LTD!FR7</f>
        <v>0</v>
      </c>
      <c r="FS41" s="82">
        <f>LTD!FS7</f>
        <v>0</v>
      </c>
      <c r="FT41" s="82">
        <f>LTD!FT7</f>
        <v>0</v>
      </c>
      <c r="FU41" s="82">
        <f>LTD!FU7</f>
        <v>0</v>
      </c>
      <c r="FV41" s="82">
        <f>LTD!FV7</f>
        <v>0</v>
      </c>
      <c r="FW41" s="82">
        <f>LTD!FW7</f>
        <v>0</v>
      </c>
      <c r="FX41" s="82">
        <f>LTD!FX7</f>
        <v>0</v>
      </c>
      <c r="FY41" s="82">
        <f>LTD!FY7</f>
        <v>0</v>
      </c>
      <c r="FZ41" s="82">
        <f>LTD!FZ7</f>
        <v>0</v>
      </c>
      <c r="GA41" s="82">
        <f>LTD!GA7</f>
        <v>0</v>
      </c>
      <c r="GB41" s="82">
        <f>LTD!GB7</f>
        <v>0</v>
      </c>
      <c r="GC41" s="82">
        <f>LTD!GC7</f>
        <v>0</v>
      </c>
      <c r="GD41" s="82">
        <f>LTD!GD7</f>
        <v>0</v>
      </c>
      <c r="GE41" s="82">
        <f>LTD!GE7</f>
        <v>0</v>
      </c>
      <c r="GF41" s="82">
        <f>LTD!GF7</f>
        <v>0</v>
      </c>
      <c r="GG41" s="82">
        <f>LTD!GG7</f>
        <v>0</v>
      </c>
      <c r="GH41" s="82">
        <f>LTD!GH7</f>
        <v>0</v>
      </c>
      <c r="GI41" s="82">
        <f>LTD!GI7</f>
        <v>0</v>
      </c>
      <c r="GJ41" s="82">
        <f>LTD!GJ7</f>
        <v>0</v>
      </c>
      <c r="GK41" s="82">
        <f>LTD!GK7</f>
        <v>0</v>
      </c>
      <c r="GL41" s="82">
        <f>LTD!GL7</f>
        <v>0</v>
      </c>
      <c r="GM41" s="82">
        <f>LTD!GM7</f>
        <v>0</v>
      </c>
      <c r="GN41" s="82">
        <f>LTD!GN7</f>
        <v>0</v>
      </c>
      <c r="GO41" s="82">
        <f>LTD!GO7</f>
        <v>0</v>
      </c>
      <c r="GP41" s="82">
        <f>LTD!GP7</f>
        <v>0</v>
      </c>
      <c r="GQ41" s="82">
        <f>LTD!GQ7</f>
        <v>0</v>
      </c>
      <c r="GR41" s="82">
        <f>LTD!GR7</f>
        <v>0</v>
      </c>
      <c r="GS41" s="82">
        <f>LTD!GS7</f>
        <v>0</v>
      </c>
      <c r="GT41" s="82">
        <f>LTD!GT7</f>
        <v>0</v>
      </c>
      <c r="GU41" s="82">
        <f>LTD!GU7</f>
        <v>0</v>
      </c>
      <c r="GV41" s="82">
        <f>LTD!GV7</f>
        <v>0</v>
      </c>
      <c r="GW41" s="82">
        <f>LTD!GW7</f>
        <v>0</v>
      </c>
      <c r="GX41" s="82">
        <f>LTD!GX7</f>
        <v>0</v>
      </c>
      <c r="GY41" s="82">
        <f>LTD!GY7</f>
        <v>0</v>
      </c>
      <c r="GZ41" s="82">
        <f>LTD!GZ7</f>
        <v>0</v>
      </c>
      <c r="HA41" s="82">
        <f>LTD!HA7</f>
        <v>0</v>
      </c>
      <c r="HB41" s="82">
        <f>LTD!HB7</f>
        <v>0</v>
      </c>
      <c r="HC41" s="82">
        <f>LTD!HC7</f>
        <v>0</v>
      </c>
      <c r="HD41" s="82">
        <f>LTD!HD7</f>
        <v>0</v>
      </c>
      <c r="HE41" s="82">
        <f>LTD!HE7</f>
        <v>0</v>
      </c>
      <c r="HF41" s="82">
        <f>LTD!HF7</f>
        <v>0</v>
      </c>
      <c r="HG41" s="82">
        <f>LTD!HG7</f>
        <v>0</v>
      </c>
      <c r="HH41" s="82">
        <f>LTD!HH7</f>
        <v>0</v>
      </c>
      <c r="HI41" s="82">
        <f>LTD!HI7</f>
        <v>0</v>
      </c>
      <c r="HJ41" s="82">
        <f>LTD!HJ7</f>
        <v>0</v>
      </c>
      <c r="HK41" s="82">
        <f>LTD!HK7</f>
        <v>0</v>
      </c>
      <c r="HL41" s="82">
        <f>LTD!HL7</f>
        <v>0</v>
      </c>
      <c r="HM41" s="82">
        <f>LTD!HM7</f>
        <v>0</v>
      </c>
      <c r="HN41" s="82">
        <f>LTD!HN7</f>
        <v>0</v>
      </c>
      <c r="HO41" s="82">
        <f>LTD!HO7</f>
        <v>0</v>
      </c>
      <c r="HP41" s="82">
        <f>LTD!HP7</f>
        <v>0</v>
      </c>
      <c r="HQ41" s="82">
        <f>LTD!HQ7</f>
        <v>0</v>
      </c>
      <c r="HR41" s="82">
        <f>LTD!HR7</f>
        <v>0</v>
      </c>
      <c r="HS41" s="82">
        <f>LTD!HS7</f>
        <v>0</v>
      </c>
      <c r="HT41" s="82">
        <f>LTD!HT7</f>
        <v>0</v>
      </c>
      <c r="HU41" s="82">
        <f>LTD!HU7</f>
        <v>0</v>
      </c>
      <c r="HV41" s="82">
        <f>LTD!HV7</f>
        <v>0</v>
      </c>
      <c r="HW41" s="82">
        <f>LTD!HW7</f>
        <v>0</v>
      </c>
      <c r="HX41" s="82">
        <f>LTD!HX7</f>
        <v>0</v>
      </c>
      <c r="HY41" s="82">
        <f>LTD!HY7</f>
        <v>0</v>
      </c>
      <c r="HZ41" s="82">
        <f>LTD!HZ7</f>
        <v>0</v>
      </c>
      <c r="IA41" s="82">
        <f>LTD!IA7</f>
        <v>0</v>
      </c>
      <c r="IB41" s="82">
        <f>LTD!IB7</f>
        <v>0</v>
      </c>
      <c r="IC41" s="82">
        <f>LTD!IC7</f>
        <v>0</v>
      </c>
      <c r="ID41" s="82">
        <f>LTD!ID7</f>
        <v>0</v>
      </c>
      <c r="IE41" s="82">
        <f>LTD!IE7</f>
        <v>0</v>
      </c>
      <c r="IF41" s="82">
        <f>LTD!IF7</f>
        <v>0</v>
      </c>
      <c r="IG41" s="82">
        <f>LTD!IG7</f>
        <v>0</v>
      </c>
      <c r="IH41" s="82">
        <f>LTD!IH7</f>
        <v>0</v>
      </c>
    </row>
    <row r="42" spans="1:242" ht="14.65" thickTop="1" x14ac:dyDescent="0.45">
      <c r="A42" s="888" t="s">
        <v>274</v>
      </c>
      <c r="B42" s="889"/>
      <c r="C42" s="90">
        <f>C39-C40-C41</f>
        <v>-5346903.7165688919</v>
      </c>
      <c r="D42" s="90">
        <f t="shared" ref="D42:BO42" si="20">D39-D40-D41</f>
        <v>-4937754.5570717733</v>
      </c>
      <c r="E42" s="90">
        <f t="shared" si="20"/>
        <v>-4910961.0479607107</v>
      </c>
      <c r="F42" s="90">
        <f t="shared" si="20"/>
        <v>-4884022.4073419664</v>
      </c>
      <c r="G42" s="90">
        <f t="shared" si="20"/>
        <v>-4856937.8490865342</v>
      </c>
      <c r="H42" s="90">
        <f t="shared" si="20"/>
        <v>-4829706.5828072205</v>
      </c>
      <c r="I42" s="90">
        <f t="shared" si="20"/>
        <v>-4802327.8138355594</v>
      </c>
      <c r="J42" s="90">
        <f t="shared" si="20"/>
        <v>-4774800.7431986332</v>
      </c>
      <c r="K42" s="90">
        <f t="shared" si="20"/>
        <v>-4747124.5675957594</v>
      </c>
      <c r="L42" s="90">
        <f t="shared" si="20"/>
        <v>-4719298.4793750374</v>
      </c>
      <c r="M42" s="90">
        <f t="shared" si="20"/>
        <v>-4691321.6665097848</v>
      </c>
      <c r="N42" s="90">
        <f t="shared" si="20"/>
        <v>-4663193.3125748467</v>
      </c>
      <c r="O42" s="90">
        <f t="shared" si="20"/>
        <v>-10571620.234054705</v>
      </c>
      <c r="P42" s="90">
        <f t="shared" si="20"/>
        <v>-10403186.330991752</v>
      </c>
      <c r="Q42" s="90">
        <f t="shared" si="20"/>
        <v>-10374598.410953876</v>
      </c>
      <c r="R42" s="90">
        <f t="shared" si="20"/>
        <v>-10345855.639682462</v>
      </c>
      <c r="S42" s="90">
        <f t="shared" si="20"/>
        <v>-10316957.178399993</v>
      </c>
      <c r="T42" s="90">
        <f t="shared" si="20"/>
        <v>-10287902.183785578</v>
      </c>
      <c r="U42" s="90">
        <f t="shared" si="20"/>
        <v>-10258689.807950336</v>
      </c>
      <c r="V42" s="90">
        <f t="shared" si="20"/>
        <v>-10229319.198412651</v>
      </c>
      <c r="W42" s="90">
        <f t="shared" si="20"/>
        <v>-10199789.498073306</v>
      </c>
      <c r="X42" s="90">
        <f t="shared" si="20"/>
        <v>-10170099.845190454</v>
      </c>
      <c r="Y42" s="90">
        <f t="shared" si="20"/>
        <v>-10140249.373354489</v>
      </c>
      <c r="Z42" s="90">
        <f t="shared" si="20"/>
        <v>-10110237.211462744</v>
      </c>
      <c r="AA42" s="90">
        <f t="shared" si="20"/>
        <v>-5282892.4991329536</v>
      </c>
      <c r="AB42" s="90">
        <f t="shared" si="20"/>
        <v>-5252554.3249222152</v>
      </c>
      <c r="AC42" s="90">
        <f t="shared" si="20"/>
        <v>-5222051.8189345021</v>
      </c>
      <c r="AD42" s="90">
        <f t="shared" si="20"/>
        <v>-5191384.091039354</v>
      </c>
      <c r="AE42" s="90">
        <f t="shared" si="20"/>
        <v>-5160550.2462847754</v>
      </c>
      <c r="AF42" s="90">
        <f t="shared" si="20"/>
        <v>-5129549.3848711103</v>
      </c>
      <c r="AG42" s="90">
        <f t="shared" si="20"/>
        <v>-5098380.602124786</v>
      </c>
      <c r="AH42" s="90">
        <f t="shared" si="20"/>
        <v>-5067042.9884719197</v>
      </c>
      <c r="AI42" s="90">
        <f t="shared" si="20"/>
        <v>-5035535.6294117682</v>
      </c>
      <c r="AJ42" s="90">
        <f t="shared" si="20"/>
        <v>-5003857.6054900391</v>
      </c>
      <c r="AK42" s="90">
        <f t="shared" si="20"/>
        <v>-4972007.9922720678</v>
      </c>
      <c r="AL42" s="90">
        <f t="shared" si="20"/>
        <v>-4939985.8603158332</v>
      </c>
      <c r="AM42" s="90">
        <f t="shared" si="20"/>
        <v>-1290556.686170781</v>
      </c>
      <c r="AN42" s="90">
        <f t="shared" si="20"/>
        <v>-1258186.7082467726</v>
      </c>
      <c r="AO42" s="90">
        <f t="shared" si="20"/>
        <v>-1225641.3929423438</v>
      </c>
      <c r="AP42" s="90">
        <f t="shared" si="20"/>
        <v>-1192919.7905133492</v>
      </c>
      <c r="AQ42" s="90">
        <f t="shared" si="20"/>
        <v>-1160020.9460711973</v>
      </c>
      <c r="AR42" s="90">
        <f t="shared" si="20"/>
        <v>-1126943.8995549837</v>
      </c>
      <c r="AS42" s="90">
        <f t="shared" si="20"/>
        <v>-1093687.6857034736</v>
      </c>
      <c r="AT42" s="90">
        <f t="shared" si="20"/>
        <v>-1060251.334026935</v>
      </c>
      <c r="AU42" s="90">
        <f t="shared" si="20"/>
        <v>-1026633.8687788155</v>
      </c>
      <c r="AV42" s="90">
        <f t="shared" si="20"/>
        <v>-992834.30892726779</v>
      </c>
      <c r="AW42" s="90">
        <f t="shared" si="20"/>
        <v>-958851.66812652489</v>
      </c>
      <c r="AX42" s="90">
        <f t="shared" si="20"/>
        <v>-924684.95468811039</v>
      </c>
      <c r="AY42" s="90">
        <f t="shared" si="20"/>
        <v>3364892.3954926101</v>
      </c>
      <c r="AZ42" s="90">
        <f t="shared" si="20"/>
        <v>3399430.2507874696</v>
      </c>
      <c r="BA42" s="90">
        <f t="shared" si="20"/>
        <v>3434155.1861318424</v>
      </c>
      <c r="BB42" s="90">
        <f t="shared" si="20"/>
        <v>3469068.2148759984</v>
      </c>
      <c r="BC42" s="90">
        <f t="shared" si="20"/>
        <v>3504170.3558591851</v>
      </c>
      <c r="BD42" s="90">
        <f t="shared" si="20"/>
        <v>3539462.6334393634</v>
      </c>
      <c r="BE42" s="90">
        <f t="shared" si="20"/>
        <v>3574946.0775231021</v>
      </c>
      <c r="BF42" s="90">
        <f t="shared" si="20"/>
        <v>3610621.7235956271</v>
      </c>
      <c r="BG42" s="90">
        <f t="shared" si="20"/>
        <v>3646490.6127510443</v>
      </c>
      <c r="BH42" s="90">
        <f t="shared" si="20"/>
        <v>3682553.7917227205</v>
      </c>
      <c r="BI42" s="90">
        <f t="shared" si="20"/>
        <v>3718812.3129138267</v>
      </c>
      <c r="BJ42" s="90">
        <f t="shared" si="20"/>
        <v>3755267.2344280514</v>
      </c>
      <c r="BK42" s="90">
        <f t="shared" si="20"/>
        <v>6640491.071417544</v>
      </c>
      <c r="BL42" s="90">
        <f t="shared" si="20"/>
        <v>6677341.990845697</v>
      </c>
      <c r="BM42" s="90">
        <f t="shared" si="20"/>
        <v>6714392.5194207523</v>
      </c>
      <c r="BN42" s="90">
        <f t="shared" si="20"/>
        <v>6751643.7383589204</v>
      </c>
      <c r="BO42" s="90">
        <f t="shared" si="20"/>
        <v>6789096.734733006</v>
      </c>
      <c r="BP42" s="90">
        <f t="shared" ref="BP42:EA42" si="21">BP39-BP40-BP41</f>
        <v>6826752.6015041173</v>
      </c>
      <c r="BQ42" s="90">
        <f t="shared" si="21"/>
        <v>6864612.4375535715</v>
      </c>
      <c r="BR42" s="90">
        <f t="shared" si="21"/>
        <v>6902677.3477149615</v>
      </c>
      <c r="BS42" s="90">
        <f t="shared" si="21"/>
        <v>6940948.442806391</v>
      </c>
      <c r="BT42" s="90">
        <f t="shared" si="21"/>
        <v>6979426.8396629002</v>
      </c>
      <c r="BU42" s="90">
        <f t="shared" si="21"/>
        <v>7018113.6611690475</v>
      </c>
      <c r="BV42" s="90">
        <f t="shared" si="21"/>
        <v>7057010.0362916877</v>
      </c>
      <c r="BW42" s="90">
        <f t="shared" si="21"/>
        <v>7478154.1383199235</v>
      </c>
      <c r="BX42" s="90">
        <f t="shared" si="21"/>
        <v>7517473.0320701748</v>
      </c>
      <c r="BY42" s="90">
        <f t="shared" si="21"/>
        <v>7557004.9031615751</v>
      </c>
      <c r="BZ42" s="90">
        <f t="shared" si="21"/>
        <v>7596750.9052213859</v>
      </c>
      <c r="CA42" s="90">
        <f t="shared" si="21"/>
        <v>7636712.1981256884</v>
      </c>
      <c r="CB42" s="90">
        <f t="shared" si="21"/>
        <v>7676889.9480332211</v>
      </c>
      <c r="CC42" s="90">
        <f t="shared" si="21"/>
        <v>7717285.3274194207</v>
      </c>
      <c r="CD42" s="90">
        <f t="shared" si="21"/>
        <v>7757899.5151106287</v>
      </c>
      <c r="CE42" s="90">
        <f t="shared" si="21"/>
        <v>7798733.6963184969</v>
      </c>
      <c r="CF42" s="90">
        <f t="shared" si="21"/>
        <v>7839789.0626745746</v>
      </c>
      <c r="CG42" s="90">
        <f t="shared" si="21"/>
        <v>7881066.8122650813</v>
      </c>
      <c r="CH42" s="90">
        <f t="shared" si="21"/>
        <v>7922568.1496658698</v>
      </c>
      <c r="CI42" s="90">
        <f t="shared" si="21"/>
        <v>7964294.2859775797</v>
      </c>
      <c r="CJ42" s="90">
        <f t="shared" si="21"/>
        <v>8006246.4388609771</v>
      </c>
      <c r="CK42" s="90">
        <f t="shared" si="21"/>
        <v>8048425.8325724937</v>
      </c>
      <c r="CL42" s="90">
        <f t="shared" si="21"/>
        <v>8090833.6979999468</v>
      </c>
      <c r="CM42" s="90">
        <f t="shared" si="21"/>
        <v>8133471.2726984667</v>
      </c>
      <c r="CN42" s="90">
        <f t="shared" si="21"/>
        <v>8129347.6569926059</v>
      </c>
      <c r="CO42" s="90">
        <f t="shared" si="21"/>
        <v>8172448.3897486441</v>
      </c>
      <c r="CP42" s="90">
        <f t="shared" si="21"/>
        <v>8215782.584807111</v>
      </c>
      <c r="CQ42" s="90">
        <f t="shared" si="21"/>
        <v>8259351.5067554787</v>
      </c>
      <c r="CR42" s="90">
        <f t="shared" si="21"/>
        <v>8303156.4270310653</v>
      </c>
      <c r="CS42" s="90">
        <f t="shared" si="21"/>
        <v>8347198.6239581462</v>
      </c>
      <c r="CT42" s="90">
        <f t="shared" si="21"/>
        <v>8391479.3827852476</v>
      </c>
      <c r="CU42" s="90">
        <f t="shared" si="21"/>
        <v>9162646.0894456543</v>
      </c>
      <c r="CV42" s="90">
        <f t="shared" si="21"/>
        <v>9207407.8557031471</v>
      </c>
      <c r="CW42" s="90">
        <f t="shared" si="21"/>
        <v>9252412.0815278683</v>
      </c>
      <c r="CX42" s="90">
        <f t="shared" si="21"/>
        <v>9297660.0802424736</v>
      </c>
      <c r="CY42" s="90">
        <f t="shared" si="21"/>
        <v>9343153.1722834483</v>
      </c>
      <c r="CZ42" s="90">
        <f t="shared" si="21"/>
        <v>9388892.6852396466</v>
      </c>
      <c r="DA42" s="90">
        <f t="shared" si="21"/>
        <v>9434879.953891024</v>
      </c>
      <c r="DB42" s="90">
        <f t="shared" si="21"/>
        <v>9481116.3202475943</v>
      </c>
      <c r="DC42" s="90">
        <f t="shared" si="21"/>
        <v>9527603.133588599</v>
      </c>
      <c r="DD42" s="90">
        <f t="shared" si="21"/>
        <v>9574341.7505018655</v>
      </c>
      <c r="DE42" s="90">
        <f t="shared" si="21"/>
        <v>9621333.5349234138</v>
      </c>
      <c r="DF42" s="90">
        <f t="shared" si="21"/>
        <v>9668579.8581772447</v>
      </c>
      <c r="DG42" s="90">
        <f t="shared" si="21"/>
        <v>9669089.9550813697</v>
      </c>
      <c r="DH42" s="90">
        <f t="shared" si="21"/>
        <v>9716849.4997240324</v>
      </c>
      <c r="DI42" s="90">
        <f t="shared" si="21"/>
        <v>9764867.7419001758</v>
      </c>
      <c r="DJ42" s="90">
        <f t="shared" si="21"/>
        <v>9813146.0828881059</v>
      </c>
      <c r="DK42" s="90">
        <f t="shared" si="21"/>
        <v>9861685.9315563887</v>
      </c>
      <c r="DL42" s="90">
        <f t="shared" si="21"/>
        <v>9910488.7044049557</v>
      </c>
      <c r="DM42" s="90">
        <f t="shared" si="21"/>
        <v>9959555.8256064542</v>
      </c>
      <c r="DN42" s="90">
        <f t="shared" si="21"/>
        <v>10008888.727047794</v>
      </c>
      <c r="DO42" s="90">
        <f t="shared" si="21"/>
        <v>10058488.848371942</v>
      </c>
      <c r="DP42" s="90">
        <f t="shared" si="21"/>
        <v>10108357.637019927</v>
      </c>
      <c r="DQ42" s="90">
        <f t="shared" si="21"/>
        <v>10158496.54827309</v>
      </c>
      <c r="DR42" s="90">
        <f t="shared" si="21"/>
        <v>10208907.04529554</v>
      </c>
      <c r="DS42" s="90">
        <f t="shared" si="21"/>
        <v>10986236.692899855</v>
      </c>
      <c r="DT42" s="90">
        <f t="shared" si="21"/>
        <v>10986236.692899855</v>
      </c>
      <c r="DU42" s="90">
        <f t="shared" si="21"/>
        <v>10986236.692899855</v>
      </c>
      <c r="DV42" s="90">
        <f t="shared" si="21"/>
        <v>10986236.692899855</v>
      </c>
      <c r="DW42" s="90">
        <f t="shared" si="21"/>
        <v>10986236.692899855</v>
      </c>
      <c r="DX42" s="90">
        <f t="shared" si="21"/>
        <v>10986236.692899855</v>
      </c>
      <c r="DY42" s="90">
        <f t="shared" si="21"/>
        <v>10986236.692899855</v>
      </c>
      <c r="DZ42" s="90">
        <f t="shared" si="21"/>
        <v>10986236.692899855</v>
      </c>
      <c r="EA42" s="90">
        <f t="shared" si="21"/>
        <v>10986236.692899855</v>
      </c>
      <c r="EB42" s="90">
        <f t="shared" ref="EB42:GM42" si="22">EB39-EB40-EB41</f>
        <v>10986236.692899855</v>
      </c>
      <c r="EC42" s="90">
        <f t="shared" si="22"/>
        <v>10986236.692899855</v>
      </c>
      <c r="ED42" s="90">
        <f t="shared" si="22"/>
        <v>10986236.692899855</v>
      </c>
      <c r="EE42" s="90">
        <f t="shared" si="22"/>
        <v>10939244.548965856</v>
      </c>
      <c r="EF42" s="90">
        <f t="shared" si="22"/>
        <v>10939244.548965856</v>
      </c>
      <c r="EG42" s="90">
        <f t="shared" si="22"/>
        <v>10939244.548965856</v>
      </c>
      <c r="EH42" s="90">
        <f t="shared" si="22"/>
        <v>10939244.548965856</v>
      </c>
      <c r="EI42" s="90">
        <f t="shared" si="22"/>
        <v>10939244.548965856</v>
      </c>
      <c r="EJ42" s="90">
        <f t="shared" si="22"/>
        <v>10939244.548965856</v>
      </c>
      <c r="EK42" s="90">
        <f t="shared" si="22"/>
        <v>10939244.548965856</v>
      </c>
      <c r="EL42" s="90">
        <f t="shared" si="22"/>
        <v>10939244.548965856</v>
      </c>
      <c r="EM42" s="90">
        <f t="shared" si="22"/>
        <v>10939244.548965856</v>
      </c>
      <c r="EN42" s="90">
        <f t="shared" si="22"/>
        <v>10939244.548965856</v>
      </c>
      <c r="EO42" s="90">
        <f t="shared" si="22"/>
        <v>10939244.548965856</v>
      </c>
      <c r="EP42" s="90">
        <f t="shared" si="22"/>
        <v>10939244.548965856</v>
      </c>
      <c r="EQ42" s="90">
        <f t="shared" si="22"/>
        <v>11665890.64268885</v>
      </c>
      <c r="ER42" s="90">
        <f t="shared" si="22"/>
        <v>11665890.64268885</v>
      </c>
      <c r="ES42" s="90">
        <f t="shared" si="22"/>
        <v>11665890.64268885</v>
      </c>
      <c r="ET42" s="90">
        <f t="shared" si="22"/>
        <v>11665890.64268885</v>
      </c>
      <c r="EU42" s="90">
        <f t="shared" si="22"/>
        <v>11665890.64268885</v>
      </c>
      <c r="EV42" s="90">
        <f t="shared" si="22"/>
        <v>11665890.64268885</v>
      </c>
      <c r="EW42" s="90">
        <f t="shared" si="22"/>
        <v>11665890.64268885</v>
      </c>
      <c r="EX42" s="90">
        <f t="shared" si="22"/>
        <v>11665890.64268885</v>
      </c>
      <c r="EY42" s="90">
        <f t="shared" si="22"/>
        <v>11665890.64268885</v>
      </c>
      <c r="EZ42" s="90">
        <f t="shared" si="22"/>
        <v>11665890.64268885</v>
      </c>
      <c r="FA42" s="90">
        <f t="shared" si="22"/>
        <v>11665890.64268885</v>
      </c>
      <c r="FB42" s="90">
        <f t="shared" si="22"/>
        <v>11665890.64268885</v>
      </c>
      <c r="FC42" s="90">
        <f t="shared" si="22"/>
        <v>11618898.49875485</v>
      </c>
      <c r="FD42" s="90">
        <f t="shared" si="22"/>
        <v>11618898.49875485</v>
      </c>
      <c r="FE42" s="90">
        <f t="shared" si="22"/>
        <v>11618898.49875485</v>
      </c>
      <c r="FF42" s="90">
        <f t="shared" si="22"/>
        <v>11618898.49875485</v>
      </c>
      <c r="FG42" s="90">
        <f t="shared" si="22"/>
        <v>11618898.49875485</v>
      </c>
      <c r="FH42" s="90">
        <f t="shared" si="22"/>
        <v>11618898.49875485</v>
      </c>
      <c r="FI42" s="90">
        <f t="shared" si="22"/>
        <v>11618898.49875485</v>
      </c>
      <c r="FJ42" s="90">
        <f t="shared" si="22"/>
        <v>11618898.49875485</v>
      </c>
      <c r="FK42" s="90">
        <f t="shared" si="22"/>
        <v>11618898.49875485</v>
      </c>
      <c r="FL42" s="90">
        <f t="shared" si="22"/>
        <v>11618898.49875485</v>
      </c>
      <c r="FM42" s="90">
        <f t="shared" si="22"/>
        <v>11618898.49875485</v>
      </c>
      <c r="FN42" s="90">
        <f t="shared" si="22"/>
        <v>11618898.49875485</v>
      </c>
      <c r="FO42" s="90">
        <f t="shared" si="22"/>
        <v>12345544.592477838</v>
      </c>
      <c r="FP42" s="90">
        <f t="shared" si="22"/>
        <v>12345544.592477838</v>
      </c>
      <c r="FQ42" s="90">
        <f t="shared" si="22"/>
        <v>12345544.592477838</v>
      </c>
      <c r="FR42" s="90">
        <f t="shared" si="22"/>
        <v>12345544.592477838</v>
      </c>
      <c r="FS42" s="90">
        <f t="shared" si="22"/>
        <v>12345544.592477838</v>
      </c>
      <c r="FT42" s="90">
        <f t="shared" si="22"/>
        <v>12345544.592477838</v>
      </c>
      <c r="FU42" s="90">
        <f t="shared" si="22"/>
        <v>12345544.592477838</v>
      </c>
      <c r="FV42" s="90">
        <f t="shared" si="22"/>
        <v>12345544.592477838</v>
      </c>
      <c r="FW42" s="90">
        <f t="shared" si="22"/>
        <v>12345544.592477838</v>
      </c>
      <c r="FX42" s="90">
        <f t="shared" si="22"/>
        <v>12345544.592477838</v>
      </c>
      <c r="FY42" s="90">
        <f t="shared" si="22"/>
        <v>12345544.592477838</v>
      </c>
      <c r="FZ42" s="90">
        <f t="shared" si="22"/>
        <v>12345544.592477838</v>
      </c>
      <c r="GA42" s="90">
        <f t="shared" si="22"/>
        <v>12298552.448543841</v>
      </c>
      <c r="GB42" s="90">
        <f t="shared" si="22"/>
        <v>12298552.448543841</v>
      </c>
      <c r="GC42" s="90">
        <f t="shared" si="22"/>
        <v>12298552.448543841</v>
      </c>
      <c r="GD42" s="90">
        <f t="shared" si="22"/>
        <v>12298552.448543841</v>
      </c>
      <c r="GE42" s="90">
        <f t="shared" si="22"/>
        <v>12298552.448543841</v>
      </c>
      <c r="GF42" s="90">
        <f t="shared" si="22"/>
        <v>12298552.448543841</v>
      </c>
      <c r="GG42" s="90">
        <f t="shared" si="22"/>
        <v>12298552.448543841</v>
      </c>
      <c r="GH42" s="90">
        <f t="shared" si="22"/>
        <v>12298552.448543841</v>
      </c>
      <c r="GI42" s="90">
        <f t="shared" si="22"/>
        <v>12298552.448543841</v>
      </c>
      <c r="GJ42" s="90">
        <f t="shared" si="22"/>
        <v>12298552.448543841</v>
      </c>
      <c r="GK42" s="90">
        <f t="shared" si="22"/>
        <v>12298552.448543841</v>
      </c>
      <c r="GL42" s="90">
        <f t="shared" si="22"/>
        <v>12298552.448543841</v>
      </c>
      <c r="GM42" s="90">
        <f t="shared" si="22"/>
        <v>18778791.512932111</v>
      </c>
      <c r="GN42" s="90">
        <f t="shared" ref="GN42:IH42" si="23">GN39-GN40-GN41</f>
        <v>18778791.512932111</v>
      </c>
      <c r="GO42" s="90">
        <f t="shared" si="23"/>
        <v>18778791.512932111</v>
      </c>
      <c r="GP42" s="90">
        <f t="shared" si="23"/>
        <v>18778791.512932111</v>
      </c>
      <c r="GQ42" s="90">
        <f t="shared" si="23"/>
        <v>18778791.512932111</v>
      </c>
      <c r="GR42" s="90">
        <f t="shared" si="23"/>
        <v>18778791.512932111</v>
      </c>
      <c r="GS42" s="90">
        <f t="shared" si="23"/>
        <v>18778791.512932111</v>
      </c>
      <c r="GT42" s="90">
        <f t="shared" si="23"/>
        <v>18778791.512932111</v>
      </c>
      <c r="GU42" s="90">
        <f t="shared" si="23"/>
        <v>18778791.512932111</v>
      </c>
      <c r="GV42" s="90">
        <f t="shared" si="23"/>
        <v>18778791.512932111</v>
      </c>
      <c r="GW42" s="90">
        <f t="shared" si="23"/>
        <v>18778791.512932111</v>
      </c>
      <c r="GX42" s="90">
        <f t="shared" si="23"/>
        <v>18778791.512932111</v>
      </c>
      <c r="GY42" s="90">
        <f t="shared" si="23"/>
        <v>18731799.368998114</v>
      </c>
      <c r="GZ42" s="90">
        <f t="shared" si="23"/>
        <v>18731799.368998114</v>
      </c>
      <c r="HA42" s="90">
        <f t="shared" si="23"/>
        <v>18731799.368998114</v>
      </c>
      <c r="HB42" s="90">
        <f t="shared" si="23"/>
        <v>18731799.368998114</v>
      </c>
      <c r="HC42" s="90">
        <f t="shared" si="23"/>
        <v>18731799.368998114</v>
      </c>
      <c r="HD42" s="90">
        <f t="shared" si="23"/>
        <v>18731799.368998114</v>
      </c>
      <c r="HE42" s="90">
        <f t="shared" si="23"/>
        <v>18731799.368998114</v>
      </c>
      <c r="HF42" s="90">
        <f t="shared" si="23"/>
        <v>18731799.368998114</v>
      </c>
      <c r="HG42" s="90">
        <f t="shared" si="23"/>
        <v>18731799.368998114</v>
      </c>
      <c r="HH42" s="90">
        <f t="shared" si="23"/>
        <v>18731799.368998114</v>
      </c>
      <c r="HI42" s="90">
        <f t="shared" si="23"/>
        <v>18731799.368998114</v>
      </c>
      <c r="HJ42" s="90">
        <f t="shared" si="23"/>
        <v>18731799.368998114</v>
      </c>
      <c r="HK42" s="90">
        <f t="shared" si="23"/>
        <v>19505437.606655095</v>
      </c>
      <c r="HL42" s="90">
        <f t="shared" si="23"/>
        <v>19505437.606655095</v>
      </c>
      <c r="HM42" s="90">
        <f t="shared" si="23"/>
        <v>19505437.606655095</v>
      </c>
      <c r="HN42" s="90">
        <f t="shared" si="23"/>
        <v>19505437.606655095</v>
      </c>
      <c r="HO42" s="90">
        <f t="shared" si="23"/>
        <v>19505437.606655095</v>
      </c>
      <c r="HP42" s="90">
        <f t="shared" si="23"/>
        <v>19505437.606655095</v>
      </c>
      <c r="HQ42" s="90">
        <f t="shared" si="23"/>
        <v>19505437.606655095</v>
      </c>
      <c r="HR42" s="90">
        <f t="shared" si="23"/>
        <v>19505437.606655095</v>
      </c>
      <c r="HS42" s="90">
        <f t="shared" si="23"/>
        <v>19505437.606655095</v>
      </c>
      <c r="HT42" s="90">
        <f t="shared" si="23"/>
        <v>19505437.606655095</v>
      </c>
      <c r="HU42" s="90">
        <f t="shared" si="23"/>
        <v>19505437.606655095</v>
      </c>
      <c r="HV42" s="90">
        <f t="shared" si="23"/>
        <v>19505437.606655095</v>
      </c>
      <c r="HW42" s="90">
        <f t="shared" si="23"/>
        <v>19505437.606655095</v>
      </c>
      <c r="HX42" s="90">
        <f t="shared" si="23"/>
        <v>19505437.606655095</v>
      </c>
      <c r="HY42" s="90">
        <f t="shared" si="23"/>
        <v>19505437.606655095</v>
      </c>
      <c r="HZ42" s="90">
        <f t="shared" si="23"/>
        <v>19505437.606655095</v>
      </c>
      <c r="IA42" s="90">
        <f t="shared" si="23"/>
        <v>19505437.606655095</v>
      </c>
      <c r="IB42" s="90">
        <f t="shared" si="23"/>
        <v>19505437.606655095</v>
      </c>
      <c r="IC42" s="90">
        <f t="shared" si="23"/>
        <v>19505437.606655095</v>
      </c>
      <c r="ID42" s="90">
        <f t="shared" si="23"/>
        <v>19505437.606655095</v>
      </c>
      <c r="IE42" s="90">
        <f t="shared" si="23"/>
        <v>19505437.606655095</v>
      </c>
      <c r="IF42" s="90">
        <f t="shared" si="23"/>
        <v>19505437.606655095</v>
      </c>
      <c r="IG42" s="90">
        <f t="shared" si="23"/>
        <v>19505437.606655095</v>
      </c>
      <c r="IH42" s="90">
        <f t="shared" si="23"/>
        <v>19505437.606655095</v>
      </c>
    </row>
    <row r="43" spans="1:242" ht="14.65" thickBot="1" x14ac:dyDescent="0.5">
      <c r="A43" s="895" t="s">
        <v>275</v>
      </c>
      <c r="B43" s="896"/>
      <c r="C43" s="88">
        <f t="shared" ref="C43:BN43" si="24">IF(C42&lt;0,0,C42*CST_INCOME_TAX)</f>
        <v>0</v>
      </c>
      <c r="D43" s="88">
        <f t="shared" si="24"/>
        <v>0</v>
      </c>
      <c r="E43" s="88">
        <f t="shared" si="24"/>
        <v>0</v>
      </c>
      <c r="F43" s="88">
        <f t="shared" si="24"/>
        <v>0</v>
      </c>
      <c r="G43" s="88">
        <f t="shared" si="24"/>
        <v>0</v>
      </c>
      <c r="H43" s="88">
        <f t="shared" si="24"/>
        <v>0</v>
      </c>
      <c r="I43" s="88">
        <f t="shared" si="24"/>
        <v>0</v>
      </c>
      <c r="J43" s="88">
        <f t="shared" si="24"/>
        <v>0</v>
      </c>
      <c r="K43" s="88">
        <f t="shared" si="24"/>
        <v>0</v>
      </c>
      <c r="L43" s="88">
        <f t="shared" si="24"/>
        <v>0</v>
      </c>
      <c r="M43" s="88">
        <f t="shared" si="24"/>
        <v>0</v>
      </c>
      <c r="N43" s="88">
        <f t="shared" si="24"/>
        <v>0</v>
      </c>
      <c r="O43" s="88">
        <f t="shared" si="24"/>
        <v>0</v>
      </c>
      <c r="P43" s="88">
        <f t="shared" si="24"/>
        <v>0</v>
      </c>
      <c r="Q43" s="88">
        <f t="shared" si="24"/>
        <v>0</v>
      </c>
      <c r="R43" s="88">
        <f t="shared" si="24"/>
        <v>0</v>
      </c>
      <c r="S43" s="88">
        <f t="shared" si="24"/>
        <v>0</v>
      </c>
      <c r="T43" s="88">
        <f t="shared" si="24"/>
        <v>0</v>
      </c>
      <c r="U43" s="88">
        <f t="shared" si="24"/>
        <v>0</v>
      </c>
      <c r="V43" s="88">
        <f t="shared" si="24"/>
        <v>0</v>
      </c>
      <c r="W43" s="88">
        <f t="shared" si="24"/>
        <v>0</v>
      </c>
      <c r="X43" s="88">
        <f t="shared" si="24"/>
        <v>0</v>
      </c>
      <c r="Y43" s="88">
        <f t="shared" si="24"/>
        <v>0</v>
      </c>
      <c r="Z43" s="88">
        <f t="shared" si="24"/>
        <v>0</v>
      </c>
      <c r="AA43" s="88">
        <f t="shared" si="24"/>
        <v>0</v>
      </c>
      <c r="AB43" s="88">
        <f t="shared" si="24"/>
        <v>0</v>
      </c>
      <c r="AC43" s="88">
        <f t="shared" si="24"/>
        <v>0</v>
      </c>
      <c r="AD43" s="88">
        <f t="shared" si="24"/>
        <v>0</v>
      </c>
      <c r="AE43" s="88">
        <f t="shared" si="24"/>
        <v>0</v>
      </c>
      <c r="AF43" s="88">
        <f t="shared" si="24"/>
        <v>0</v>
      </c>
      <c r="AG43" s="88">
        <f t="shared" si="24"/>
        <v>0</v>
      </c>
      <c r="AH43" s="88">
        <f t="shared" si="24"/>
        <v>0</v>
      </c>
      <c r="AI43" s="88">
        <f t="shared" si="24"/>
        <v>0</v>
      </c>
      <c r="AJ43" s="88">
        <f t="shared" si="24"/>
        <v>0</v>
      </c>
      <c r="AK43" s="88">
        <f t="shared" si="24"/>
        <v>0</v>
      </c>
      <c r="AL43" s="88">
        <f t="shared" si="24"/>
        <v>0</v>
      </c>
      <c r="AM43" s="88">
        <f t="shared" si="24"/>
        <v>0</v>
      </c>
      <c r="AN43" s="88">
        <f t="shared" si="24"/>
        <v>0</v>
      </c>
      <c r="AO43" s="88">
        <f t="shared" si="24"/>
        <v>0</v>
      </c>
      <c r="AP43" s="88">
        <f t="shared" si="24"/>
        <v>0</v>
      </c>
      <c r="AQ43" s="88">
        <f t="shared" si="24"/>
        <v>0</v>
      </c>
      <c r="AR43" s="88">
        <f t="shared" si="24"/>
        <v>0</v>
      </c>
      <c r="AS43" s="88">
        <f t="shared" si="24"/>
        <v>0</v>
      </c>
      <c r="AT43" s="88">
        <f t="shared" si="24"/>
        <v>0</v>
      </c>
      <c r="AU43" s="88">
        <f t="shared" si="24"/>
        <v>0</v>
      </c>
      <c r="AV43" s="88">
        <f t="shared" si="24"/>
        <v>0</v>
      </c>
      <c r="AW43" s="88">
        <f t="shared" si="24"/>
        <v>0</v>
      </c>
      <c r="AX43" s="88">
        <f t="shared" si="24"/>
        <v>0</v>
      </c>
      <c r="AY43" s="88">
        <f t="shared" si="24"/>
        <v>504733.85932389146</v>
      </c>
      <c r="AZ43" s="88">
        <f t="shared" si="24"/>
        <v>509914.53761812043</v>
      </c>
      <c r="BA43" s="88">
        <f t="shared" si="24"/>
        <v>515123.27791977633</v>
      </c>
      <c r="BB43" s="88">
        <f t="shared" si="24"/>
        <v>520360.23223139974</v>
      </c>
      <c r="BC43" s="88">
        <f t="shared" si="24"/>
        <v>525625.5533788777</v>
      </c>
      <c r="BD43" s="88">
        <f t="shared" si="24"/>
        <v>530919.39501590445</v>
      </c>
      <c r="BE43" s="88">
        <f t="shared" si="24"/>
        <v>536241.91162846528</v>
      </c>
      <c r="BF43" s="88">
        <f t="shared" si="24"/>
        <v>541593.25853934407</v>
      </c>
      <c r="BG43" s="88">
        <f t="shared" si="24"/>
        <v>546973.59191265667</v>
      </c>
      <c r="BH43" s="88">
        <f t="shared" si="24"/>
        <v>552383.06875840807</v>
      </c>
      <c r="BI43" s="88">
        <f t="shared" si="24"/>
        <v>557821.84693707398</v>
      </c>
      <c r="BJ43" s="88">
        <f t="shared" si="24"/>
        <v>563290.08516420773</v>
      </c>
      <c r="BK43" s="88">
        <f t="shared" si="24"/>
        <v>996073.66071263154</v>
      </c>
      <c r="BL43" s="88">
        <f t="shared" si="24"/>
        <v>1001601.2986268546</v>
      </c>
      <c r="BM43" s="88">
        <f t="shared" si="24"/>
        <v>1007158.8779131128</v>
      </c>
      <c r="BN43" s="88">
        <f t="shared" si="24"/>
        <v>1012746.560753838</v>
      </c>
      <c r="BO43" s="88">
        <f t="shared" ref="BO43:DZ43" si="25">IF(BO42&lt;0,0,BO42*CST_INCOME_TAX)</f>
        <v>1018364.5102099509</v>
      </c>
      <c r="BP43" s="88">
        <f t="shared" si="25"/>
        <v>1024012.8902256176</v>
      </c>
      <c r="BQ43" s="88">
        <f t="shared" si="25"/>
        <v>1029691.8656330357</v>
      </c>
      <c r="BR43" s="88">
        <f t="shared" si="25"/>
        <v>1035401.6021572442</v>
      </c>
      <c r="BS43" s="88">
        <f t="shared" si="25"/>
        <v>1041142.2664209586</v>
      </c>
      <c r="BT43" s="88">
        <f t="shared" si="25"/>
        <v>1046914.025949435</v>
      </c>
      <c r="BU43" s="88">
        <f t="shared" si="25"/>
        <v>1052717.049175357</v>
      </c>
      <c r="BV43" s="88">
        <f t="shared" si="25"/>
        <v>1058551.5054437532</v>
      </c>
      <c r="BW43" s="88">
        <f t="shared" si="25"/>
        <v>1121723.1207479886</v>
      </c>
      <c r="BX43" s="88">
        <f t="shared" si="25"/>
        <v>1127620.9548105262</v>
      </c>
      <c r="BY43" s="88">
        <f t="shared" si="25"/>
        <v>1133550.7354742363</v>
      </c>
      <c r="BZ43" s="88">
        <f t="shared" si="25"/>
        <v>1139512.6357832078</v>
      </c>
      <c r="CA43" s="88">
        <f t="shared" si="25"/>
        <v>1145506.8297188531</v>
      </c>
      <c r="CB43" s="88">
        <f t="shared" si="25"/>
        <v>1151533.492204983</v>
      </c>
      <c r="CC43" s="88">
        <f t="shared" si="25"/>
        <v>1157592.799112913</v>
      </c>
      <c r="CD43" s="88">
        <f t="shared" si="25"/>
        <v>1163684.9272665943</v>
      </c>
      <c r="CE43" s="88">
        <f t="shared" si="25"/>
        <v>1169810.0544477745</v>
      </c>
      <c r="CF43" s="88">
        <f t="shared" si="25"/>
        <v>1175968.3594011862</v>
      </c>
      <c r="CG43" s="88">
        <f t="shared" si="25"/>
        <v>1182160.0218397621</v>
      </c>
      <c r="CH43" s="88">
        <f t="shared" si="25"/>
        <v>1188385.2224498803</v>
      </c>
      <c r="CI43" s="88">
        <f t="shared" si="25"/>
        <v>1194644.1428966369</v>
      </c>
      <c r="CJ43" s="88">
        <f t="shared" si="25"/>
        <v>1200936.9658291466</v>
      </c>
      <c r="CK43" s="88">
        <f t="shared" si="25"/>
        <v>1207263.8748858741</v>
      </c>
      <c r="CL43" s="88">
        <f t="shared" si="25"/>
        <v>1213625.0546999921</v>
      </c>
      <c r="CM43" s="88">
        <f t="shared" si="25"/>
        <v>1220020.69090477</v>
      </c>
      <c r="CN43" s="88">
        <f t="shared" si="25"/>
        <v>1219402.1485488908</v>
      </c>
      <c r="CO43" s="88">
        <f t="shared" si="25"/>
        <v>1225867.2584622966</v>
      </c>
      <c r="CP43" s="88">
        <f t="shared" si="25"/>
        <v>1232367.3877210666</v>
      </c>
      <c r="CQ43" s="88">
        <f t="shared" si="25"/>
        <v>1238902.7260133217</v>
      </c>
      <c r="CR43" s="88">
        <f t="shared" si="25"/>
        <v>1245473.4640546597</v>
      </c>
      <c r="CS43" s="88">
        <f t="shared" si="25"/>
        <v>1252079.7935937219</v>
      </c>
      <c r="CT43" s="88">
        <f t="shared" si="25"/>
        <v>1258721.907417787</v>
      </c>
      <c r="CU43" s="88">
        <f t="shared" si="25"/>
        <v>1374396.9134168481</v>
      </c>
      <c r="CV43" s="88">
        <f t="shared" si="25"/>
        <v>1381111.1783554719</v>
      </c>
      <c r="CW43" s="88">
        <f t="shared" si="25"/>
        <v>1387861.8122291802</v>
      </c>
      <c r="CX43" s="88">
        <f t="shared" si="25"/>
        <v>1394649.012036371</v>
      </c>
      <c r="CY43" s="88">
        <f t="shared" si="25"/>
        <v>1401472.9758425171</v>
      </c>
      <c r="CZ43" s="88">
        <f t="shared" si="25"/>
        <v>1408333.9027859468</v>
      </c>
      <c r="DA43" s="88">
        <f t="shared" si="25"/>
        <v>1415231.9930836535</v>
      </c>
      <c r="DB43" s="88">
        <f t="shared" si="25"/>
        <v>1422167.4480371391</v>
      </c>
      <c r="DC43" s="88">
        <f t="shared" si="25"/>
        <v>1429140.4700382899</v>
      </c>
      <c r="DD43" s="88">
        <f t="shared" si="25"/>
        <v>1436151.2625752797</v>
      </c>
      <c r="DE43" s="88">
        <f t="shared" si="25"/>
        <v>1443200.030238512</v>
      </c>
      <c r="DF43" s="88">
        <f t="shared" si="25"/>
        <v>1450286.9787265866</v>
      </c>
      <c r="DG43" s="88">
        <f t="shared" si="25"/>
        <v>1450363.4932622055</v>
      </c>
      <c r="DH43" s="88">
        <f t="shared" si="25"/>
        <v>1457527.4249586049</v>
      </c>
      <c r="DI43" s="88">
        <f t="shared" si="25"/>
        <v>1464730.1612850262</v>
      </c>
      <c r="DJ43" s="88">
        <f t="shared" si="25"/>
        <v>1471971.9124332159</v>
      </c>
      <c r="DK43" s="88">
        <f t="shared" si="25"/>
        <v>1479252.8897334582</v>
      </c>
      <c r="DL43" s="88">
        <f t="shared" si="25"/>
        <v>1486573.3056607433</v>
      </c>
      <c r="DM43" s="88">
        <f t="shared" si="25"/>
        <v>1493933.3738409681</v>
      </c>
      <c r="DN43" s="88">
        <f t="shared" si="25"/>
        <v>1501333.3090571689</v>
      </c>
      <c r="DO43" s="88">
        <f t="shared" si="25"/>
        <v>1508773.3272557913</v>
      </c>
      <c r="DP43" s="88">
        <f t="shared" si="25"/>
        <v>1516253.6455529889</v>
      </c>
      <c r="DQ43" s="88">
        <f t="shared" si="25"/>
        <v>1523774.4822409635</v>
      </c>
      <c r="DR43" s="88">
        <f t="shared" si="25"/>
        <v>1531336.0567943309</v>
      </c>
      <c r="DS43" s="88">
        <f t="shared" si="25"/>
        <v>1647935.5039349783</v>
      </c>
      <c r="DT43" s="88">
        <f t="shared" si="25"/>
        <v>1647935.5039349783</v>
      </c>
      <c r="DU43" s="88">
        <f t="shared" si="25"/>
        <v>1647935.5039349783</v>
      </c>
      <c r="DV43" s="88">
        <f t="shared" si="25"/>
        <v>1647935.5039349783</v>
      </c>
      <c r="DW43" s="88">
        <f t="shared" si="25"/>
        <v>1647935.5039349783</v>
      </c>
      <c r="DX43" s="88">
        <f t="shared" si="25"/>
        <v>1647935.5039349783</v>
      </c>
      <c r="DY43" s="88">
        <f t="shared" si="25"/>
        <v>1647935.5039349783</v>
      </c>
      <c r="DZ43" s="88">
        <f t="shared" si="25"/>
        <v>1647935.5039349783</v>
      </c>
      <c r="EA43" s="88">
        <f t="shared" ref="EA43:GL43" si="26">IF(EA42&lt;0,0,EA42*CST_INCOME_TAX)</f>
        <v>1647935.5039349783</v>
      </c>
      <c r="EB43" s="88">
        <f t="shared" si="26"/>
        <v>1647935.5039349783</v>
      </c>
      <c r="EC43" s="88">
        <f t="shared" si="26"/>
        <v>1647935.5039349783</v>
      </c>
      <c r="ED43" s="88">
        <f t="shared" si="26"/>
        <v>1647935.5039349783</v>
      </c>
      <c r="EE43" s="88">
        <f t="shared" si="26"/>
        <v>1640886.6823448783</v>
      </c>
      <c r="EF43" s="88">
        <f t="shared" si="26"/>
        <v>1640886.6823448783</v>
      </c>
      <c r="EG43" s="88">
        <f t="shared" si="26"/>
        <v>1640886.6823448783</v>
      </c>
      <c r="EH43" s="88">
        <f t="shared" si="26"/>
        <v>1640886.6823448783</v>
      </c>
      <c r="EI43" s="88">
        <f t="shared" si="26"/>
        <v>1640886.6823448783</v>
      </c>
      <c r="EJ43" s="88">
        <f t="shared" si="26"/>
        <v>1640886.6823448783</v>
      </c>
      <c r="EK43" s="88">
        <f t="shared" si="26"/>
        <v>1640886.6823448783</v>
      </c>
      <c r="EL43" s="88">
        <f t="shared" si="26"/>
        <v>1640886.6823448783</v>
      </c>
      <c r="EM43" s="88">
        <f t="shared" si="26"/>
        <v>1640886.6823448783</v>
      </c>
      <c r="EN43" s="88">
        <f t="shared" si="26"/>
        <v>1640886.6823448783</v>
      </c>
      <c r="EO43" s="88">
        <f t="shared" si="26"/>
        <v>1640886.6823448783</v>
      </c>
      <c r="EP43" s="88">
        <f t="shared" si="26"/>
        <v>1640886.6823448783</v>
      </c>
      <c r="EQ43" s="88">
        <f t="shared" si="26"/>
        <v>1749883.5964033275</v>
      </c>
      <c r="ER43" s="88">
        <f t="shared" si="26"/>
        <v>1749883.5964033275</v>
      </c>
      <c r="ES43" s="88">
        <f t="shared" si="26"/>
        <v>1749883.5964033275</v>
      </c>
      <c r="ET43" s="88">
        <f t="shared" si="26"/>
        <v>1749883.5964033275</v>
      </c>
      <c r="EU43" s="88">
        <f t="shared" si="26"/>
        <v>1749883.5964033275</v>
      </c>
      <c r="EV43" s="88">
        <f t="shared" si="26"/>
        <v>1749883.5964033275</v>
      </c>
      <c r="EW43" s="88">
        <f t="shared" si="26"/>
        <v>1749883.5964033275</v>
      </c>
      <c r="EX43" s="88">
        <f t="shared" si="26"/>
        <v>1749883.5964033275</v>
      </c>
      <c r="EY43" s="88">
        <f t="shared" si="26"/>
        <v>1749883.5964033275</v>
      </c>
      <c r="EZ43" s="88">
        <f t="shared" si="26"/>
        <v>1749883.5964033275</v>
      </c>
      <c r="FA43" s="88">
        <f t="shared" si="26"/>
        <v>1749883.5964033275</v>
      </c>
      <c r="FB43" s="88">
        <f t="shared" si="26"/>
        <v>1749883.5964033275</v>
      </c>
      <c r="FC43" s="88">
        <f t="shared" si="26"/>
        <v>1742834.7748132274</v>
      </c>
      <c r="FD43" s="88">
        <f t="shared" si="26"/>
        <v>1742834.7748132274</v>
      </c>
      <c r="FE43" s="88">
        <f t="shared" si="26"/>
        <v>1742834.7748132274</v>
      </c>
      <c r="FF43" s="88">
        <f t="shared" si="26"/>
        <v>1742834.7748132274</v>
      </c>
      <c r="FG43" s="88">
        <f t="shared" si="26"/>
        <v>1742834.7748132274</v>
      </c>
      <c r="FH43" s="88">
        <f t="shared" si="26"/>
        <v>1742834.7748132274</v>
      </c>
      <c r="FI43" s="88">
        <f t="shared" si="26"/>
        <v>1742834.7748132274</v>
      </c>
      <c r="FJ43" s="88">
        <f t="shared" si="26"/>
        <v>1742834.7748132274</v>
      </c>
      <c r="FK43" s="88">
        <f t="shared" si="26"/>
        <v>1742834.7748132274</v>
      </c>
      <c r="FL43" s="88">
        <f t="shared" si="26"/>
        <v>1742834.7748132274</v>
      </c>
      <c r="FM43" s="88">
        <f t="shared" si="26"/>
        <v>1742834.7748132274</v>
      </c>
      <c r="FN43" s="88">
        <f t="shared" si="26"/>
        <v>1742834.7748132274</v>
      </c>
      <c r="FO43" s="88">
        <f t="shared" si="26"/>
        <v>1851831.6888716756</v>
      </c>
      <c r="FP43" s="88">
        <f t="shared" si="26"/>
        <v>1851831.6888716756</v>
      </c>
      <c r="FQ43" s="88">
        <f t="shared" si="26"/>
        <v>1851831.6888716756</v>
      </c>
      <c r="FR43" s="88">
        <f t="shared" si="26"/>
        <v>1851831.6888716756</v>
      </c>
      <c r="FS43" s="88">
        <f t="shared" si="26"/>
        <v>1851831.6888716756</v>
      </c>
      <c r="FT43" s="88">
        <f t="shared" si="26"/>
        <v>1851831.6888716756</v>
      </c>
      <c r="FU43" s="88">
        <f t="shared" si="26"/>
        <v>1851831.6888716756</v>
      </c>
      <c r="FV43" s="88">
        <f t="shared" si="26"/>
        <v>1851831.6888716756</v>
      </c>
      <c r="FW43" s="88">
        <f t="shared" si="26"/>
        <v>1851831.6888716756</v>
      </c>
      <c r="FX43" s="88">
        <f t="shared" si="26"/>
        <v>1851831.6888716756</v>
      </c>
      <c r="FY43" s="88">
        <f t="shared" si="26"/>
        <v>1851831.6888716756</v>
      </c>
      <c r="FZ43" s="88">
        <f t="shared" si="26"/>
        <v>1851831.6888716756</v>
      </c>
      <c r="GA43" s="88">
        <f t="shared" si="26"/>
        <v>1844782.8672815762</v>
      </c>
      <c r="GB43" s="88">
        <f t="shared" si="26"/>
        <v>1844782.8672815762</v>
      </c>
      <c r="GC43" s="88">
        <f t="shared" si="26"/>
        <v>1844782.8672815762</v>
      </c>
      <c r="GD43" s="88">
        <f t="shared" si="26"/>
        <v>1844782.8672815762</v>
      </c>
      <c r="GE43" s="88">
        <f t="shared" si="26"/>
        <v>1844782.8672815762</v>
      </c>
      <c r="GF43" s="88">
        <f t="shared" si="26"/>
        <v>1844782.8672815762</v>
      </c>
      <c r="GG43" s="88">
        <f t="shared" si="26"/>
        <v>1844782.8672815762</v>
      </c>
      <c r="GH43" s="88">
        <f t="shared" si="26"/>
        <v>1844782.8672815762</v>
      </c>
      <c r="GI43" s="88">
        <f t="shared" si="26"/>
        <v>1844782.8672815762</v>
      </c>
      <c r="GJ43" s="88">
        <f t="shared" si="26"/>
        <v>1844782.8672815762</v>
      </c>
      <c r="GK43" s="88">
        <f t="shared" si="26"/>
        <v>1844782.8672815762</v>
      </c>
      <c r="GL43" s="88">
        <f t="shared" si="26"/>
        <v>1844782.8672815762</v>
      </c>
      <c r="GM43" s="88">
        <f t="shared" ref="GM43:IH43" si="27">IF(GM42&lt;0,0,GM42*CST_INCOME_TAX)</f>
        <v>2816818.7269398165</v>
      </c>
      <c r="GN43" s="88">
        <f t="shared" si="27"/>
        <v>2816818.7269398165</v>
      </c>
      <c r="GO43" s="88">
        <f t="shared" si="27"/>
        <v>2816818.7269398165</v>
      </c>
      <c r="GP43" s="88">
        <f t="shared" si="27"/>
        <v>2816818.7269398165</v>
      </c>
      <c r="GQ43" s="88">
        <f t="shared" si="27"/>
        <v>2816818.7269398165</v>
      </c>
      <c r="GR43" s="88">
        <f t="shared" si="27"/>
        <v>2816818.7269398165</v>
      </c>
      <c r="GS43" s="88">
        <f t="shared" si="27"/>
        <v>2816818.7269398165</v>
      </c>
      <c r="GT43" s="88">
        <f t="shared" si="27"/>
        <v>2816818.7269398165</v>
      </c>
      <c r="GU43" s="88">
        <f t="shared" si="27"/>
        <v>2816818.7269398165</v>
      </c>
      <c r="GV43" s="88">
        <f t="shared" si="27"/>
        <v>2816818.7269398165</v>
      </c>
      <c r="GW43" s="88">
        <f t="shared" si="27"/>
        <v>2816818.7269398165</v>
      </c>
      <c r="GX43" s="88">
        <f t="shared" si="27"/>
        <v>2816818.7269398165</v>
      </c>
      <c r="GY43" s="88">
        <f t="shared" si="27"/>
        <v>2809769.905349717</v>
      </c>
      <c r="GZ43" s="88">
        <f t="shared" si="27"/>
        <v>2809769.905349717</v>
      </c>
      <c r="HA43" s="88">
        <f t="shared" si="27"/>
        <v>2809769.905349717</v>
      </c>
      <c r="HB43" s="88">
        <f t="shared" si="27"/>
        <v>2809769.905349717</v>
      </c>
      <c r="HC43" s="88">
        <f t="shared" si="27"/>
        <v>2809769.905349717</v>
      </c>
      <c r="HD43" s="88">
        <f t="shared" si="27"/>
        <v>2809769.905349717</v>
      </c>
      <c r="HE43" s="88">
        <f t="shared" si="27"/>
        <v>2809769.905349717</v>
      </c>
      <c r="HF43" s="88">
        <f t="shared" si="27"/>
        <v>2809769.905349717</v>
      </c>
      <c r="HG43" s="88">
        <f t="shared" si="27"/>
        <v>2809769.905349717</v>
      </c>
      <c r="HH43" s="88">
        <f t="shared" si="27"/>
        <v>2809769.905349717</v>
      </c>
      <c r="HI43" s="88">
        <f t="shared" si="27"/>
        <v>2809769.905349717</v>
      </c>
      <c r="HJ43" s="88">
        <f t="shared" si="27"/>
        <v>2809769.905349717</v>
      </c>
      <c r="HK43" s="88">
        <f t="shared" si="27"/>
        <v>2925815.6409982643</v>
      </c>
      <c r="HL43" s="88">
        <f t="shared" si="27"/>
        <v>2925815.6409982643</v>
      </c>
      <c r="HM43" s="88">
        <f t="shared" si="27"/>
        <v>2925815.6409982643</v>
      </c>
      <c r="HN43" s="88">
        <f t="shared" si="27"/>
        <v>2925815.6409982643</v>
      </c>
      <c r="HO43" s="88">
        <f t="shared" si="27"/>
        <v>2925815.6409982643</v>
      </c>
      <c r="HP43" s="88">
        <f t="shared" si="27"/>
        <v>2925815.6409982643</v>
      </c>
      <c r="HQ43" s="88">
        <f t="shared" si="27"/>
        <v>2925815.6409982643</v>
      </c>
      <c r="HR43" s="88">
        <f t="shared" si="27"/>
        <v>2925815.6409982643</v>
      </c>
      <c r="HS43" s="88">
        <f t="shared" si="27"/>
        <v>2925815.6409982643</v>
      </c>
      <c r="HT43" s="88">
        <f t="shared" si="27"/>
        <v>2925815.6409982643</v>
      </c>
      <c r="HU43" s="88">
        <f t="shared" si="27"/>
        <v>2925815.6409982643</v>
      </c>
      <c r="HV43" s="88">
        <f t="shared" si="27"/>
        <v>2925815.6409982643</v>
      </c>
      <c r="HW43" s="88">
        <f t="shared" si="27"/>
        <v>2925815.6409982643</v>
      </c>
      <c r="HX43" s="88">
        <f t="shared" si="27"/>
        <v>2925815.6409982643</v>
      </c>
      <c r="HY43" s="88">
        <f t="shared" si="27"/>
        <v>2925815.6409982643</v>
      </c>
      <c r="HZ43" s="88">
        <f t="shared" si="27"/>
        <v>2925815.6409982643</v>
      </c>
      <c r="IA43" s="88">
        <f t="shared" si="27"/>
        <v>2925815.6409982643</v>
      </c>
      <c r="IB43" s="88">
        <f t="shared" si="27"/>
        <v>2925815.6409982643</v>
      </c>
      <c r="IC43" s="88">
        <f t="shared" si="27"/>
        <v>2925815.6409982643</v>
      </c>
      <c r="ID43" s="88">
        <f t="shared" si="27"/>
        <v>2925815.6409982643</v>
      </c>
      <c r="IE43" s="88">
        <f t="shared" si="27"/>
        <v>2925815.6409982643</v>
      </c>
      <c r="IF43" s="88">
        <f t="shared" si="27"/>
        <v>2925815.6409982643</v>
      </c>
      <c r="IG43" s="88">
        <f t="shared" si="27"/>
        <v>2925815.6409982643</v>
      </c>
      <c r="IH43" s="88">
        <f t="shared" si="27"/>
        <v>2925815.6409982643</v>
      </c>
    </row>
    <row r="44" spans="1:242" ht="15" thickTop="1" thickBot="1" x14ac:dyDescent="0.5">
      <c r="A44" s="888" t="s">
        <v>276</v>
      </c>
      <c r="B44" s="889"/>
      <c r="C44" s="89">
        <f>C42-C43</f>
        <v>-5346903.7165688919</v>
      </c>
      <c r="D44" s="89">
        <f t="shared" ref="D44:BO44" si="28">D42-D43</f>
        <v>-4937754.5570717733</v>
      </c>
      <c r="E44" s="89">
        <f t="shared" si="28"/>
        <v>-4910961.0479607107</v>
      </c>
      <c r="F44" s="89">
        <f t="shared" si="28"/>
        <v>-4884022.4073419664</v>
      </c>
      <c r="G44" s="89">
        <f t="shared" si="28"/>
        <v>-4856937.8490865342</v>
      </c>
      <c r="H44" s="89">
        <f t="shared" si="28"/>
        <v>-4829706.5828072205</v>
      </c>
      <c r="I44" s="89">
        <f t="shared" si="28"/>
        <v>-4802327.8138355594</v>
      </c>
      <c r="J44" s="89">
        <f t="shared" si="28"/>
        <v>-4774800.7431986332</v>
      </c>
      <c r="K44" s="89">
        <f t="shared" si="28"/>
        <v>-4747124.5675957594</v>
      </c>
      <c r="L44" s="89">
        <f t="shared" si="28"/>
        <v>-4719298.4793750374</v>
      </c>
      <c r="M44" s="89">
        <f t="shared" si="28"/>
        <v>-4691321.6665097848</v>
      </c>
      <c r="N44" s="89">
        <f t="shared" si="28"/>
        <v>-4663193.3125748467</v>
      </c>
      <c r="O44" s="89">
        <f t="shared" si="28"/>
        <v>-10571620.234054705</v>
      </c>
      <c r="P44" s="89">
        <f t="shared" si="28"/>
        <v>-10403186.330991752</v>
      </c>
      <c r="Q44" s="89">
        <f t="shared" si="28"/>
        <v>-10374598.410953876</v>
      </c>
      <c r="R44" s="89">
        <f t="shared" si="28"/>
        <v>-10345855.639682462</v>
      </c>
      <c r="S44" s="89">
        <f t="shared" si="28"/>
        <v>-10316957.178399993</v>
      </c>
      <c r="T44" s="89">
        <f t="shared" si="28"/>
        <v>-10287902.183785578</v>
      </c>
      <c r="U44" s="89">
        <f t="shared" si="28"/>
        <v>-10258689.807950336</v>
      </c>
      <c r="V44" s="89">
        <f t="shared" si="28"/>
        <v>-10229319.198412651</v>
      </c>
      <c r="W44" s="89">
        <f t="shared" si="28"/>
        <v>-10199789.498073306</v>
      </c>
      <c r="X44" s="89">
        <f t="shared" si="28"/>
        <v>-10170099.845190454</v>
      </c>
      <c r="Y44" s="89">
        <f t="shared" si="28"/>
        <v>-10140249.373354489</v>
      </c>
      <c r="Z44" s="89">
        <f t="shared" si="28"/>
        <v>-10110237.211462744</v>
      </c>
      <c r="AA44" s="89">
        <f t="shared" si="28"/>
        <v>-5282892.4991329536</v>
      </c>
      <c r="AB44" s="89">
        <f t="shared" si="28"/>
        <v>-5252554.3249222152</v>
      </c>
      <c r="AC44" s="89">
        <f t="shared" si="28"/>
        <v>-5222051.8189345021</v>
      </c>
      <c r="AD44" s="89">
        <f t="shared" si="28"/>
        <v>-5191384.091039354</v>
      </c>
      <c r="AE44" s="89">
        <f t="shared" si="28"/>
        <v>-5160550.2462847754</v>
      </c>
      <c r="AF44" s="89">
        <f t="shared" si="28"/>
        <v>-5129549.3848711103</v>
      </c>
      <c r="AG44" s="89">
        <f t="shared" si="28"/>
        <v>-5098380.602124786</v>
      </c>
      <c r="AH44" s="89">
        <f t="shared" si="28"/>
        <v>-5067042.9884719197</v>
      </c>
      <c r="AI44" s="89">
        <f t="shared" si="28"/>
        <v>-5035535.6294117682</v>
      </c>
      <c r="AJ44" s="89">
        <f t="shared" si="28"/>
        <v>-5003857.6054900391</v>
      </c>
      <c r="AK44" s="89">
        <f t="shared" si="28"/>
        <v>-4972007.9922720678</v>
      </c>
      <c r="AL44" s="89">
        <f t="shared" si="28"/>
        <v>-4939985.8603158332</v>
      </c>
      <c r="AM44" s="89">
        <f t="shared" si="28"/>
        <v>-1290556.686170781</v>
      </c>
      <c r="AN44" s="89">
        <f t="shared" si="28"/>
        <v>-1258186.7082467726</v>
      </c>
      <c r="AO44" s="89">
        <f t="shared" si="28"/>
        <v>-1225641.3929423438</v>
      </c>
      <c r="AP44" s="89">
        <f t="shared" si="28"/>
        <v>-1192919.7905133492</v>
      </c>
      <c r="AQ44" s="89">
        <f t="shared" si="28"/>
        <v>-1160020.9460711973</v>
      </c>
      <c r="AR44" s="89">
        <f t="shared" si="28"/>
        <v>-1126943.8995549837</v>
      </c>
      <c r="AS44" s="89">
        <f t="shared" si="28"/>
        <v>-1093687.6857034736</v>
      </c>
      <c r="AT44" s="89">
        <f t="shared" si="28"/>
        <v>-1060251.334026935</v>
      </c>
      <c r="AU44" s="89">
        <f t="shared" si="28"/>
        <v>-1026633.8687788155</v>
      </c>
      <c r="AV44" s="89">
        <f t="shared" si="28"/>
        <v>-992834.30892726779</v>
      </c>
      <c r="AW44" s="89">
        <f t="shared" si="28"/>
        <v>-958851.66812652489</v>
      </c>
      <c r="AX44" s="89">
        <f t="shared" si="28"/>
        <v>-924684.95468811039</v>
      </c>
      <c r="AY44" s="89">
        <f t="shared" si="28"/>
        <v>2860158.5361687187</v>
      </c>
      <c r="AZ44" s="89">
        <f t="shared" si="28"/>
        <v>2889515.7131693494</v>
      </c>
      <c r="BA44" s="89">
        <f t="shared" si="28"/>
        <v>2919031.9082120662</v>
      </c>
      <c r="BB44" s="89">
        <f t="shared" si="28"/>
        <v>2948707.9826445989</v>
      </c>
      <c r="BC44" s="89">
        <f t="shared" si="28"/>
        <v>2978544.8024803074</v>
      </c>
      <c r="BD44" s="89">
        <f t="shared" si="28"/>
        <v>3008543.2384234592</v>
      </c>
      <c r="BE44" s="89">
        <f t="shared" si="28"/>
        <v>3038704.1658946369</v>
      </c>
      <c r="BF44" s="89">
        <f t="shared" si="28"/>
        <v>3069028.4650562829</v>
      </c>
      <c r="BG44" s="89">
        <f t="shared" si="28"/>
        <v>3099517.0208383878</v>
      </c>
      <c r="BH44" s="89">
        <f t="shared" si="28"/>
        <v>3130170.7229643124</v>
      </c>
      <c r="BI44" s="89">
        <f t="shared" si="28"/>
        <v>3160990.4659767528</v>
      </c>
      <c r="BJ44" s="89">
        <f t="shared" si="28"/>
        <v>3191977.1492638439</v>
      </c>
      <c r="BK44" s="89">
        <f t="shared" si="28"/>
        <v>5644417.4107049126</v>
      </c>
      <c r="BL44" s="89">
        <f t="shared" si="28"/>
        <v>5675740.692218842</v>
      </c>
      <c r="BM44" s="89">
        <f t="shared" si="28"/>
        <v>5707233.6415076395</v>
      </c>
      <c r="BN44" s="89">
        <f t="shared" si="28"/>
        <v>5738897.1776050823</v>
      </c>
      <c r="BO44" s="89">
        <f t="shared" si="28"/>
        <v>5770732.2245230554</v>
      </c>
      <c r="BP44" s="89">
        <f t="shared" ref="BP44:EA44" si="29">BP42-BP43</f>
        <v>5802739.7112785</v>
      </c>
      <c r="BQ44" s="89">
        <f t="shared" si="29"/>
        <v>5834920.5719205355</v>
      </c>
      <c r="BR44" s="89">
        <f t="shared" si="29"/>
        <v>5867275.745557717</v>
      </c>
      <c r="BS44" s="89">
        <f t="shared" si="29"/>
        <v>5899806.1763854325</v>
      </c>
      <c r="BT44" s="89">
        <f t="shared" si="29"/>
        <v>5932512.8137134649</v>
      </c>
      <c r="BU44" s="89">
        <f t="shared" si="29"/>
        <v>5965396.611993691</v>
      </c>
      <c r="BV44" s="89">
        <f t="shared" si="29"/>
        <v>5998458.530847935</v>
      </c>
      <c r="BW44" s="89">
        <f t="shared" si="29"/>
        <v>6356431.0175719354</v>
      </c>
      <c r="BX44" s="89">
        <f t="shared" si="29"/>
        <v>6389852.0772596486</v>
      </c>
      <c r="BY44" s="89">
        <f t="shared" si="29"/>
        <v>6423454.1676873388</v>
      </c>
      <c r="BZ44" s="89">
        <f t="shared" si="29"/>
        <v>6457238.2694381783</v>
      </c>
      <c r="CA44" s="89">
        <f t="shared" si="29"/>
        <v>6491205.368406835</v>
      </c>
      <c r="CB44" s="89">
        <f t="shared" si="29"/>
        <v>6525356.4558282383</v>
      </c>
      <c r="CC44" s="89">
        <f t="shared" si="29"/>
        <v>6559692.5283065075</v>
      </c>
      <c r="CD44" s="89">
        <f t="shared" si="29"/>
        <v>6594214.5878440347</v>
      </c>
      <c r="CE44" s="89">
        <f t="shared" si="29"/>
        <v>6628923.6418707222</v>
      </c>
      <c r="CF44" s="89">
        <f t="shared" si="29"/>
        <v>6663820.7032733886</v>
      </c>
      <c r="CG44" s="89">
        <f t="shared" si="29"/>
        <v>6698906.7904253192</v>
      </c>
      <c r="CH44" s="89">
        <f t="shared" si="29"/>
        <v>6734182.9272159897</v>
      </c>
      <c r="CI44" s="89">
        <f t="shared" si="29"/>
        <v>6769650.1430809423</v>
      </c>
      <c r="CJ44" s="89">
        <f t="shared" si="29"/>
        <v>6805309.47303183</v>
      </c>
      <c r="CK44" s="89">
        <f t="shared" si="29"/>
        <v>6841161.9576866198</v>
      </c>
      <c r="CL44" s="89">
        <f t="shared" si="29"/>
        <v>6877208.6432999549</v>
      </c>
      <c r="CM44" s="89">
        <f t="shared" si="29"/>
        <v>6913450.5817936966</v>
      </c>
      <c r="CN44" s="89">
        <f t="shared" si="29"/>
        <v>6909945.5084437151</v>
      </c>
      <c r="CO44" s="89">
        <f t="shared" si="29"/>
        <v>6946581.1312863473</v>
      </c>
      <c r="CP44" s="89">
        <f t="shared" si="29"/>
        <v>6983415.1970860446</v>
      </c>
      <c r="CQ44" s="89">
        <f t="shared" si="29"/>
        <v>7020448.7807421573</v>
      </c>
      <c r="CR44" s="89">
        <f t="shared" si="29"/>
        <v>7057682.9629764054</v>
      </c>
      <c r="CS44" s="89">
        <f t="shared" si="29"/>
        <v>7095118.8303644247</v>
      </c>
      <c r="CT44" s="89">
        <f t="shared" si="29"/>
        <v>7132757.4753674604</v>
      </c>
      <c r="CU44" s="89">
        <f t="shared" si="29"/>
        <v>7788249.1760288067</v>
      </c>
      <c r="CV44" s="89">
        <f t="shared" si="29"/>
        <v>7826296.677347675</v>
      </c>
      <c r="CW44" s="89">
        <f t="shared" si="29"/>
        <v>7864550.2692986876</v>
      </c>
      <c r="CX44" s="89">
        <f t="shared" si="29"/>
        <v>7903011.0682061026</v>
      </c>
      <c r="CY44" s="89">
        <f t="shared" si="29"/>
        <v>7941680.1964409314</v>
      </c>
      <c r="CZ44" s="89">
        <f t="shared" si="29"/>
        <v>7980558.7824537</v>
      </c>
      <c r="DA44" s="89">
        <f t="shared" si="29"/>
        <v>8019647.96080737</v>
      </c>
      <c r="DB44" s="89">
        <f t="shared" si="29"/>
        <v>8058948.8722104551</v>
      </c>
      <c r="DC44" s="89">
        <f t="shared" si="29"/>
        <v>8098462.6635503089</v>
      </c>
      <c r="DD44" s="89">
        <f t="shared" si="29"/>
        <v>8138190.4879265856</v>
      </c>
      <c r="DE44" s="89">
        <f t="shared" si="29"/>
        <v>8178133.5046849018</v>
      </c>
      <c r="DF44" s="89">
        <f t="shared" si="29"/>
        <v>8218292.8794506583</v>
      </c>
      <c r="DG44" s="89">
        <f t="shared" si="29"/>
        <v>8218726.4618191645</v>
      </c>
      <c r="DH44" s="89">
        <f t="shared" si="29"/>
        <v>8259322.074765427</v>
      </c>
      <c r="DI44" s="89">
        <f t="shared" si="29"/>
        <v>8300137.5806151498</v>
      </c>
      <c r="DJ44" s="89">
        <f t="shared" si="29"/>
        <v>8341174.1704548895</v>
      </c>
      <c r="DK44" s="89">
        <f t="shared" si="29"/>
        <v>8382433.0418229308</v>
      </c>
      <c r="DL44" s="89">
        <f t="shared" si="29"/>
        <v>8423915.3987442125</v>
      </c>
      <c r="DM44" s="89">
        <f t="shared" si="29"/>
        <v>8465622.4517654851</v>
      </c>
      <c r="DN44" s="89">
        <f t="shared" si="29"/>
        <v>8507555.4179906249</v>
      </c>
      <c r="DO44" s="89">
        <f t="shared" si="29"/>
        <v>8549715.5211161505</v>
      </c>
      <c r="DP44" s="89">
        <f t="shared" si="29"/>
        <v>8592103.9914669376</v>
      </c>
      <c r="DQ44" s="89">
        <f t="shared" si="29"/>
        <v>8634722.0660321265</v>
      </c>
      <c r="DR44" s="89">
        <f t="shared" si="29"/>
        <v>8677570.9885012098</v>
      </c>
      <c r="DS44" s="89">
        <f t="shared" si="29"/>
        <v>9338301.1889648773</v>
      </c>
      <c r="DT44" s="89">
        <f t="shared" si="29"/>
        <v>9338301.1889648773</v>
      </c>
      <c r="DU44" s="89">
        <f t="shared" si="29"/>
        <v>9338301.1889648773</v>
      </c>
      <c r="DV44" s="89">
        <f t="shared" si="29"/>
        <v>9338301.1889648773</v>
      </c>
      <c r="DW44" s="89">
        <f t="shared" si="29"/>
        <v>9338301.1889648773</v>
      </c>
      <c r="DX44" s="89">
        <f t="shared" si="29"/>
        <v>9338301.1889648773</v>
      </c>
      <c r="DY44" s="89">
        <f t="shared" si="29"/>
        <v>9338301.1889648773</v>
      </c>
      <c r="DZ44" s="89">
        <f t="shared" si="29"/>
        <v>9338301.1889648773</v>
      </c>
      <c r="EA44" s="89">
        <f t="shared" si="29"/>
        <v>9338301.1889648773</v>
      </c>
      <c r="EB44" s="89">
        <f t="shared" ref="EB44:GM44" si="30">EB42-EB43</f>
        <v>9338301.1889648773</v>
      </c>
      <c r="EC44" s="89">
        <f t="shared" si="30"/>
        <v>9338301.1889648773</v>
      </c>
      <c r="ED44" s="89">
        <f t="shared" si="30"/>
        <v>9338301.1889648773</v>
      </c>
      <c r="EE44" s="89">
        <f t="shared" si="30"/>
        <v>9298357.8666209783</v>
      </c>
      <c r="EF44" s="89">
        <f t="shared" si="30"/>
        <v>9298357.8666209783</v>
      </c>
      <c r="EG44" s="89">
        <f t="shared" si="30"/>
        <v>9298357.8666209783</v>
      </c>
      <c r="EH44" s="89">
        <f t="shared" si="30"/>
        <v>9298357.8666209783</v>
      </c>
      <c r="EI44" s="89">
        <f t="shared" si="30"/>
        <v>9298357.8666209783</v>
      </c>
      <c r="EJ44" s="89">
        <f t="shared" si="30"/>
        <v>9298357.8666209783</v>
      </c>
      <c r="EK44" s="89">
        <f t="shared" si="30"/>
        <v>9298357.8666209783</v>
      </c>
      <c r="EL44" s="89">
        <f t="shared" si="30"/>
        <v>9298357.8666209783</v>
      </c>
      <c r="EM44" s="89">
        <f t="shared" si="30"/>
        <v>9298357.8666209783</v>
      </c>
      <c r="EN44" s="89">
        <f t="shared" si="30"/>
        <v>9298357.8666209783</v>
      </c>
      <c r="EO44" s="89">
        <f t="shared" si="30"/>
        <v>9298357.8666209783</v>
      </c>
      <c r="EP44" s="89">
        <f t="shared" si="30"/>
        <v>9298357.8666209783</v>
      </c>
      <c r="EQ44" s="89">
        <f t="shared" si="30"/>
        <v>9916007.0462855231</v>
      </c>
      <c r="ER44" s="89">
        <f t="shared" si="30"/>
        <v>9916007.0462855231</v>
      </c>
      <c r="ES44" s="89">
        <f t="shared" si="30"/>
        <v>9916007.0462855231</v>
      </c>
      <c r="ET44" s="89">
        <f t="shared" si="30"/>
        <v>9916007.0462855231</v>
      </c>
      <c r="EU44" s="89">
        <f t="shared" si="30"/>
        <v>9916007.0462855231</v>
      </c>
      <c r="EV44" s="89">
        <f t="shared" si="30"/>
        <v>9916007.0462855231</v>
      </c>
      <c r="EW44" s="89">
        <f t="shared" si="30"/>
        <v>9916007.0462855231</v>
      </c>
      <c r="EX44" s="89">
        <f t="shared" si="30"/>
        <v>9916007.0462855231</v>
      </c>
      <c r="EY44" s="89">
        <f t="shared" si="30"/>
        <v>9916007.0462855231</v>
      </c>
      <c r="EZ44" s="89">
        <f t="shared" si="30"/>
        <v>9916007.0462855231</v>
      </c>
      <c r="FA44" s="89">
        <f t="shared" si="30"/>
        <v>9916007.0462855231</v>
      </c>
      <c r="FB44" s="89">
        <f t="shared" si="30"/>
        <v>9916007.0462855231</v>
      </c>
      <c r="FC44" s="89">
        <f t="shared" si="30"/>
        <v>9876063.7239416223</v>
      </c>
      <c r="FD44" s="89">
        <f t="shared" si="30"/>
        <v>9876063.7239416223</v>
      </c>
      <c r="FE44" s="89">
        <f t="shared" si="30"/>
        <v>9876063.7239416223</v>
      </c>
      <c r="FF44" s="89">
        <f t="shared" si="30"/>
        <v>9876063.7239416223</v>
      </c>
      <c r="FG44" s="89">
        <f t="shared" si="30"/>
        <v>9876063.7239416223</v>
      </c>
      <c r="FH44" s="89">
        <f t="shared" si="30"/>
        <v>9876063.7239416223</v>
      </c>
      <c r="FI44" s="89">
        <f t="shared" si="30"/>
        <v>9876063.7239416223</v>
      </c>
      <c r="FJ44" s="89">
        <f t="shared" si="30"/>
        <v>9876063.7239416223</v>
      </c>
      <c r="FK44" s="89">
        <f t="shared" si="30"/>
        <v>9876063.7239416223</v>
      </c>
      <c r="FL44" s="89">
        <f t="shared" si="30"/>
        <v>9876063.7239416223</v>
      </c>
      <c r="FM44" s="89">
        <f t="shared" si="30"/>
        <v>9876063.7239416223</v>
      </c>
      <c r="FN44" s="89">
        <f t="shared" si="30"/>
        <v>9876063.7239416223</v>
      </c>
      <c r="FO44" s="89">
        <f t="shared" si="30"/>
        <v>10493712.903606161</v>
      </c>
      <c r="FP44" s="89">
        <f t="shared" si="30"/>
        <v>10493712.903606161</v>
      </c>
      <c r="FQ44" s="89">
        <f t="shared" si="30"/>
        <v>10493712.903606161</v>
      </c>
      <c r="FR44" s="89">
        <f t="shared" si="30"/>
        <v>10493712.903606161</v>
      </c>
      <c r="FS44" s="89">
        <f t="shared" si="30"/>
        <v>10493712.903606161</v>
      </c>
      <c r="FT44" s="89">
        <f t="shared" si="30"/>
        <v>10493712.903606161</v>
      </c>
      <c r="FU44" s="89">
        <f t="shared" si="30"/>
        <v>10493712.903606161</v>
      </c>
      <c r="FV44" s="89">
        <f t="shared" si="30"/>
        <v>10493712.903606161</v>
      </c>
      <c r="FW44" s="89">
        <f t="shared" si="30"/>
        <v>10493712.903606161</v>
      </c>
      <c r="FX44" s="89">
        <f t="shared" si="30"/>
        <v>10493712.903606161</v>
      </c>
      <c r="FY44" s="89">
        <f t="shared" si="30"/>
        <v>10493712.903606161</v>
      </c>
      <c r="FZ44" s="89">
        <f t="shared" si="30"/>
        <v>10493712.903606161</v>
      </c>
      <c r="GA44" s="89">
        <f t="shared" si="30"/>
        <v>10453769.581262264</v>
      </c>
      <c r="GB44" s="89">
        <f t="shared" si="30"/>
        <v>10453769.581262264</v>
      </c>
      <c r="GC44" s="89">
        <f t="shared" si="30"/>
        <v>10453769.581262264</v>
      </c>
      <c r="GD44" s="89">
        <f t="shared" si="30"/>
        <v>10453769.581262264</v>
      </c>
      <c r="GE44" s="89">
        <f t="shared" si="30"/>
        <v>10453769.581262264</v>
      </c>
      <c r="GF44" s="89">
        <f t="shared" si="30"/>
        <v>10453769.581262264</v>
      </c>
      <c r="GG44" s="89">
        <f t="shared" si="30"/>
        <v>10453769.581262264</v>
      </c>
      <c r="GH44" s="89">
        <f t="shared" si="30"/>
        <v>10453769.581262264</v>
      </c>
      <c r="GI44" s="89">
        <f t="shared" si="30"/>
        <v>10453769.581262264</v>
      </c>
      <c r="GJ44" s="89">
        <f t="shared" si="30"/>
        <v>10453769.581262264</v>
      </c>
      <c r="GK44" s="89">
        <f t="shared" si="30"/>
        <v>10453769.581262264</v>
      </c>
      <c r="GL44" s="89">
        <f t="shared" si="30"/>
        <v>10453769.581262264</v>
      </c>
      <c r="GM44" s="89">
        <f t="shared" si="30"/>
        <v>15961972.785992295</v>
      </c>
      <c r="GN44" s="89">
        <f t="shared" ref="GN44:IH44" si="31">GN42-GN43</f>
        <v>15961972.785992295</v>
      </c>
      <c r="GO44" s="89">
        <f t="shared" si="31"/>
        <v>15961972.785992295</v>
      </c>
      <c r="GP44" s="89">
        <f t="shared" si="31"/>
        <v>15961972.785992295</v>
      </c>
      <c r="GQ44" s="89">
        <f t="shared" si="31"/>
        <v>15961972.785992295</v>
      </c>
      <c r="GR44" s="89">
        <f t="shared" si="31"/>
        <v>15961972.785992295</v>
      </c>
      <c r="GS44" s="89">
        <f t="shared" si="31"/>
        <v>15961972.785992295</v>
      </c>
      <c r="GT44" s="89">
        <f t="shared" si="31"/>
        <v>15961972.785992295</v>
      </c>
      <c r="GU44" s="89">
        <f t="shared" si="31"/>
        <v>15961972.785992295</v>
      </c>
      <c r="GV44" s="89">
        <f t="shared" si="31"/>
        <v>15961972.785992295</v>
      </c>
      <c r="GW44" s="89">
        <f t="shared" si="31"/>
        <v>15961972.785992295</v>
      </c>
      <c r="GX44" s="89">
        <f t="shared" si="31"/>
        <v>15961972.785992295</v>
      </c>
      <c r="GY44" s="89">
        <f t="shared" si="31"/>
        <v>15922029.463648397</v>
      </c>
      <c r="GZ44" s="89">
        <f t="shared" si="31"/>
        <v>15922029.463648397</v>
      </c>
      <c r="HA44" s="89">
        <f t="shared" si="31"/>
        <v>15922029.463648397</v>
      </c>
      <c r="HB44" s="89">
        <f t="shared" si="31"/>
        <v>15922029.463648397</v>
      </c>
      <c r="HC44" s="89">
        <f t="shared" si="31"/>
        <v>15922029.463648397</v>
      </c>
      <c r="HD44" s="89">
        <f t="shared" si="31"/>
        <v>15922029.463648397</v>
      </c>
      <c r="HE44" s="89">
        <f t="shared" si="31"/>
        <v>15922029.463648397</v>
      </c>
      <c r="HF44" s="89">
        <f t="shared" si="31"/>
        <v>15922029.463648397</v>
      </c>
      <c r="HG44" s="89">
        <f t="shared" si="31"/>
        <v>15922029.463648397</v>
      </c>
      <c r="HH44" s="89">
        <f t="shared" si="31"/>
        <v>15922029.463648397</v>
      </c>
      <c r="HI44" s="89">
        <f t="shared" si="31"/>
        <v>15922029.463648397</v>
      </c>
      <c r="HJ44" s="89">
        <f t="shared" si="31"/>
        <v>15922029.463648397</v>
      </c>
      <c r="HK44" s="89">
        <f t="shared" si="31"/>
        <v>16579621.96565683</v>
      </c>
      <c r="HL44" s="89">
        <f t="shared" si="31"/>
        <v>16579621.96565683</v>
      </c>
      <c r="HM44" s="89">
        <f t="shared" si="31"/>
        <v>16579621.96565683</v>
      </c>
      <c r="HN44" s="89">
        <f t="shared" si="31"/>
        <v>16579621.96565683</v>
      </c>
      <c r="HO44" s="89">
        <f t="shared" si="31"/>
        <v>16579621.96565683</v>
      </c>
      <c r="HP44" s="89">
        <f t="shared" si="31"/>
        <v>16579621.96565683</v>
      </c>
      <c r="HQ44" s="89">
        <f t="shared" si="31"/>
        <v>16579621.96565683</v>
      </c>
      <c r="HR44" s="89">
        <f t="shared" si="31"/>
        <v>16579621.96565683</v>
      </c>
      <c r="HS44" s="89">
        <f t="shared" si="31"/>
        <v>16579621.96565683</v>
      </c>
      <c r="HT44" s="89">
        <f t="shared" si="31"/>
        <v>16579621.96565683</v>
      </c>
      <c r="HU44" s="89">
        <f t="shared" si="31"/>
        <v>16579621.96565683</v>
      </c>
      <c r="HV44" s="89">
        <f t="shared" si="31"/>
        <v>16579621.96565683</v>
      </c>
      <c r="HW44" s="89">
        <f t="shared" si="31"/>
        <v>16579621.96565683</v>
      </c>
      <c r="HX44" s="89">
        <f t="shared" si="31"/>
        <v>16579621.96565683</v>
      </c>
      <c r="HY44" s="89">
        <f t="shared" si="31"/>
        <v>16579621.96565683</v>
      </c>
      <c r="HZ44" s="89">
        <f t="shared" si="31"/>
        <v>16579621.96565683</v>
      </c>
      <c r="IA44" s="89">
        <f t="shared" si="31"/>
        <v>16579621.96565683</v>
      </c>
      <c r="IB44" s="89">
        <f t="shared" si="31"/>
        <v>16579621.96565683</v>
      </c>
      <c r="IC44" s="89">
        <f t="shared" si="31"/>
        <v>16579621.96565683</v>
      </c>
      <c r="ID44" s="89">
        <f t="shared" si="31"/>
        <v>16579621.96565683</v>
      </c>
      <c r="IE44" s="89">
        <f t="shared" si="31"/>
        <v>16579621.96565683</v>
      </c>
      <c r="IF44" s="89">
        <f t="shared" si="31"/>
        <v>16579621.96565683</v>
      </c>
      <c r="IG44" s="89">
        <f t="shared" si="31"/>
        <v>16579621.96565683</v>
      </c>
      <c r="IH44" s="89">
        <f t="shared" si="31"/>
        <v>16579621.96565683</v>
      </c>
    </row>
    <row r="45" spans="1:242" ht="14.65" thickTop="1" x14ac:dyDescent="0.45"/>
  </sheetData>
  <mergeCells count="60">
    <mergeCell ref="GA3:GL3"/>
    <mergeCell ref="GM3:GX3"/>
    <mergeCell ref="GY3:HJ3"/>
    <mergeCell ref="HK3:HV3"/>
    <mergeCell ref="HW3:IH3"/>
    <mergeCell ref="A44:B44"/>
    <mergeCell ref="A43:B43"/>
    <mergeCell ref="A39:B39"/>
    <mergeCell ref="A36:B36"/>
    <mergeCell ref="A38:B38"/>
    <mergeCell ref="A40:B40"/>
    <mergeCell ref="A41:B41"/>
    <mergeCell ref="A42:B42"/>
    <mergeCell ref="A35:B35"/>
    <mergeCell ref="A24:B24"/>
    <mergeCell ref="A25:B25"/>
    <mergeCell ref="A26:B26"/>
    <mergeCell ref="A27:B27"/>
    <mergeCell ref="A28:B28"/>
    <mergeCell ref="A29:B29"/>
    <mergeCell ref="A30:B30"/>
    <mergeCell ref="A31:B31"/>
    <mergeCell ref="A32:B32"/>
    <mergeCell ref="A33:B33"/>
    <mergeCell ref="A34:B34"/>
    <mergeCell ref="A23:B23"/>
    <mergeCell ref="A11:B11"/>
    <mergeCell ref="A12:B12"/>
    <mergeCell ref="A14:B14"/>
    <mergeCell ref="A15:B15"/>
    <mergeCell ref="A16:B16"/>
    <mergeCell ref="A18:B18"/>
    <mergeCell ref="A21:B21"/>
    <mergeCell ref="A17:B17"/>
    <mergeCell ref="A22:B22"/>
    <mergeCell ref="A19:B19"/>
    <mergeCell ref="A20:B20"/>
    <mergeCell ref="A6:B6"/>
    <mergeCell ref="A7:B7"/>
    <mergeCell ref="A8:B8"/>
    <mergeCell ref="A9:B9"/>
    <mergeCell ref="A10:B10"/>
    <mergeCell ref="EE3:EP3"/>
    <mergeCell ref="EQ3:FB3"/>
    <mergeCell ref="FC3:FN3"/>
    <mergeCell ref="FO3:FZ3"/>
    <mergeCell ref="A4:B4"/>
    <mergeCell ref="DG3:DR3"/>
    <mergeCell ref="DS3:ED3"/>
    <mergeCell ref="A5:B5"/>
    <mergeCell ref="BK3:BV3"/>
    <mergeCell ref="BW3:CH3"/>
    <mergeCell ref="CI3:CT3"/>
    <mergeCell ref="CU3:DF3"/>
    <mergeCell ref="A3:B3"/>
    <mergeCell ref="C3:N3"/>
    <mergeCell ref="O3:Z3"/>
    <mergeCell ref="AA3:AL3"/>
    <mergeCell ref="AM3:AX3"/>
    <mergeCell ref="AY3:BJ3"/>
  </mergeCells>
  <pageMargins left="0.7" right="0.7" top="0.75" bottom="0.75" header="0.3" footer="0.3"/>
  <pageSetup paperSize="9"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7" tint="0.39997558519241921"/>
  </sheetPr>
  <dimension ref="A1:IH39"/>
  <sheetViews>
    <sheetView workbookViewId="0">
      <pane xSplit="2" ySplit="5" topLeftCell="EA6" activePane="bottomRight" state="frozen"/>
      <selection activeCell="C22" sqref="C22"/>
      <selection pane="topRight" activeCell="C22" sqref="C22"/>
      <selection pane="bottomLeft" activeCell="C22" sqref="C22"/>
      <selection pane="bottomRight" activeCell="EF12" sqref="EF12"/>
    </sheetView>
  </sheetViews>
  <sheetFormatPr defaultRowHeight="14.25" x14ac:dyDescent="0.45"/>
  <cols>
    <col min="1" max="1" width="36.265625" customWidth="1"/>
    <col min="2" max="2" width="2.73046875" customWidth="1"/>
    <col min="3" max="234" width="12.86328125" customWidth="1"/>
    <col min="235" max="235" width="15.265625" customWidth="1"/>
    <col min="236" max="242" width="12.86328125" customWidth="1"/>
  </cols>
  <sheetData>
    <row r="1" spans="1:242" ht="23.25" x14ac:dyDescent="0.7">
      <c r="A1" s="899" t="s">
        <v>277</v>
      </c>
      <c r="B1" s="899"/>
    </row>
    <row r="3" spans="1:242" x14ac:dyDescent="0.45">
      <c r="A3" s="888" t="s">
        <v>166</v>
      </c>
      <c r="B3" s="889"/>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row>
    <row r="4" spans="1:242" x14ac:dyDescent="0.45">
      <c r="A4" s="888" t="s">
        <v>167</v>
      </c>
      <c r="B4" s="889"/>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2" x14ac:dyDescent="0.45">
      <c r="A5" s="888" t="s">
        <v>253</v>
      </c>
      <c r="B5" s="889"/>
      <c r="C5" s="70">
        <v>1</v>
      </c>
      <c r="D5" s="71">
        <v>2</v>
      </c>
      <c r="E5" s="71">
        <v>3</v>
      </c>
      <c r="F5" s="70">
        <v>4</v>
      </c>
      <c r="G5" s="71">
        <v>5</v>
      </c>
      <c r="H5" s="71">
        <v>6</v>
      </c>
      <c r="I5" s="70">
        <v>7</v>
      </c>
      <c r="J5" s="71">
        <v>8</v>
      </c>
      <c r="K5" s="71">
        <v>9</v>
      </c>
      <c r="L5" s="70">
        <v>10</v>
      </c>
      <c r="M5" s="71">
        <v>11</v>
      </c>
      <c r="N5" s="71">
        <v>12</v>
      </c>
      <c r="O5" s="70">
        <v>13</v>
      </c>
      <c r="P5" s="71">
        <v>14</v>
      </c>
      <c r="Q5" s="71">
        <v>15</v>
      </c>
      <c r="R5" s="70">
        <v>16</v>
      </c>
      <c r="S5" s="71">
        <v>17</v>
      </c>
      <c r="T5" s="71">
        <v>18</v>
      </c>
      <c r="U5" s="70">
        <v>19</v>
      </c>
      <c r="V5" s="71">
        <v>20</v>
      </c>
      <c r="W5" s="71">
        <v>21</v>
      </c>
      <c r="X5" s="70">
        <v>22</v>
      </c>
      <c r="Y5" s="71">
        <v>23</v>
      </c>
      <c r="Z5" s="71">
        <v>24</v>
      </c>
      <c r="AA5" s="70">
        <v>25</v>
      </c>
      <c r="AB5" s="71">
        <v>26</v>
      </c>
      <c r="AC5" s="71">
        <v>27</v>
      </c>
      <c r="AD5" s="70">
        <v>28</v>
      </c>
      <c r="AE5" s="71">
        <v>29</v>
      </c>
      <c r="AF5" s="71">
        <v>30</v>
      </c>
      <c r="AG5" s="70">
        <v>31</v>
      </c>
      <c r="AH5" s="71">
        <v>32</v>
      </c>
      <c r="AI5" s="71">
        <v>33</v>
      </c>
      <c r="AJ5" s="70">
        <v>34</v>
      </c>
      <c r="AK5" s="71">
        <v>35</v>
      </c>
      <c r="AL5" s="71">
        <v>36</v>
      </c>
      <c r="AM5" s="70">
        <v>37</v>
      </c>
      <c r="AN5" s="71">
        <v>38</v>
      </c>
      <c r="AO5" s="71">
        <v>39</v>
      </c>
      <c r="AP5" s="70">
        <v>40</v>
      </c>
      <c r="AQ5" s="71">
        <v>41</v>
      </c>
      <c r="AR5" s="71">
        <v>42</v>
      </c>
      <c r="AS5" s="70">
        <v>43</v>
      </c>
      <c r="AT5" s="71">
        <v>44</v>
      </c>
      <c r="AU5" s="71">
        <v>45</v>
      </c>
      <c r="AV5" s="70">
        <v>46</v>
      </c>
      <c r="AW5" s="71">
        <v>47</v>
      </c>
      <c r="AX5" s="71">
        <v>48</v>
      </c>
      <c r="AY5" s="70">
        <v>49</v>
      </c>
      <c r="AZ5" s="71">
        <v>50</v>
      </c>
      <c r="BA5" s="71">
        <v>51</v>
      </c>
      <c r="BB5" s="70">
        <v>52</v>
      </c>
      <c r="BC5" s="71">
        <v>53</v>
      </c>
      <c r="BD5" s="71">
        <v>54</v>
      </c>
      <c r="BE5" s="70">
        <v>55</v>
      </c>
      <c r="BF5" s="71">
        <v>56</v>
      </c>
      <c r="BG5" s="71">
        <v>57</v>
      </c>
      <c r="BH5" s="70">
        <v>58</v>
      </c>
      <c r="BI5" s="71">
        <v>59</v>
      </c>
      <c r="BJ5" s="71">
        <v>60</v>
      </c>
      <c r="BK5" s="70">
        <v>61</v>
      </c>
      <c r="BL5" s="71">
        <v>62</v>
      </c>
      <c r="BM5" s="71">
        <v>63</v>
      </c>
      <c r="BN5" s="70">
        <v>64</v>
      </c>
      <c r="BO5" s="71">
        <v>65</v>
      </c>
      <c r="BP5" s="71">
        <v>66</v>
      </c>
      <c r="BQ5" s="70">
        <v>67</v>
      </c>
      <c r="BR5" s="71">
        <v>68</v>
      </c>
      <c r="BS5" s="71">
        <v>69</v>
      </c>
      <c r="BT5" s="70">
        <v>70</v>
      </c>
      <c r="BU5" s="71">
        <v>71</v>
      </c>
      <c r="BV5" s="71">
        <v>72</v>
      </c>
      <c r="BW5" s="70">
        <v>73</v>
      </c>
      <c r="BX5" s="71">
        <v>74</v>
      </c>
      <c r="BY5" s="71">
        <v>75</v>
      </c>
      <c r="BZ5" s="70">
        <v>76</v>
      </c>
      <c r="CA5" s="71">
        <v>77</v>
      </c>
      <c r="CB5" s="71">
        <v>78</v>
      </c>
      <c r="CC5" s="70">
        <v>79</v>
      </c>
      <c r="CD5" s="71">
        <v>80</v>
      </c>
      <c r="CE5" s="71">
        <v>81</v>
      </c>
      <c r="CF5" s="70">
        <v>82</v>
      </c>
      <c r="CG5" s="71">
        <v>83</v>
      </c>
      <c r="CH5" s="71">
        <v>84</v>
      </c>
      <c r="CI5" s="70">
        <v>85</v>
      </c>
      <c r="CJ5" s="71">
        <v>86</v>
      </c>
      <c r="CK5" s="71">
        <v>87</v>
      </c>
      <c r="CL5" s="70">
        <v>88</v>
      </c>
      <c r="CM5" s="71">
        <v>89</v>
      </c>
      <c r="CN5" s="71">
        <v>90</v>
      </c>
      <c r="CO5" s="70">
        <v>91</v>
      </c>
      <c r="CP5" s="71">
        <v>92</v>
      </c>
      <c r="CQ5" s="71">
        <v>93</v>
      </c>
      <c r="CR5" s="70">
        <v>94</v>
      </c>
      <c r="CS5" s="71">
        <v>95</v>
      </c>
      <c r="CT5" s="71">
        <v>96</v>
      </c>
      <c r="CU5" s="70">
        <v>97</v>
      </c>
      <c r="CV5" s="71">
        <v>98</v>
      </c>
      <c r="CW5" s="71">
        <v>99</v>
      </c>
      <c r="CX5" s="70">
        <v>100</v>
      </c>
      <c r="CY5" s="71">
        <v>101</v>
      </c>
      <c r="CZ5" s="71">
        <v>102</v>
      </c>
      <c r="DA5" s="70">
        <v>103</v>
      </c>
      <c r="DB5" s="71">
        <v>104</v>
      </c>
      <c r="DC5" s="71">
        <v>105</v>
      </c>
      <c r="DD5" s="70">
        <v>106</v>
      </c>
      <c r="DE5" s="71">
        <v>107</v>
      </c>
      <c r="DF5" s="71">
        <v>108</v>
      </c>
      <c r="DG5" s="70">
        <v>109</v>
      </c>
      <c r="DH5" s="71">
        <v>110</v>
      </c>
      <c r="DI5" s="71">
        <v>111</v>
      </c>
      <c r="DJ5" s="70">
        <v>112</v>
      </c>
      <c r="DK5" s="71">
        <v>113</v>
      </c>
      <c r="DL5" s="71">
        <v>114</v>
      </c>
      <c r="DM5" s="70">
        <v>115</v>
      </c>
      <c r="DN5" s="71">
        <v>116</v>
      </c>
      <c r="DO5" s="71">
        <v>117</v>
      </c>
      <c r="DP5" s="70">
        <v>118</v>
      </c>
      <c r="DQ5" s="71">
        <v>119</v>
      </c>
      <c r="DR5" s="71">
        <v>120</v>
      </c>
      <c r="DS5" s="70">
        <v>121</v>
      </c>
      <c r="DT5" s="71">
        <v>122</v>
      </c>
      <c r="DU5" s="71">
        <v>123</v>
      </c>
      <c r="DV5" s="70">
        <v>124</v>
      </c>
      <c r="DW5" s="71">
        <v>125</v>
      </c>
      <c r="DX5" s="71">
        <v>126</v>
      </c>
      <c r="DY5" s="70">
        <v>127</v>
      </c>
      <c r="DZ5" s="71">
        <v>128</v>
      </c>
      <c r="EA5" s="71">
        <v>129</v>
      </c>
      <c r="EB5" s="70">
        <v>130</v>
      </c>
      <c r="EC5" s="71">
        <v>131</v>
      </c>
      <c r="ED5" s="71">
        <v>132</v>
      </c>
      <c r="EE5" s="70">
        <v>133</v>
      </c>
      <c r="EF5" s="71">
        <v>134</v>
      </c>
      <c r="EG5" s="71">
        <v>135</v>
      </c>
      <c r="EH5" s="70">
        <v>136</v>
      </c>
      <c r="EI5" s="71">
        <v>137</v>
      </c>
      <c r="EJ5" s="71">
        <v>138</v>
      </c>
      <c r="EK5" s="70">
        <v>139</v>
      </c>
      <c r="EL5" s="71">
        <v>140</v>
      </c>
      <c r="EM5" s="71">
        <v>141</v>
      </c>
      <c r="EN5" s="70">
        <v>142</v>
      </c>
      <c r="EO5" s="71">
        <v>143</v>
      </c>
      <c r="EP5" s="71">
        <v>144</v>
      </c>
      <c r="EQ5" s="70">
        <v>145</v>
      </c>
      <c r="ER5" s="71">
        <v>146</v>
      </c>
      <c r="ES5" s="71">
        <v>147</v>
      </c>
      <c r="ET5" s="70">
        <v>148</v>
      </c>
      <c r="EU5" s="71">
        <v>149</v>
      </c>
      <c r="EV5" s="71">
        <v>150</v>
      </c>
      <c r="EW5" s="70">
        <v>151</v>
      </c>
      <c r="EX5" s="71">
        <v>152</v>
      </c>
      <c r="EY5" s="71">
        <v>153</v>
      </c>
      <c r="EZ5" s="70">
        <v>154</v>
      </c>
      <c r="FA5" s="71">
        <v>155</v>
      </c>
      <c r="FB5" s="71">
        <v>156</v>
      </c>
      <c r="FC5" s="70">
        <v>157</v>
      </c>
      <c r="FD5" s="71">
        <v>158</v>
      </c>
      <c r="FE5" s="71">
        <v>159</v>
      </c>
      <c r="FF5" s="70">
        <v>160</v>
      </c>
      <c r="FG5" s="71">
        <v>161</v>
      </c>
      <c r="FH5" s="71">
        <v>162</v>
      </c>
      <c r="FI5" s="70">
        <v>163</v>
      </c>
      <c r="FJ5" s="71">
        <v>164</v>
      </c>
      <c r="FK5" s="71">
        <v>165</v>
      </c>
      <c r="FL5" s="70">
        <v>166</v>
      </c>
      <c r="FM5" s="71">
        <v>167</v>
      </c>
      <c r="FN5" s="71">
        <v>168</v>
      </c>
      <c r="FO5" s="70">
        <v>169</v>
      </c>
      <c r="FP5" s="71">
        <v>170</v>
      </c>
      <c r="FQ5" s="71">
        <v>171</v>
      </c>
      <c r="FR5" s="70">
        <v>172</v>
      </c>
      <c r="FS5" s="71">
        <v>173</v>
      </c>
      <c r="FT5" s="71">
        <v>174</v>
      </c>
      <c r="FU5" s="70">
        <v>175</v>
      </c>
      <c r="FV5" s="71">
        <v>176</v>
      </c>
      <c r="FW5" s="71">
        <v>177</v>
      </c>
      <c r="FX5" s="70">
        <v>178</v>
      </c>
      <c r="FY5" s="71">
        <v>179</v>
      </c>
      <c r="FZ5" s="71">
        <v>180</v>
      </c>
      <c r="GA5" s="71">
        <v>181</v>
      </c>
      <c r="GB5" s="71">
        <v>182</v>
      </c>
      <c r="GC5" s="71">
        <v>183</v>
      </c>
      <c r="GD5" s="71">
        <v>184</v>
      </c>
      <c r="GE5" s="71">
        <v>185</v>
      </c>
      <c r="GF5" s="71">
        <v>186</v>
      </c>
      <c r="GG5" s="71">
        <v>187</v>
      </c>
      <c r="GH5" s="71">
        <v>188</v>
      </c>
      <c r="GI5" s="71">
        <v>189</v>
      </c>
      <c r="GJ5" s="71">
        <v>190</v>
      </c>
      <c r="GK5" s="71">
        <v>191</v>
      </c>
      <c r="GL5" s="71">
        <v>192</v>
      </c>
      <c r="GM5" s="71">
        <v>193</v>
      </c>
      <c r="GN5" s="71">
        <v>194</v>
      </c>
      <c r="GO5" s="71">
        <v>195</v>
      </c>
      <c r="GP5" s="71">
        <v>196</v>
      </c>
      <c r="GQ5" s="71">
        <v>197</v>
      </c>
      <c r="GR5" s="71">
        <v>198</v>
      </c>
      <c r="GS5" s="71">
        <v>199</v>
      </c>
      <c r="GT5" s="71">
        <v>200</v>
      </c>
      <c r="GU5" s="71">
        <v>201</v>
      </c>
      <c r="GV5" s="71">
        <v>202</v>
      </c>
      <c r="GW5" s="71">
        <v>203</v>
      </c>
      <c r="GX5" s="71">
        <v>204</v>
      </c>
      <c r="GY5" s="71">
        <v>205</v>
      </c>
      <c r="GZ5" s="71">
        <v>206</v>
      </c>
      <c r="HA5" s="71">
        <v>207</v>
      </c>
      <c r="HB5" s="71">
        <v>208</v>
      </c>
      <c r="HC5" s="71">
        <v>209</v>
      </c>
      <c r="HD5" s="71">
        <v>210</v>
      </c>
      <c r="HE5" s="71">
        <v>211</v>
      </c>
      <c r="HF5" s="71">
        <v>212</v>
      </c>
      <c r="HG5" s="71">
        <v>213</v>
      </c>
      <c r="HH5" s="71">
        <v>214</v>
      </c>
      <c r="HI5" s="71">
        <v>215</v>
      </c>
      <c r="HJ5" s="71">
        <v>216</v>
      </c>
      <c r="HK5" s="71">
        <v>217</v>
      </c>
      <c r="HL5" s="71">
        <v>218</v>
      </c>
      <c r="HM5" s="71">
        <v>219</v>
      </c>
      <c r="HN5" s="71">
        <v>220</v>
      </c>
      <c r="HO5" s="71">
        <v>221</v>
      </c>
      <c r="HP5" s="71">
        <v>222</v>
      </c>
      <c r="HQ5" s="71">
        <v>223</v>
      </c>
      <c r="HR5" s="71">
        <v>224</v>
      </c>
      <c r="HS5" s="71">
        <v>225</v>
      </c>
      <c r="HT5" s="71">
        <v>226</v>
      </c>
      <c r="HU5" s="71">
        <v>227</v>
      </c>
      <c r="HV5" s="71">
        <v>228</v>
      </c>
      <c r="HW5" s="71">
        <v>229</v>
      </c>
      <c r="HX5" s="71">
        <v>230</v>
      </c>
      <c r="HY5" s="71">
        <v>231</v>
      </c>
      <c r="HZ5" s="71">
        <v>232</v>
      </c>
      <c r="IA5" s="71">
        <v>233</v>
      </c>
      <c r="IB5" s="71">
        <v>234</v>
      </c>
      <c r="IC5" s="71">
        <v>235</v>
      </c>
      <c r="ID5" s="71">
        <v>236</v>
      </c>
      <c r="IE5" s="71">
        <v>237</v>
      </c>
      <c r="IF5" s="71">
        <v>238</v>
      </c>
      <c r="IG5" s="71">
        <v>239</v>
      </c>
      <c r="IH5" s="71">
        <v>240</v>
      </c>
    </row>
    <row r="6" spans="1:242" x14ac:dyDescent="0.45">
      <c r="A6" s="888" t="s">
        <v>284</v>
      </c>
      <c r="B6" s="889"/>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c r="GC6" s="76"/>
      <c r="GD6" s="76"/>
      <c r="GE6" s="76"/>
      <c r="GF6" s="76"/>
      <c r="GG6" s="76"/>
      <c r="GH6" s="76"/>
      <c r="GI6" s="76"/>
      <c r="GJ6" s="76"/>
      <c r="GK6" s="76"/>
      <c r="GL6" s="76"/>
      <c r="GM6" s="76"/>
      <c r="GN6" s="76"/>
      <c r="GO6" s="76"/>
      <c r="GP6" s="76"/>
      <c r="GQ6" s="76"/>
      <c r="GR6" s="76"/>
      <c r="GS6" s="76"/>
      <c r="GT6" s="76"/>
      <c r="GU6" s="76"/>
      <c r="GV6" s="76"/>
      <c r="GW6" s="76"/>
      <c r="GX6" s="76"/>
      <c r="GY6" s="76"/>
      <c r="GZ6" s="76"/>
      <c r="HA6" s="76"/>
      <c r="HB6" s="76"/>
      <c r="HC6" s="76"/>
      <c r="HD6" s="76"/>
      <c r="HE6" s="76"/>
      <c r="HF6" s="76"/>
      <c r="HG6" s="76"/>
      <c r="HH6" s="76"/>
      <c r="HI6" s="76"/>
      <c r="HJ6" s="76"/>
      <c r="HK6" s="76"/>
      <c r="HL6" s="76"/>
      <c r="HM6" s="76"/>
      <c r="HN6" s="76"/>
      <c r="HO6" s="76"/>
      <c r="HP6" s="76"/>
      <c r="HQ6" s="76"/>
      <c r="HR6" s="76"/>
      <c r="HS6" s="76"/>
      <c r="HT6" s="76"/>
      <c r="HU6" s="76"/>
      <c r="HV6" s="76"/>
      <c r="HW6" s="76"/>
      <c r="HX6" s="76"/>
      <c r="HY6" s="76"/>
      <c r="HZ6" s="76"/>
      <c r="IA6" s="76"/>
      <c r="IB6" s="76"/>
      <c r="IC6" s="76"/>
      <c r="ID6" s="76"/>
      <c r="IE6" s="76"/>
      <c r="IF6" s="76"/>
      <c r="IG6" s="76"/>
      <c r="IH6" s="76"/>
    </row>
    <row r="7" spans="1:242" x14ac:dyDescent="0.45">
      <c r="A7" s="888" t="s">
        <v>281</v>
      </c>
      <c r="B7" s="889"/>
      <c r="C7" s="76"/>
      <c r="D7" s="76"/>
      <c r="E7" s="76"/>
      <c r="F7" s="76"/>
      <c r="G7" s="76"/>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c r="GT7" s="76"/>
      <c r="GU7" s="76"/>
      <c r="GV7" s="76"/>
      <c r="GW7" s="76"/>
      <c r="GX7" s="76"/>
      <c r="GY7" s="76"/>
      <c r="GZ7" s="76"/>
      <c r="HA7" s="76"/>
      <c r="HB7" s="76"/>
      <c r="HC7" s="76"/>
      <c r="HD7" s="76"/>
      <c r="HE7" s="76"/>
      <c r="HF7" s="76"/>
      <c r="HG7" s="76"/>
      <c r="HH7" s="76"/>
      <c r="HI7" s="76"/>
      <c r="HJ7" s="76"/>
      <c r="HK7" s="76"/>
      <c r="HL7" s="76"/>
      <c r="HM7" s="76"/>
      <c r="HN7" s="76"/>
      <c r="HO7" s="76"/>
      <c r="HP7" s="76"/>
      <c r="HQ7" s="76"/>
      <c r="HR7" s="76"/>
      <c r="HS7" s="76"/>
      <c r="HT7" s="76"/>
      <c r="HU7" s="76"/>
      <c r="HV7" s="76"/>
      <c r="HW7" s="76"/>
      <c r="HX7" s="76"/>
      <c r="HY7" s="76"/>
      <c r="HZ7" s="76"/>
      <c r="IA7" s="76"/>
      <c r="IB7" s="76"/>
      <c r="IC7" s="76"/>
      <c r="ID7" s="76"/>
      <c r="IE7" s="76"/>
      <c r="IF7" s="76"/>
      <c r="IG7" s="76"/>
      <c r="IH7" s="76"/>
    </row>
    <row r="8" spans="1:242" x14ac:dyDescent="0.45">
      <c r="A8" s="895" t="s">
        <v>278</v>
      </c>
      <c r="B8" s="896"/>
      <c r="C8" s="81">
        <f>'Cash Flow'!C24</f>
        <v>1099869345.3716428</v>
      </c>
      <c r="D8" s="81">
        <f>'Cash Flow'!D24</f>
        <v>1098952869.1721928</v>
      </c>
      <c r="E8" s="81">
        <f>'Cash Flow'!E24</f>
        <v>1098476267.9727428</v>
      </c>
      <c r="F8" s="81">
        <f>'Cash Flow'!F24</f>
        <v>1097999666.7732928</v>
      </c>
      <c r="G8" s="81">
        <f>'Cash Flow'!G24</f>
        <v>1097523065.5738428</v>
      </c>
      <c r="H8" s="81">
        <f>'Cash Flow'!H24</f>
        <v>1097046464.3743927</v>
      </c>
      <c r="I8" s="81">
        <f>'Cash Flow'!I24</f>
        <v>1186977560.6469178</v>
      </c>
      <c r="J8" s="81">
        <f>'Cash Flow'!J24</f>
        <v>1231704808.1834552</v>
      </c>
      <c r="K8" s="81">
        <f>'Cash Flow'!K24</f>
        <v>1231228206.9840052</v>
      </c>
      <c r="L8" s="81">
        <f>'Cash Flow'!L24</f>
        <v>1275955454.5205429</v>
      </c>
      <c r="M8" s="81">
        <f>'Cash Flow'!M24</f>
        <v>1275478853.3210928</v>
      </c>
      <c r="N8" s="81">
        <f>'Cash Flow'!N24</f>
        <v>1320206100.8576303</v>
      </c>
      <c r="O8" s="81">
        <f>'Cash Flow'!O24</f>
        <v>1545769743.3381178</v>
      </c>
      <c r="P8" s="81">
        <f>'Cash Flow'!P24</f>
        <v>1545089027.4720013</v>
      </c>
      <c r="Q8" s="81">
        <f>'Cash Flow'!Q24</f>
        <v>1544569311.6058846</v>
      </c>
      <c r="R8" s="81">
        <f>'Cash Flow'!R24</f>
        <v>1544049595.739768</v>
      </c>
      <c r="S8" s="81">
        <f>'Cash Flow'!S24</f>
        <v>1543529879.8736513</v>
      </c>
      <c r="T8" s="81">
        <f>'Cash Flow'!T24</f>
        <v>1543010164.0075347</v>
      </c>
      <c r="U8" s="81">
        <f>'Cash Flow'!U24</f>
        <v>1632898145.6133931</v>
      </c>
      <c r="V8" s="81">
        <f>'Cash Flow'!V24</f>
        <v>1632378429.7472763</v>
      </c>
      <c r="W8" s="81">
        <f>'Cash Flow'!W24</f>
        <v>1677062562.6171472</v>
      </c>
      <c r="X8" s="81">
        <f>'Cash Flow'!X24</f>
        <v>1721746695.4870181</v>
      </c>
      <c r="Y8" s="81">
        <f>'Cash Flow'!Y24</f>
        <v>1721226979.6209016</v>
      </c>
      <c r="Z8" s="81">
        <f>'Cash Flow'!Z24</f>
        <v>1765911112.4907725</v>
      </c>
      <c r="AA8" s="81">
        <f>'Cash Flow'!AA24</f>
        <v>1767206505.0412314</v>
      </c>
      <c r="AB8" s="81">
        <f>'Cash Flow'!AB24</f>
        <v>1771483959.1596758</v>
      </c>
      <c r="AC8" s="81">
        <f>'Cash Flow'!AC24</f>
        <v>1775761413.2781203</v>
      </c>
      <c r="AD8" s="81">
        <f>'Cash Flow'!AD24</f>
        <v>1780038867.3965647</v>
      </c>
      <c r="AE8" s="81">
        <f>'Cash Flow'!AE24</f>
        <v>1784316321.5150092</v>
      </c>
      <c r="AF8" s="81">
        <f>'Cash Flow'!AF24</f>
        <v>1788593775.6334536</v>
      </c>
      <c r="AG8" s="81">
        <f>'Cash Flow'!AG24</f>
        <v>1792871229.7518981</v>
      </c>
      <c r="AH8" s="81">
        <f>'Cash Flow'!AH24</f>
        <v>1797148683.8703425</v>
      </c>
      <c r="AI8" s="81">
        <f>'Cash Flow'!AI24</f>
        <v>1801426137.9887869</v>
      </c>
      <c r="AJ8" s="81">
        <f>'Cash Flow'!AJ24</f>
        <v>1805703592.1072314</v>
      </c>
      <c r="AK8" s="81">
        <f>'Cash Flow'!AK24</f>
        <v>1809981046.2256758</v>
      </c>
      <c r="AL8" s="81">
        <f>'Cash Flow'!AL24</f>
        <v>1814258500.3441203</v>
      </c>
      <c r="AM8" s="81">
        <f>'Cash Flow'!AM24</f>
        <v>1819654686.5003917</v>
      </c>
      <c r="AN8" s="81">
        <f>'Cash Flow'!AN24</f>
        <v>1827549374.2078102</v>
      </c>
      <c r="AO8" s="81">
        <f>'Cash Flow'!AO24</f>
        <v>1835444061.9152288</v>
      </c>
      <c r="AP8" s="81">
        <f>'Cash Flow'!AP24</f>
        <v>1843338749.6226473</v>
      </c>
      <c r="AQ8" s="81">
        <f>'Cash Flow'!AQ24</f>
        <v>1851233437.330066</v>
      </c>
      <c r="AR8" s="81">
        <f>'Cash Flow'!AR24</f>
        <v>1859128125.0374844</v>
      </c>
      <c r="AS8" s="81">
        <f>'Cash Flow'!AS24</f>
        <v>1867022812.7449028</v>
      </c>
      <c r="AT8" s="81">
        <f>'Cash Flow'!AT24</f>
        <v>1874917500.4523213</v>
      </c>
      <c r="AU8" s="81">
        <f>'Cash Flow'!AU24</f>
        <v>1882812188.1597397</v>
      </c>
      <c r="AV8" s="81">
        <f>'Cash Flow'!AV24</f>
        <v>1890706875.8671582</v>
      </c>
      <c r="AW8" s="81">
        <f>'Cash Flow'!AW24</f>
        <v>1898601563.5745769</v>
      </c>
      <c r="AX8" s="81">
        <f>'Cash Flow'!AX24</f>
        <v>1906496251.2819955</v>
      </c>
      <c r="AY8" s="81">
        <f>'Cash Flow'!AY24</f>
        <v>1915202254.2745368</v>
      </c>
      <c r="AZ8" s="81">
        <f>'Cash Flow'!AZ24</f>
        <v>1926842253.0113819</v>
      </c>
      <c r="BA8" s="81">
        <f>'Cash Flow'!BA24</f>
        <v>1938477043.007925</v>
      </c>
      <c r="BB8" s="81">
        <f>'Cash Flow'!BB24</f>
        <v>1950106596.0501566</v>
      </c>
      <c r="BC8" s="81">
        <f>'Cash Flow'!BC24</f>
        <v>1961730883.7712407</v>
      </c>
      <c r="BD8" s="81">
        <f>'Cash Flow'!BD24</f>
        <v>1973349877.6506879</v>
      </c>
      <c r="BE8" s="81">
        <f>'Cash Flow'!BE24</f>
        <v>1984963549.0135226</v>
      </c>
      <c r="BF8" s="81">
        <f>'Cash Flow'!BF24</f>
        <v>1996571869.0294464</v>
      </c>
      <c r="BG8" s="81">
        <f>'Cash Flow'!BG24</f>
        <v>2008174808.7119968</v>
      </c>
      <c r="BH8" s="81">
        <f>'Cash Flow'!BH24</f>
        <v>2019772338.9177015</v>
      </c>
      <c r="BI8" s="81">
        <f>'Cash Flow'!BI24</f>
        <v>2031364430.3452272</v>
      </c>
      <c r="BJ8" s="81">
        <f>'Cash Flow'!BJ24</f>
        <v>2042951053.5345261</v>
      </c>
      <c r="BK8" s="81">
        <f>'Cash Flow'!BK24</f>
        <v>2064985894.6280653</v>
      </c>
      <c r="BL8" s="81">
        <f>'Cash Flow'!BL24</f>
        <v>2078982778.0552187</v>
      </c>
      <c r="BM8" s="81">
        <f>'Cash Flow'!BM24</f>
        <v>2092974103.9030857</v>
      </c>
      <c r="BN8" s="81">
        <f>'Cash Flow'!BN24</f>
        <v>2112959842.0681121</v>
      </c>
      <c r="BO8" s="81">
        <f>'Cash Flow'!BO24</f>
        <v>2126939962.2836823</v>
      </c>
      <c r="BP8" s="81">
        <f>'Cash Flow'!BP24</f>
        <v>2140914434.1192369</v>
      </c>
      <c r="BQ8" s="81">
        <f>'Cash Flow'!BQ24</f>
        <v>2158883226.9793839</v>
      </c>
      <c r="BR8" s="81">
        <f>'Cash Flow'!BR24</f>
        <v>2172846310.1030068</v>
      </c>
      <c r="BS8" s="81">
        <f>'Cash Flow'!BS24</f>
        <v>2186803652.562366</v>
      </c>
      <c r="BT8" s="81">
        <f>'Cash Flow'!BT24</f>
        <v>2200755223.2621965</v>
      </c>
      <c r="BU8" s="81">
        <f>'Cash Flow'!BU24</f>
        <v>2214700990.9388013</v>
      </c>
      <c r="BV8" s="81">
        <f>'Cash Flow'!BV24</f>
        <v>2228640924.1591377</v>
      </c>
      <c r="BW8" s="81">
        <f>'Cash Flow'!BW24</f>
        <v>2242815695.5021257</v>
      </c>
      <c r="BX8" s="81">
        <f>'Cash Flow'!BX24</f>
        <v>2257068596.3113022</v>
      </c>
      <c r="BY8" s="81">
        <f>'Cash Flow'!BY24</f>
        <v>2271315567.3398151</v>
      </c>
      <c r="BZ8" s="81">
        <f>'Cash Flow'!BZ24</f>
        <v>2285556576.468019</v>
      </c>
      <c r="CA8" s="81">
        <f>'Cash Flow'!CA24</f>
        <v>2299791591.402287</v>
      </c>
      <c r="CB8" s="81">
        <f>'Cash Flow'!CB24</f>
        <v>2314020579.6740694</v>
      </c>
      <c r="CC8" s="81">
        <f>'Cash Flow'!CC24</f>
        <v>2328243508.6389437</v>
      </c>
      <c r="CD8" s="81">
        <f>'Cash Flow'!CD24</f>
        <v>2342460345.4756641</v>
      </c>
      <c r="CE8" s="81">
        <f>'Cash Flow'!CE24</f>
        <v>2356671057.1852036</v>
      </c>
      <c r="CF8" s="81">
        <f>'Cash Flow'!CF24</f>
        <v>2370875610.5897894</v>
      </c>
      <c r="CG8" s="81">
        <f>'Cash Flow'!CG24</f>
        <v>2385073972.3319368</v>
      </c>
      <c r="CH8" s="81">
        <f>'Cash Flow'!CH24</f>
        <v>2399266108.8734741</v>
      </c>
      <c r="CI8" s="81">
        <f>'Cash Flow'!CI24</f>
        <v>2413451986.4945645</v>
      </c>
      <c r="CJ8" s="81">
        <f>'Cash Flow'!CJ24</f>
        <v>2427631571.2927227</v>
      </c>
      <c r="CK8" s="81">
        <f>'Cash Flow'!CK24</f>
        <v>2441804829.1818242</v>
      </c>
      <c r="CL8" s="81">
        <f>'Cash Flow'!CL24</f>
        <v>2455971725.8911114</v>
      </c>
      <c r="CM8" s="81">
        <f>'Cash Flow'!CM24</f>
        <v>2470132226.9641933</v>
      </c>
      <c r="CN8" s="81">
        <f>'Cash Flow'!CN24</f>
        <v>2484300395.4012218</v>
      </c>
      <c r="CO8" s="81">
        <f>'Cash Flow'!CO24</f>
        <v>2498408057.7628126</v>
      </c>
      <c r="CP8" s="81">
        <f>'Cash Flow'!CP24</f>
        <v>2512509219.9951448</v>
      </c>
      <c r="CQ8" s="81">
        <f>'Cash Flow'!CQ24</f>
        <v>2526603846.889185</v>
      </c>
      <c r="CR8" s="81">
        <f>'Cash Flow'!CR24</f>
        <v>2540691903.0451837</v>
      </c>
      <c r="CS8" s="81">
        <f>'Cash Flow'!CS24</f>
        <v>2554773352.8716431</v>
      </c>
      <c r="CT8" s="81">
        <f>'Cash Flow'!CT24</f>
        <v>2568848160.5842781</v>
      </c>
      <c r="CU8" s="81">
        <f>'Cash Flow'!CU24</f>
        <v>2583053611.6705427</v>
      </c>
      <c r="CV8" s="81">
        <f>'Cash Flow'!CV24</f>
        <v>2597732676.2059636</v>
      </c>
      <c r="CW8" s="81">
        <f>'Cash Flow'!CW24</f>
        <v>2612404990.1075106</v>
      </c>
      <c r="CX8" s="81">
        <f>'Cash Flow'!CX24</f>
        <v>2627070516.8092504</v>
      </c>
      <c r="CY8" s="81">
        <f>'Cash Flow'!CY24</f>
        <v>2641729219.547184</v>
      </c>
      <c r="CZ8" s="81">
        <f>'Cash Flow'!CZ24</f>
        <v>2656381061.3581738</v>
      </c>
      <c r="DA8" s="81">
        <f>'Cash Flow'!DA24</f>
        <v>2671026005.0788665</v>
      </c>
      <c r="DB8" s="81">
        <f>'Cash Flow'!DB24</f>
        <v>2685664013.3446059</v>
      </c>
      <c r="DC8" s="81">
        <f>'Cash Flow'!DC24</f>
        <v>2700295048.5883436</v>
      </c>
      <c r="DD8" s="81">
        <f>'Cash Flow'!DD24</f>
        <v>2714919073.0395446</v>
      </c>
      <c r="DE8" s="81">
        <f>'Cash Flow'!DE24</f>
        <v>2729536048.7230821</v>
      </c>
      <c r="DF8" s="81">
        <f>'Cash Flow'!DF24</f>
        <v>2744145937.4581318</v>
      </c>
      <c r="DG8" s="81">
        <f>'Cash Flow'!DG24</f>
        <v>2758762798.5002356</v>
      </c>
      <c r="DH8" s="81">
        <f>'Cash Flow'!DH24</f>
        <v>2773318454.6451192</v>
      </c>
      <c r="DI8" s="81">
        <f>'Cash Flow'!DI24</f>
        <v>2787866908.0536761</v>
      </c>
      <c r="DJ8" s="81">
        <f>'Cash Flow'!DJ24</f>
        <v>2802408119.7110848</v>
      </c>
      <c r="DK8" s="81">
        <f>'Cash Flow'!DK24</f>
        <v>2816942050.3911934</v>
      </c>
      <c r="DL8" s="81">
        <f>'Cash Flow'!DL24</f>
        <v>2831468660.6553745</v>
      </c>
      <c r="DM8" s="81">
        <f>'Cash Flow'!DM24</f>
        <v>2845987910.8513761</v>
      </c>
      <c r="DN8" s="81">
        <f>'Cash Flow'!DN24</f>
        <v>2860499761.1121612</v>
      </c>
      <c r="DO8" s="81">
        <f>'Cash Flow'!DO24</f>
        <v>2875004171.3547478</v>
      </c>
      <c r="DP8" s="81">
        <f>'Cash Flow'!DP24</f>
        <v>2889501101.279037</v>
      </c>
      <c r="DQ8" s="81">
        <f>'Cash Flow'!DQ24</f>
        <v>2903990510.3666382</v>
      </c>
      <c r="DR8" s="81">
        <f>'Cash Flow'!DR24</f>
        <v>2918472357.8796864</v>
      </c>
      <c r="DS8" s="81">
        <f>'Cash Flow'!DS24</f>
        <v>2948083924.3252215</v>
      </c>
      <c r="DT8" s="81">
        <f>'Cash Flow'!DT24</f>
        <v>2963175818.4848518</v>
      </c>
      <c r="DU8" s="81">
        <f>'Cash Flow'!DU24</f>
        <v>2978267712.6444821</v>
      </c>
      <c r="DV8" s="81">
        <f>'Cash Flow'!DV24</f>
        <v>3004359606.8041124</v>
      </c>
      <c r="DW8" s="81">
        <f>'Cash Flow'!DW24</f>
        <v>3019451500.9637427</v>
      </c>
      <c r="DX8" s="81">
        <f>'Cash Flow'!DX24</f>
        <v>3034543395.123373</v>
      </c>
      <c r="DY8" s="81">
        <f>'Cash Flow'!DY24</f>
        <v>3058635289.2830033</v>
      </c>
      <c r="DZ8" s="81">
        <f>'Cash Flow'!DZ24</f>
        <v>3073727183.4426336</v>
      </c>
      <c r="EA8" s="81">
        <f>'Cash Flow'!EA24</f>
        <v>3088819077.6022639</v>
      </c>
      <c r="EB8" s="81">
        <f>'Cash Flow'!EB24</f>
        <v>3103910971.7618942</v>
      </c>
      <c r="EC8" s="81">
        <f>'Cash Flow'!EC24</f>
        <v>3119002865.9215245</v>
      </c>
      <c r="ED8" s="81">
        <f>'Cash Flow'!ED24</f>
        <v>3134094760.0811548</v>
      </c>
      <c r="EE8" s="81">
        <f>'Cash Flow'!EE24</f>
        <v>3149200751.8839655</v>
      </c>
      <c r="EF8" s="81">
        <f>'Cash Flow'!EF24</f>
        <v>3164252702.721252</v>
      </c>
      <c r="EG8" s="81">
        <f>'Cash Flow'!EG24</f>
        <v>3179304653.5585384</v>
      </c>
      <c r="EH8" s="81">
        <f>'Cash Flow'!EH24</f>
        <v>3194356604.3958249</v>
      </c>
      <c r="EI8" s="81">
        <f>'Cash Flow'!EI24</f>
        <v>3209408555.2331114</v>
      </c>
      <c r="EJ8" s="81">
        <f>'Cash Flow'!EJ24</f>
        <v>3224460506.0703979</v>
      </c>
      <c r="EK8" s="81">
        <f>'Cash Flow'!EK24</f>
        <v>3244512456.9076843</v>
      </c>
      <c r="EL8" s="81">
        <f>'Cash Flow'!EL24</f>
        <v>3259564407.7449708</v>
      </c>
      <c r="EM8" s="81">
        <f>'Cash Flow'!EM24</f>
        <v>3274616358.5822573</v>
      </c>
      <c r="EN8" s="81">
        <f>'Cash Flow'!EN24</f>
        <v>3289668309.4195437</v>
      </c>
      <c r="EO8" s="81">
        <f>'Cash Flow'!EO24</f>
        <v>3304720260.2568302</v>
      </c>
      <c r="EP8" s="81">
        <f>'Cash Flow'!EP24</f>
        <v>3329772211.0941167</v>
      </c>
      <c r="EQ8" s="81">
        <f>'Cash Flow'!EQ24</f>
        <v>3344961483.3969727</v>
      </c>
      <c r="ER8" s="81">
        <f>'Cash Flow'!ER24</f>
        <v>3360631083.4139233</v>
      </c>
      <c r="ES8" s="81">
        <f>'Cash Flow'!ES24</f>
        <v>3376300683.4308739</v>
      </c>
      <c r="ET8" s="81">
        <f>'Cash Flow'!ET24</f>
        <v>3391970283.4478245</v>
      </c>
      <c r="EU8" s="81">
        <f>'Cash Flow'!EU24</f>
        <v>3407639883.4647751</v>
      </c>
      <c r="EV8" s="81">
        <f>'Cash Flow'!EV24</f>
        <v>3423309483.4817257</v>
      </c>
      <c r="EW8" s="81">
        <f>'Cash Flow'!EW24</f>
        <v>3438979083.4986763</v>
      </c>
      <c r="EX8" s="81">
        <f>'Cash Flow'!EX24</f>
        <v>3454648683.5156269</v>
      </c>
      <c r="EY8" s="81">
        <f>'Cash Flow'!EY24</f>
        <v>3470318283.5325775</v>
      </c>
      <c r="EZ8" s="81">
        <f>'Cash Flow'!EZ24</f>
        <v>3490987883.5495281</v>
      </c>
      <c r="FA8" s="81">
        <f>'Cash Flow'!FA24</f>
        <v>3506657483.5664787</v>
      </c>
      <c r="FB8" s="81">
        <f>'Cash Flow'!FB24</f>
        <v>3522327083.5834293</v>
      </c>
      <c r="FC8" s="81">
        <f>'Cash Flow'!FC24</f>
        <v>3538010781.2435603</v>
      </c>
      <c r="FD8" s="81">
        <f>'Cash Flow'!FD24</f>
        <v>3553640437.9381671</v>
      </c>
      <c r="FE8" s="81">
        <f>'Cash Flow'!FE24</f>
        <v>3569270094.6327739</v>
      </c>
      <c r="FF8" s="81">
        <f>'Cash Flow'!FF24</f>
        <v>3584899751.3273807</v>
      </c>
      <c r="FG8" s="81">
        <f>'Cash Flow'!FG24</f>
        <v>3600529408.0219874</v>
      </c>
      <c r="FH8" s="81">
        <f>'Cash Flow'!FH24</f>
        <v>3626159064.7165942</v>
      </c>
      <c r="FI8" s="81">
        <f>'Cash Flow'!FI24</f>
        <v>3641788721.411201</v>
      </c>
      <c r="FJ8" s="81">
        <f>'Cash Flow'!FJ24</f>
        <v>3657418378.1058078</v>
      </c>
      <c r="FK8" s="81">
        <f>'Cash Flow'!FK24</f>
        <v>3673048034.8004146</v>
      </c>
      <c r="FL8" s="81">
        <f>'Cash Flow'!FL24</f>
        <v>3688677691.4950213</v>
      </c>
      <c r="FM8" s="81">
        <f>'Cash Flow'!FM24</f>
        <v>3704307348.1896281</v>
      </c>
      <c r="FN8" s="81">
        <f>'Cash Flow'!FN24</f>
        <v>3719937004.8842349</v>
      </c>
      <c r="FO8" s="81">
        <f>'Cash Flow'!FO24</f>
        <v>3735703983.0444117</v>
      </c>
      <c r="FP8" s="81">
        <f>'Cash Flow'!FP24</f>
        <v>3751951288.9186831</v>
      </c>
      <c r="FQ8" s="81">
        <f>'Cash Flow'!FQ24</f>
        <v>3768198594.7929544</v>
      </c>
      <c r="FR8" s="81">
        <f>'Cash Flow'!FR24</f>
        <v>3784445900.6672258</v>
      </c>
      <c r="FS8" s="81">
        <f>'Cash Flow'!FS24</f>
        <v>3800693206.5414972</v>
      </c>
      <c r="FT8" s="81">
        <f>'Cash Flow'!FT24</f>
        <v>3816940512.4157686</v>
      </c>
      <c r="FU8" s="81">
        <f>'Cash Flow'!FU24</f>
        <v>3833187818.29004</v>
      </c>
      <c r="FV8" s="81">
        <f>'Cash Flow'!FV24</f>
        <v>3849435124.1643114</v>
      </c>
      <c r="FW8" s="81">
        <f>'Cash Flow'!FW24</f>
        <v>3865682430.0385828</v>
      </c>
      <c r="FX8" s="81">
        <f>'Cash Flow'!FX24</f>
        <v>3881929735.9128542</v>
      </c>
      <c r="FY8" s="81">
        <f>'Cash Flow'!FY24</f>
        <v>3898177041.7871256</v>
      </c>
      <c r="FZ8" s="81">
        <f>'Cash Flow'!FZ24</f>
        <v>3914424347.661397</v>
      </c>
      <c r="GA8" s="81">
        <f>'Cash Flow'!GA24</f>
        <v>3940685751.1788487</v>
      </c>
      <c r="GB8" s="81">
        <f>'Cash Flow'!GB24</f>
        <v>3956893113.7307763</v>
      </c>
      <c r="GC8" s="81">
        <f>'Cash Flow'!GC24</f>
        <v>3973100476.2827039</v>
      </c>
      <c r="GD8" s="81">
        <f>'Cash Flow'!GD24</f>
        <v>4000307838.8346314</v>
      </c>
      <c r="GE8" s="81">
        <f>'Cash Flow'!GE24</f>
        <v>4016515201.386559</v>
      </c>
      <c r="GF8" s="81">
        <f>'Cash Flow'!GF24</f>
        <v>4032722563.9384866</v>
      </c>
      <c r="GG8" s="81">
        <f>'Cash Flow'!GG24</f>
        <v>4074499686.4904141</v>
      </c>
      <c r="GH8" s="81">
        <f>'Cash Flow'!GH24</f>
        <v>4090707049.0423417</v>
      </c>
      <c r="GI8" s="81">
        <f>'Cash Flow'!GI24</f>
        <v>4106914411.5942693</v>
      </c>
      <c r="GJ8" s="81">
        <f>'Cash Flow'!GJ24</f>
        <v>4123121774.1461968</v>
      </c>
      <c r="GK8" s="81">
        <f>'Cash Flow'!GK24</f>
        <v>4139329136.6981244</v>
      </c>
      <c r="GL8" s="81">
        <f>'Cash Flow'!GL24</f>
        <v>4155536499.250052</v>
      </c>
      <c r="GM8" s="81">
        <f>'Cash Flow'!GM24</f>
        <v>4171018144.3219495</v>
      </c>
      <c r="GN8" s="81">
        <f>'Cash Flow'!GN24</f>
        <v>4186980117.1079416</v>
      </c>
      <c r="GO8" s="81">
        <f>'Cash Flow'!GO24</f>
        <v>4202942089.8939338</v>
      </c>
      <c r="GP8" s="81">
        <f>'Cash Flow'!GP24</f>
        <v>4218904062.6799259</v>
      </c>
      <c r="GQ8" s="81">
        <f>'Cash Flow'!GQ24</f>
        <v>4234866035.4659181</v>
      </c>
      <c r="GR8" s="81">
        <f>'Cash Flow'!GR24</f>
        <v>4250828008.2519102</v>
      </c>
      <c r="GS8" s="81">
        <f>'Cash Flow'!GS24</f>
        <v>4266789981.0379024</v>
      </c>
      <c r="GT8" s="81">
        <f>'Cash Flow'!GT24</f>
        <v>4282751953.8238945</v>
      </c>
      <c r="GU8" s="81">
        <f>'Cash Flow'!GU24</f>
        <v>4298713926.6098871</v>
      </c>
      <c r="GV8" s="81">
        <f>'Cash Flow'!GV24</f>
        <v>4314675899.3958797</v>
      </c>
      <c r="GW8" s="81">
        <f>'Cash Flow'!GW24</f>
        <v>4330637872.1818724</v>
      </c>
      <c r="GX8" s="81">
        <f>'Cash Flow'!GX24</f>
        <v>4346599844.967865</v>
      </c>
      <c r="GY8" s="81">
        <f>'Cash Flow'!GY24</f>
        <v>4362575915.3970375</v>
      </c>
      <c r="GZ8" s="81">
        <f>'Cash Flow'!GZ24</f>
        <v>4378497944.8606863</v>
      </c>
      <c r="HA8" s="81">
        <f>'Cash Flow'!HA24</f>
        <v>4394419974.3243351</v>
      </c>
      <c r="HB8" s="81">
        <f>'Cash Flow'!HB24</f>
        <v>4410342003.7879839</v>
      </c>
      <c r="HC8" s="81">
        <f>'Cash Flow'!HC24</f>
        <v>4426264033.2516327</v>
      </c>
      <c r="HD8" s="81">
        <f>'Cash Flow'!HD24</f>
        <v>4442186062.7152815</v>
      </c>
      <c r="HE8" s="81">
        <f>'Cash Flow'!HE24</f>
        <v>4458108092.1789303</v>
      </c>
      <c r="HF8" s="81">
        <f>'Cash Flow'!HF24</f>
        <v>4474030121.6425791</v>
      </c>
      <c r="HG8" s="81">
        <f>'Cash Flow'!HG24</f>
        <v>4489952151.1062279</v>
      </c>
      <c r="HH8" s="81">
        <f>'Cash Flow'!HH24</f>
        <v>4505874180.5698767</v>
      </c>
      <c r="HI8" s="81">
        <f>'Cash Flow'!HI24</f>
        <v>4521796210.0335255</v>
      </c>
      <c r="HJ8" s="81">
        <f>'Cash Flow'!HJ24</f>
        <v>4537718239.4971743</v>
      </c>
      <c r="HK8" s="81">
        <f>'Cash Flow'!HK24</f>
        <v>4553763492.7832127</v>
      </c>
      <c r="HL8" s="81">
        <f>'Cash Flow'!HL24</f>
        <v>4570343114.7488699</v>
      </c>
      <c r="HM8" s="81">
        <f>'Cash Flow'!HM24</f>
        <v>4586922736.7145271</v>
      </c>
      <c r="HN8" s="81">
        <f>'Cash Flow'!HN24</f>
        <v>4603502358.6801844</v>
      </c>
      <c r="HO8" s="81">
        <f>'Cash Flow'!HO24</f>
        <v>4620081980.6458416</v>
      </c>
      <c r="HP8" s="81">
        <f>'Cash Flow'!HP24</f>
        <v>4636661602.6114988</v>
      </c>
      <c r="HQ8" s="81">
        <f>'Cash Flow'!HQ24</f>
        <v>4653241224.5771561</v>
      </c>
      <c r="HR8" s="81">
        <f>'Cash Flow'!HR24</f>
        <v>4669820846.5428133</v>
      </c>
      <c r="HS8" s="81">
        <f>'Cash Flow'!HS24</f>
        <v>4686400468.5084705</v>
      </c>
      <c r="HT8" s="81">
        <f>'Cash Flow'!HT24</f>
        <v>4702980090.4741278</v>
      </c>
      <c r="HU8" s="81">
        <f>'Cash Flow'!HU24</f>
        <v>4719559712.439785</v>
      </c>
      <c r="HV8" s="81">
        <f>'Cash Flow'!HV24</f>
        <v>4736139334.4054422</v>
      </c>
      <c r="HW8" s="81">
        <f>'Cash Flow'!HW24</f>
        <v>4752718956.3710995</v>
      </c>
      <c r="HX8" s="81">
        <f>'Cash Flow'!HX24</f>
        <v>4769298578.3367567</v>
      </c>
      <c r="HY8" s="81">
        <f>'Cash Flow'!HY24</f>
        <v>4785878200.3024139</v>
      </c>
      <c r="HZ8" s="81">
        <f>'Cash Flow'!HZ24</f>
        <v>4802457822.2680712</v>
      </c>
      <c r="IA8" s="81">
        <f>'Cash Flow'!IA24</f>
        <v>4819037444.2337284</v>
      </c>
      <c r="IB8" s="81">
        <f>'Cash Flow'!IB24</f>
        <v>4835617066.1993856</v>
      </c>
      <c r="IC8" s="81">
        <f>'Cash Flow'!IC24</f>
        <v>4852196688.1650429</v>
      </c>
      <c r="ID8" s="81">
        <f>'Cash Flow'!ID24</f>
        <v>4868776310.1307001</v>
      </c>
      <c r="IE8" s="81">
        <f>'Cash Flow'!IE24</f>
        <v>4885355932.0963573</v>
      </c>
      <c r="IF8" s="81">
        <f>'Cash Flow'!IF24</f>
        <v>4901935554.0620146</v>
      </c>
      <c r="IG8" s="81">
        <f>'Cash Flow'!IG24</f>
        <v>4918515176.0276718</v>
      </c>
      <c r="IH8" s="81">
        <f>'Cash Flow'!IH24</f>
        <v>4935094797.993329</v>
      </c>
    </row>
    <row r="9" spans="1:242" ht="14.65" thickBot="1" x14ac:dyDescent="0.5">
      <c r="A9" s="895" t="s">
        <v>279</v>
      </c>
      <c r="B9" s="896"/>
      <c r="C9" s="82">
        <f>'Income Stmt'!C13*CST_AR_PCT</f>
        <v>0</v>
      </c>
      <c r="D9" s="82">
        <f>'Income Stmt'!D13*CST_AR_PCT</f>
        <v>0</v>
      </c>
      <c r="E9" s="82">
        <f>'Income Stmt'!E13*CST_AR_PCT</f>
        <v>0</v>
      </c>
      <c r="F9" s="82">
        <f>'Income Stmt'!F13*CST_AR_PCT</f>
        <v>0</v>
      </c>
      <c r="G9" s="82">
        <f>'Income Stmt'!G13*CST_AR_PCT</f>
        <v>0</v>
      </c>
      <c r="H9" s="82">
        <f>'Income Stmt'!H13*CST_AR_PCT</f>
        <v>0</v>
      </c>
      <c r="I9" s="82">
        <f>'Income Stmt'!I13*CST_AR_PCT</f>
        <v>0</v>
      </c>
      <c r="J9" s="82">
        <f>'Income Stmt'!J13*CST_AR_PCT</f>
        <v>0</v>
      </c>
      <c r="K9" s="82">
        <f>'Income Stmt'!K13*CST_AR_PCT</f>
        <v>0</v>
      </c>
      <c r="L9" s="82">
        <f>'Income Stmt'!L13*CST_AR_PCT</f>
        <v>0</v>
      </c>
      <c r="M9" s="82">
        <f>'Income Stmt'!M13*CST_AR_PCT</f>
        <v>0</v>
      </c>
      <c r="N9" s="82">
        <f>'Income Stmt'!N13*CST_AR_PCT</f>
        <v>0</v>
      </c>
      <c r="O9" s="82">
        <f>'Income Stmt'!O13*CST_AR_PCT</f>
        <v>0</v>
      </c>
      <c r="P9" s="82">
        <f>'Income Stmt'!P13*CST_AR_PCT</f>
        <v>0</v>
      </c>
      <c r="Q9" s="82">
        <f>'Income Stmt'!Q13*CST_AR_PCT</f>
        <v>0</v>
      </c>
      <c r="R9" s="82">
        <f>'Income Stmt'!R13*CST_AR_PCT</f>
        <v>0</v>
      </c>
      <c r="S9" s="82">
        <f>'Income Stmt'!S13*CST_AR_PCT</f>
        <v>0</v>
      </c>
      <c r="T9" s="82">
        <f>'Income Stmt'!T13*CST_AR_PCT</f>
        <v>0</v>
      </c>
      <c r="U9" s="82">
        <f>'Income Stmt'!U13*CST_AR_PCT</f>
        <v>0</v>
      </c>
      <c r="V9" s="82">
        <f>'Income Stmt'!V13*CST_AR_PCT</f>
        <v>0</v>
      </c>
      <c r="W9" s="82">
        <f>'Income Stmt'!W13*CST_AR_PCT</f>
        <v>0</v>
      </c>
      <c r="X9" s="82">
        <f>'Income Stmt'!X13*CST_AR_PCT</f>
        <v>0</v>
      </c>
      <c r="Y9" s="82">
        <f>'Income Stmt'!Y13*CST_AR_PCT</f>
        <v>0</v>
      </c>
      <c r="Z9" s="82">
        <f>'Income Stmt'!Z13*CST_AR_PCT</f>
        <v>0</v>
      </c>
      <c r="AA9" s="82">
        <f>'Income Stmt'!AA13*CST_AR_PCT</f>
        <v>3987382.1323945937</v>
      </c>
      <c r="AB9" s="82">
        <f>'Income Stmt'!AB13*CST_AR_PCT</f>
        <v>3987382.1323945937</v>
      </c>
      <c r="AC9" s="82">
        <f>'Income Stmt'!AC13*CST_AR_PCT</f>
        <v>3987382.1323945937</v>
      </c>
      <c r="AD9" s="82">
        <f>'Income Stmt'!AD13*CST_AR_PCT</f>
        <v>3987382.1323945937</v>
      </c>
      <c r="AE9" s="82">
        <f>'Income Stmt'!AE13*CST_AR_PCT</f>
        <v>3987382.1323945937</v>
      </c>
      <c r="AF9" s="82">
        <f>'Income Stmt'!AF13*CST_AR_PCT</f>
        <v>3987382.1323945937</v>
      </c>
      <c r="AG9" s="82">
        <f>'Income Stmt'!AG13*CST_AR_PCT</f>
        <v>3987382.1323945937</v>
      </c>
      <c r="AH9" s="82">
        <f>'Income Stmt'!AH13*CST_AR_PCT</f>
        <v>3987382.1323945937</v>
      </c>
      <c r="AI9" s="82">
        <f>'Income Stmt'!AI13*CST_AR_PCT</f>
        <v>3987382.1323945937</v>
      </c>
      <c r="AJ9" s="82">
        <f>'Income Stmt'!AJ13*CST_AR_PCT</f>
        <v>3987382.1323945937</v>
      </c>
      <c r="AK9" s="82">
        <f>'Income Stmt'!AK13*CST_AR_PCT</f>
        <v>3987382.1323945937</v>
      </c>
      <c r="AL9" s="82">
        <f>'Income Stmt'!AL13*CST_AR_PCT</f>
        <v>3987382.1323945937</v>
      </c>
      <c r="AM9" s="82">
        <f>'Income Stmt'!AM13*CST_AR_PCT</f>
        <v>6597756.8873243229</v>
      </c>
      <c r="AN9" s="82">
        <f>'Income Stmt'!AN13*CST_AR_PCT</f>
        <v>6597756.8873243229</v>
      </c>
      <c r="AO9" s="82">
        <f>'Income Stmt'!AO13*CST_AR_PCT</f>
        <v>6597756.8873243229</v>
      </c>
      <c r="AP9" s="82">
        <f>'Income Stmt'!AP13*CST_AR_PCT</f>
        <v>6597756.8873243229</v>
      </c>
      <c r="AQ9" s="82">
        <f>'Income Stmt'!AQ13*CST_AR_PCT</f>
        <v>6597756.8873243229</v>
      </c>
      <c r="AR9" s="82">
        <f>'Income Stmt'!AR13*CST_AR_PCT</f>
        <v>6597756.8873243229</v>
      </c>
      <c r="AS9" s="82">
        <f>'Income Stmt'!AS13*CST_AR_PCT</f>
        <v>6597756.8873243229</v>
      </c>
      <c r="AT9" s="82">
        <f>'Income Stmt'!AT13*CST_AR_PCT</f>
        <v>6597756.8873243229</v>
      </c>
      <c r="AU9" s="82">
        <f>'Income Stmt'!AU13*CST_AR_PCT</f>
        <v>6597756.8873243229</v>
      </c>
      <c r="AV9" s="82">
        <f>'Income Stmt'!AV13*CST_AR_PCT</f>
        <v>6597756.8873243229</v>
      </c>
      <c r="AW9" s="82">
        <f>'Income Stmt'!AW13*CST_AR_PCT</f>
        <v>6597756.8873243229</v>
      </c>
      <c r="AX9" s="82">
        <f>'Income Stmt'!AX13*CST_AR_PCT</f>
        <v>6597756.8873243229</v>
      </c>
      <c r="AY9" s="82">
        <f>'Income Stmt'!AY13*CST_AR_PCT</f>
        <v>9668538.2243667562</v>
      </c>
      <c r="AZ9" s="82">
        <f>'Income Stmt'!AZ13*CST_AR_PCT</f>
        <v>9668538.2243667562</v>
      </c>
      <c r="BA9" s="82">
        <f>'Income Stmt'!BA13*CST_AR_PCT</f>
        <v>9668538.2243667562</v>
      </c>
      <c r="BB9" s="82">
        <f>'Income Stmt'!BB13*CST_AR_PCT</f>
        <v>9668538.2243667562</v>
      </c>
      <c r="BC9" s="82">
        <f>'Income Stmt'!BC13*CST_AR_PCT</f>
        <v>9668538.2243667562</v>
      </c>
      <c r="BD9" s="82">
        <f>'Income Stmt'!BD13*CST_AR_PCT</f>
        <v>9668538.2243667562</v>
      </c>
      <c r="BE9" s="82">
        <f>'Income Stmt'!BE13*CST_AR_PCT</f>
        <v>9668538.2243667562</v>
      </c>
      <c r="BF9" s="82">
        <f>'Income Stmt'!BF13*CST_AR_PCT</f>
        <v>9668538.2243667562</v>
      </c>
      <c r="BG9" s="82">
        <f>'Income Stmt'!BG13*CST_AR_PCT</f>
        <v>9668538.2243667562</v>
      </c>
      <c r="BH9" s="82">
        <f>'Income Stmt'!BH13*CST_AR_PCT</f>
        <v>9668538.2243667562</v>
      </c>
      <c r="BI9" s="82">
        <f>'Income Stmt'!BI13*CST_AR_PCT</f>
        <v>9668538.2243667562</v>
      </c>
      <c r="BJ9" s="82">
        <f>'Income Stmt'!BJ13*CST_AR_PCT</f>
        <v>9668538.2243667562</v>
      </c>
      <c r="BK9" s="82">
        <f>'Income Stmt'!BK13*CST_AR_PCT</f>
        <v>11724208.343873918</v>
      </c>
      <c r="BL9" s="82">
        <f>'Income Stmt'!BL13*CST_AR_PCT</f>
        <v>11724208.343873918</v>
      </c>
      <c r="BM9" s="82">
        <f>'Income Stmt'!BM13*CST_AR_PCT</f>
        <v>11724208.343873918</v>
      </c>
      <c r="BN9" s="82">
        <f>'Income Stmt'!BN13*CST_AR_PCT</f>
        <v>11724208.343873918</v>
      </c>
      <c r="BO9" s="82">
        <f>'Income Stmt'!BO13*CST_AR_PCT</f>
        <v>11724208.343873918</v>
      </c>
      <c r="BP9" s="82">
        <f>'Income Stmt'!BP13*CST_AR_PCT</f>
        <v>11724208.343873918</v>
      </c>
      <c r="BQ9" s="82">
        <f>'Income Stmt'!BQ13*CST_AR_PCT</f>
        <v>11724208.343873918</v>
      </c>
      <c r="BR9" s="82">
        <f>'Income Stmt'!BR13*CST_AR_PCT</f>
        <v>11724208.343873918</v>
      </c>
      <c r="BS9" s="82">
        <f>'Income Stmt'!BS13*CST_AR_PCT</f>
        <v>11724208.343873918</v>
      </c>
      <c r="BT9" s="82">
        <f>'Income Stmt'!BT13*CST_AR_PCT</f>
        <v>11724208.343873918</v>
      </c>
      <c r="BU9" s="82">
        <f>'Income Stmt'!BU13*CST_AR_PCT</f>
        <v>11724208.343873918</v>
      </c>
      <c r="BV9" s="82">
        <f>'Income Stmt'!BV13*CST_AR_PCT</f>
        <v>11724208.343873918</v>
      </c>
      <c r="BW9" s="82">
        <f>'Income Stmt'!BW13*CST_AR_PCT</f>
        <v>12282503.979296487</v>
      </c>
      <c r="BX9" s="82">
        <f>'Income Stmt'!BX13*CST_AR_PCT</f>
        <v>12282503.979296487</v>
      </c>
      <c r="BY9" s="82">
        <f>'Income Stmt'!BY13*CST_AR_PCT</f>
        <v>12282503.979296487</v>
      </c>
      <c r="BZ9" s="82">
        <f>'Income Stmt'!BZ13*CST_AR_PCT</f>
        <v>12282503.979296487</v>
      </c>
      <c r="CA9" s="82">
        <f>'Income Stmt'!CA13*CST_AR_PCT</f>
        <v>12282503.979296487</v>
      </c>
      <c r="CB9" s="82">
        <f>'Income Stmt'!CB13*CST_AR_PCT</f>
        <v>12282503.979296487</v>
      </c>
      <c r="CC9" s="82">
        <f>'Income Stmt'!CC13*CST_AR_PCT</f>
        <v>12282503.979296487</v>
      </c>
      <c r="CD9" s="82">
        <f>'Income Stmt'!CD13*CST_AR_PCT</f>
        <v>12282503.979296487</v>
      </c>
      <c r="CE9" s="82">
        <f>'Income Stmt'!CE13*CST_AR_PCT</f>
        <v>12282503.979296487</v>
      </c>
      <c r="CF9" s="82">
        <f>'Income Stmt'!CF13*CST_AR_PCT</f>
        <v>12282503.979296487</v>
      </c>
      <c r="CG9" s="82">
        <f>'Income Stmt'!CG13*CST_AR_PCT</f>
        <v>12282503.979296487</v>
      </c>
      <c r="CH9" s="82">
        <f>'Income Stmt'!CH13*CST_AR_PCT</f>
        <v>12282503.979296487</v>
      </c>
      <c r="CI9" s="82">
        <f>'Income Stmt'!CI13*CST_AR_PCT</f>
        <v>12282503.979296487</v>
      </c>
      <c r="CJ9" s="82">
        <f>'Income Stmt'!CJ13*CST_AR_PCT</f>
        <v>12282503.979296487</v>
      </c>
      <c r="CK9" s="82">
        <f>'Income Stmt'!CK13*CST_AR_PCT</f>
        <v>12282503.979296487</v>
      </c>
      <c r="CL9" s="82">
        <f>'Income Stmt'!CL13*CST_AR_PCT</f>
        <v>12282503.979296487</v>
      </c>
      <c r="CM9" s="82">
        <f>'Income Stmt'!CM13*CST_AR_PCT</f>
        <v>12282503.979296487</v>
      </c>
      <c r="CN9" s="82">
        <f>'Income Stmt'!CN13*CST_AR_PCT</f>
        <v>12282503.979296487</v>
      </c>
      <c r="CO9" s="82">
        <f>'Income Stmt'!CO13*CST_AR_PCT</f>
        <v>12282503.979296487</v>
      </c>
      <c r="CP9" s="82">
        <f>'Income Stmt'!CP13*CST_AR_PCT</f>
        <v>12282503.979296487</v>
      </c>
      <c r="CQ9" s="82">
        <f>'Income Stmt'!CQ13*CST_AR_PCT</f>
        <v>12282503.979296487</v>
      </c>
      <c r="CR9" s="82">
        <f>'Income Stmt'!CR13*CST_AR_PCT</f>
        <v>12282503.979296487</v>
      </c>
      <c r="CS9" s="82">
        <f>'Income Stmt'!CS13*CST_AR_PCT</f>
        <v>12282503.979296487</v>
      </c>
      <c r="CT9" s="82">
        <f>'Income Stmt'!CT13*CST_AR_PCT</f>
        <v>12282503.979296487</v>
      </c>
      <c r="CU9" s="82">
        <f>'Income Stmt'!CU13*CST_AR_PCT</f>
        <v>12840799.614719057</v>
      </c>
      <c r="CV9" s="82">
        <f>'Income Stmt'!CV13*CST_AR_PCT</f>
        <v>12840799.614719057</v>
      </c>
      <c r="CW9" s="82">
        <f>'Income Stmt'!CW13*CST_AR_PCT</f>
        <v>12840799.614719057</v>
      </c>
      <c r="CX9" s="82">
        <f>'Income Stmt'!CX13*CST_AR_PCT</f>
        <v>12840799.614719057</v>
      </c>
      <c r="CY9" s="82">
        <f>'Income Stmt'!CY13*CST_AR_PCT</f>
        <v>12840799.614719057</v>
      </c>
      <c r="CZ9" s="82">
        <f>'Income Stmt'!CZ13*CST_AR_PCT</f>
        <v>12840799.614719057</v>
      </c>
      <c r="DA9" s="82">
        <f>'Income Stmt'!DA13*CST_AR_PCT</f>
        <v>12840799.614719057</v>
      </c>
      <c r="DB9" s="82">
        <f>'Income Stmt'!DB13*CST_AR_PCT</f>
        <v>12840799.614719057</v>
      </c>
      <c r="DC9" s="82">
        <f>'Income Stmt'!DC13*CST_AR_PCT</f>
        <v>12840799.614719057</v>
      </c>
      <c r="DD9" s="82">
        <f>'Income Stmt'!DD13*CST_AR_PCT</f>
        <v>12840799.614719057</v>
      </c>
      <c r="DE9" s="82">
        <f>'Income Stmt'!DE13*CST_AR_PCT</f>
        <v>12840799.614719057</v>
      </c>
      <c r="DF9" s="82">
        <f>'Income Stmt'!DF13*CST_AR_PCT</f>
        <v>12840799.614719057</v>
      </c>
      <c r="DG9" s="82">
        <f>'Income Stmt'!DG13*CST_AR_PCT</f>
        <v>12840799.614719057</v>
      </c>
      <c r="DH9" s="82">
        <f>'Income Stmt'!DH13*CST_AR_PCT</f>
        <v>12840799.614719057</v>
      </c>
      <c r="DI9" s="82">
        <f>'Income Stmt'!DI13*CST_AR_PCT</f>
        <v>12840799.614719057</v>
      </c>
      <c r="DJ9" s="82">
        <f>'Income Stmt'!DJ13*CST_AR_PCT</f>
        <v>12840799.614719057</v>
      </c>
      <c r="DK9" s="82">
        <f>'Income Stmt'!DK13*CST_AR_PCT</f>
        <v>12840799.614719057</v>
      </c>
      <c r="DL9" s="82">
        <f>'Income Stmt'!DL13*CST_AR_PCT</f>
        <v>12840799.614719057</v>
      </c>
      <c r="DM9" s="82">
        <f>'Income Stmt'!DM13*CST_AR_PCT</f>
        <v>12840799.614719057</v>
      </c>
      <c r="DN9" s="82">
        <f>'Income Stmt'!DN13*CST_AR_PCT</f>
        <v>12840799.614719057</v>
      </c>
      <c r="DO9" s="82">
        <f>'Income Stmt'!DO13*CST_AR_PCT</f>
        <v>12840799.614719057</v>
      </c>
      <c r="DP9" s="82">
        <f>'Income Stmt'!DP13*CST_AR_PCT</f>
        <v>12840799.614719057</v>
      </c>
      <c r="DQ9" s="82">
        <f>'Income Stmt'!DQ13*CST_AR_PCT</f>
        <v>12840799.614719057</v>
      </c>
      <c r="DR9" s="82">
        <f>'Income Stmt'!DR13*CST_AR_PCT</f>
        <v>12840799.614719057</v>
      </c>
      <c r="DS9" s="82">
        <f>'Income Stmt'!DS13*CST_AR_PCT</f>
        <v>13399095.250141626</v>
      </c>
      <c r="DT9" s="82">
        <f>'Income Stmt'!DT13*CST_AR_PCT</f>
        <v>13399095.250141626</v>
      </c>
      <c r="DU9" s="82">
        <f>'Income Stmt'!DU13*CST_AR_PCT</f>
        <v>13399095.250141626</v>
      </c>
      <c r="DV9" s="82">
        <f>'Income Stmt'!DV13*CST_AR_PCT</f>
        <v>13399095.250141626</v>
      </c>
      <c r="DW9" s="82">
        <f>'Income Stmt'!DW13*CST_AR_PCT</f>
        <v>13399095.250141626</v>
      </c>
      <c r="DX9" s="82">
        <f>'Income Stmt'!DX13*CST_AR_PCT</f>
        <v>13399095.250141626</v>
      </c>
      <c r="DY9" s="82">
        <f>'Income Stmt'!DY13*CST_AR_PCT</f>
        <v>13399095.250141626</v>
      </c>
      <c r="DZ9" s="82">
        <f>'Income Stmt'!DZ13*CST_AR_PCT</f>
        <v>13399095.250141626</v>
      </c>
      <c r="EA9" s="82">
        <f>'Income Stmt'!EA13*CST_AR_PCT</f>
        <v>13399095.250141626</v>
      </c>
      <c r="EB9" s="82">
        <f>'Income Stmt'!EB13*CST_AR_PCT</f>
        <v>13399095.250141626</v>
      </c>
      <c r="EC9" s="82">
        <f>'Income Stmt'!EC13*CST_AR_PCT</f>
        <v>13399095.250141626</v>
      </c>
      <c r="ED9" s="82">
        <f>'Income Stmt'!ED13*CST_AR_PCT</f>
        <v>13399095.250141626</v>
      </c>
      <c r="EE9" s="82">
        <f>'Income Stmt'!EE13*CST_AR_PCT</f>
        <v>13399095.250141626</v>
      </c>
      <c r="EF9" s="82">
        <f>'Income Stmt'!EF13*CST_AR_PCT</f>
        <v>13399095.250141626</v>
      </c>
      <c r="EG9" s="82">
        <f>'Income Stmt'!EG13*CST_AR_PCT</f>
        <v>13399095.250141626</v>
      </c>
      <c r="EH9" s="82">
        <f>'Income Stmt'!EH13*CST_AR_PCT</f>
        <v>13399095.250141626</v>
      </c>
      <c r="EI9" s="82">
        <f>'Income Stmt'!EI13*CST_AR_PCT</f>
        <v>13399095.250141626</v>
      </c>
      <c r="EJ9" s="82">
        <f>'Income Stmt'!EJ13*CST_AR_PCT</f>
        <v>13399095.250141626</v>
      </c>
      <c r="EK9" s="82">
        <f>'Income Stmt'!EK13*CST_AR_PCT</f>
        <v>13399095.250141626</v>
      </c>
      <c r="EL9" s="82">
        <f>'Income Stmt'!EL13*CST_AR_PCT</f>
        <v>13399095.250141626</v>
      </c>
      <c r="EM9" s="82">
        <f>'Income Stmt'!EM13*CST_AR_PCT</f>
        <v>13399095.250141626</v>
      </c>
      <c r="EN9" s="82">
        <f>'Income Stmt'!EN13*CST_AR_PCT</f>
        <v>13399095.250141626</v>
      </c>
      <c r="EO9" s="82">
        <f>'Income Stmt'!EO13*CST_AR_PCT</f>
        <v>13399095.250141626</v>
      </c>
      <c r="EP9" s="82">
        <f>'Income Stmt'!EP13*CST_AR_PCT</f>
        <v>13399095.250141626</v>
      </c>
      <c r="EQ9" s="82">
        <f>'Income Stmt'!EQ13*CST_AR_PCT</f>
        <v>13957390.885564193</v>
      </c>
      <c r="ER9" s="82">
        <f>'Income Stmt'!ER13*CST_AR_PCT</f>
        <v>13957390.885564193</v>
      </c>
      <c r="ES9" s="82">
        <f>'Income Stmt'!ES13*CST_AR_PCT</f>
        <v>13957390.885564193</v>
      </c>
      <c r="ET9" s="82">
        <f>'Income Stmt'!ET13*CST_AR_PCT</f>
        <v>13957390.885564193</v>
      </c>
      <c r="EU9" s="82">
        <f>'Income Stmt'!EU13*CST_AR_PCT</f>
        <v>13957390.885564193</v>
      </c>
      <c r="EV9" s="82">
        <f>'Income Stmt'!EV13*CST_AR_PCT</f>
        <v>13957390.885564193</v>
      </c>
      <c r="EW9" s="82">
        <f>'Income Stmt'!EW13*CST_AR_PCT</f>
        <v>13957390.885564193</v>
      </c>
      <c r="EX9" s="82">
        <f>'Income Stmt'!EX13*CST_AR_PCT</f>
        <v>13957390.885564193</v>
      </c>
      <c r="EY9" s="82">
        <f>'Income Stmt'!EY13*CST_AR_PCT</f>
        <v>13957390.885564193</v>
      </c>
      <c r="EZ9" s="82">
        <f>'Income Stmt'!EZ13*CST_AR_PCT</f>
        <v>13957390.885564193</v>
      </c>
      <c r="FA9" s="82">
        <f>'Income Stmt'!FA13*CST_AR_PCT</f>
        <v>13957390.885564193</v>
      </c>
      <c r="FB9" s="82">
        <f>'Income Stmt'!FB13*CST_AR_PCT</f>
        <v>13957390.885564193</v>
      </c>
      <c r="FC9" s="82">
        <f>'Income Stmt'!FC13*CST_AR_PCT</f>
        <v>13957390.885564193</v>
      </c>
      <c r="FD9" s="82">
        <f>'Income Stmt'!FD13*CST_AR_PCT</f>
        <v>13957390.885564193</v>
      </c>
      <c r="FE9" s="82">
        <f>'Income Stmt'!FE13*CST_AR_PCT</f>
        <v>13957390.885564193</v>
      </c>
      <c r="FF9" s="82">
        <f>'Income Stmt'!FF13*CST_AR_PCT</f>
        <v>13957390.885564193</v>
      </c>
      <c r="FG9" s="82">
        <f>'Income Stmt'!FG13*CST_AR_PCT</f>
        <v>13957390.885564193</v>
      </c>
      <c r="FH9" s="82">
        <f>'Income Stmt'!FH13*CST_AR_PCT</f>
        <v>13957390.885564193</v>
      </c>
      <c r="FI9" s="82">
        <f>'Income Stmt'!FI13*CST_AR_PCT</f>
        <v>13957390.885564193</v>
      </c>
      <c r="FJ9" s="82">
        <f>'Income Stmt'!FJ13*CST_AR_PCT</f>
        <v>13957390.885564193</v>
      </c>
      <c r="FK9" s="82">
        <f>'Income Stmt'!FK13*CST_AR_PCT</f>
        <v>13957390.885564193</v>
      </c>
      <c r="FL9" s="82">
        <f>'Income Stmt'!FL13*CST_AR_PCT</f>
        <v>13957390.885564193</v>
      </c>
      <c r="FM9" s="82">
        <f>'Income Stmt'!FM13*CST_AR_PCT</f>
        <v>13957390.885564193</v>
      </c>
      <c r="FN9" s="82">
        <f>'Income Stmt'!FN13*CST_AR_PCT</f>
        <v>13957390.885564193</v>
      </c>
      <c r="FO9" s="82">
        <f>'Income Stmt'!FO13*CST_AR_PCT</f>
        <v>14515686.52098676</v>
      </c>
      <c r="FP9" s="82">
        <f>'Income Stmt'!FP13*CST_AR_PCT</f>
        <v>14515686.52098676</v>
      </c>
      <c r="FQ9" s="82">
        <f>'Income Stmt'!FQ13*CST_AR_PCT</f>
        <v>14515686.52098676</v>
      </c>
      <c r="FR9" s="82">
        <f>'Income Stmt'!FR13*CST_AR_PCT</f>
        <v>14515686.52098676</v>
      </c>
      <c r="FS9" s="82">
        <f>'Income Stmt'!FS13*CST_AR_PCT</f>
        <v>14515686.52098676</v>
      </c>
      <c r="FT9" s="82">
        <f>'Income Stmt'!FT13*CST_AR_PCT</f>
        <v>14515686.52098676</v>
      </c>
      <c r="FU9" s="82">
        <f>'Income Stmt'!FU13*CST_AR_PCT</f>
        <v>14515686.52098676</v>
      </c>
      <c r="FV9" s="82">
        <f>'Income Stmt'!FV13*CST_AR_PCT</f>
        <v>14515686.52098676</v>
      </c>
      <c r="FW9" s="82">
        <f>'Income Stmt'!FW13*CST_AR_PCT</f>
        <v>14515686.52098676</v>
      </c>
      <c r="FX9" s="82">
        <f>'Income Stmt'!FX13*CST_AR_PCT</f>
        <v>14515686.52098676</v>
      </c>
      <c r="FY9" s="82">
        <f>'Income Stmt'!FY13*CST_AR_PCT</f>
        <v>14515686.52098676</v>
      </c>
      <c r="FZ9" s="82">
        <f>'Income Stmt'!FZ13*CST_AR_PCT</f>
        <v>14515686.52098676</v>
      </c>
      <c r="GA9" s="82">
        <f>'Income Stmt'!GA13*CST_AR_PCT</f>
        <v>14515686.52098676</v>
      </c>
      <c r="GB9" s="82">
        <f>'Income Stmt'!GB13*CST_AR_PCT</f>
        <v>14515686.52098676</v>
      </c>
      <c r="GC9" s="82">
        <f>'Income Stmt'!GC13*CST_AR_PCT</f>
        <v>14515686.52098676</v>
      </c>
      <c r="GD9" s="82">
        <f>'Income Stmt'!GD13*CST_AR_PCT</f>
        <v>14515686.52098676</v>
      </c>
      <c r="GE9" s="82">
        <f>'Income Stmt'!GE13*CST_AR_PCT</f>
        <v>14515686.52098676</v>
      </c>
      <c r="GF9" s="82">
        <f>'Income Stmt'!GF13*CST_AR_PCT</f>
        <v>14515686.52098676</v>
      </c>
      <c r="GG9" s="82">
        <f>'Income Stmt'!GG13*CST_AR_PCT</f>
        <v>14515686.52098676</v>
      </c>
      <c r="GH9" s="82">
        <f>'Income Stmt'!GH13*CST_AR_PCT</f>
        <v>14515686.52098676</v>
      </c>
      <c r="GI9" s="82">
        <f>'Income Stmt'!GI13*CST_AR_PCT</f>
        <v>14515686.52098676</v>
      </c>
      <c r="GJ9" s="82">
        <f>'Income Stmt'!GJ13*CST_AR_PCT</f>
        <v>14515686.52098676</v>
      </c>
      <c r="GK9" s="82">
        <f>'Income Stmt'!GK13*CST_AR_PCT</f>
        <v>14515686.52098676</v>
      </c>
      <c r="GL9" s="82">
        <f>'Income Stmt'!GL13*CST_AR_PCT</f>
        <v>14515686.52098676</v>
      </c>
      <c r="GM9" s="82">
        <f>'Income Stmt'!GM13*CST_AR_PCT</f>
        <v>15073982.156409329</v>
      </c>
      <c r="GN9" s="82">
        <f>'Income Stmt'!GN13*CST_AR_PCT</f>
        <v>15073982.156409329</v>
      </c>
      <c r="GO9" s="82">
        <f>'Income Stmt'!GO13*CST_AR_PCT</f>
        <v>15073982.156409329</v>
      </c>
      <c r="GP9" s="82">
        <f>'Income Stmt'!GP13*CST_AR_PCT</f>
        <v>15073982.156409329</v>
      </c>
      <c r="GQ9" s="82">
        <f>'Income Stmt'!GQ13*CST_AR_PCT</f>
        <v>15073982.156409329</v>
      </c>
      <c r="GR9" s="82">
        <f>'Income Stmt'!GR13*CST_AR_PCT</f>
        <v>15073982.156409329</v>
      </c>
      <c r="GS9" s="82">
        <f>'Income Stmt'!GS13*CST_AR_PCT</f>
        <v>15073982.156409329</v>
      </c>
      <c r="GT9" s="82">
        <f>'Income Stmt'!GT13*CST_AR_PCT</f>
        <v>15073982.156409329</v>
      </c>
      <c r="GU9" s="82">
        <f>'Income Stmt'!GU13*CST_AR_PCT</f>
        <v>15073982.156409329</v>
      </c>
      <c r="GV9" s="82">
        <f>'Income Stmt'!GV13*CST_AR_PCT</f>
        <v>15073982.156409329</v>
      </c>
      <c r="GW9" s="82">
        <f>'Income Stmt'!GW13*CST_AR_PCT</f>
        <v>15073982.156409329</v>
      </c>
      <c r="GX9" s="82">
        <f>'Income Stmt'!GX13*CST_AR_PCT</f>
        <v>15073982.156409329</v>
      </c>
      <c r="GY9" s="82">
        <f>'Income Stmt'!GY13*CST_AR_PCT</f>
        <v>15073982.156409329</v>
      </c>
      <c r="GZ9" s="82">
        <f>'Income Stmt'!GZ13*CST_AR_PCT</f>
        <v>15073982.156409329</v>
      </c>
      <c r="HA9" s="82">
        <f>'Income Stmt'!HA13*CST_AR_PCT</f>
        <v>15073982.156409329</v>
      </c>
      <c r="HB9" s="82">
        <f>'Income Stmt'!HB13*CST_AR_PCT</f>
        <v>15073982.156409329</v>
      </c>
      <c r="HC9" s="82">
        <f>'Income Stmt'!HC13*CST_AR_PCT</f>
        <v>15073982.156409329</v>
      </c>
      <c r="HD9" s="82">
        <f>'Income Stmt'!HD13*CST_AR_PCT</f>
        <v>15073982.156409329</v>
      </c>
      <c r="HE9" s="82">
        <f>'Income Stmt'!HE13*CST_AR_PCT</f>
        <v>15073982.156409329</v>
      </c>
      <c r="HF9" s="82">
        <f>'Income Stmt'!HF13*CST_AR_PCT</f>
        <v>15073982.156409329</v>
      </c>
      <c r="HG9" s="82">
        <f>'Income Stmt'!HG13*CST_AR_PCT</f>
        <v>15073982.156409329</v>
      </c>
      <c r="HH9" s="82">
        <f>'Income Stmt'!HH13*CST_AR_PCT</f>
        <v>15073982.156409329</v>
      </c>
      <c r="HI9" s="82">
        <f>'Income Stmt'!HI13*CST_AR_PCT</f>
        <v>15073982.156409329</v>
      </c>
      <c r="HJ9" s="82">
        <f>'Income Stmt'!HJ13*CST_AR_PCT</f>
        <v>15073982.156409329</v>
      </c>
      <c r="HK9" s="82">
        <f>'Income Stmt'!HK13*CST_AR_PCT</f>
        <v>15632277.791831894</v>
      </c>
      <c r="HL9" s="82">
        <f>'Income Stmt'!HL13*CST_AR_PCT</f>
        <v>15632277.791831894</v>
      </c>
      <c r="HM9" s="82">
        <f>'Income Stmt'!HM13*CST_AR_PCT</f>
        <v>15632277.791831894</v>
      </c>
      <c r="HN9" s="82">
        <f>'Income Stmt'!HN13*CST_AR_PCT</f>
        <v>15632277.791831894</v>
      </c>
      <c r="HO9" s="82">
        <f>'Income Stmt'!HO13*CST_AR_PCT</f>
        <v>15632277.791831894</v>
      </c>
      <c r="HP9" s="82">
        <f>'Income Stmt'!HP13*CST_AR_PCT</f>
        <v>15632277.791831894</v>
      </c>
      <c r="HQ9" s="82">
        <f>'Income Stmt'!HQ13*CST_AR_PCT</f>
        <v>15632277.791831894</v>
      </c>
      <c r="HR9" s="82">
        <f>'Income Stmt'!HR13*CST_AR_PCT</f>
        <v>15632277.791831894</v>
      </c>
      <c r="HS9" s="82">
        <f>'Income Stmt'!HS13*CST_AR_PCT</f>
        <v>15632277.791831894</v>
      </c>
      <c r="HT9" s="82">
        <f>'Income Stmt'!HT13*CST_AR_PCT</f>
        <v>15632277.791831894</v>
      </c>
      <c r="HU9" s="82">
        <f>'Income Stmt'!HU13*CST_AR_PCT</f>
        <v>15632277.791831894</v>
      </c>
      <c r="HV9" s="82">
        <f>'Income Stmt'!HV13*CST_AR_PCT</f>
        <v>15632277.791831894</v>
      </c>
      <c r="HW9" s="82">
        <f>'Income Stmt'!HW13*CST_AR_PCT</f>
        <v>15632277.791831894</v>
      </c>
      <c r="HX9" s="82">
        <f>'Income Stmt'!HX13*CST_AR_PCT</f>
        <v>15632277.791831894</v>
      </c>
      <c r="HY9" s="82">
        <f>'Income Stmt'!HY13*CST_AR_PCT</f>
        <v>15632277.791831894</v>
      </c>
      <c r="HZ9" s="82">
        <f>'Income Stmt'!HZ13*CST_AR_PCT</f>
        <v>15632277.791831894</v>
      </c>
      <c r="IA9" s="82">
        <f>'Income Stmt'!IA13*CST_AR_PCT</f>
        <v>15632277.791831894</v>
      </c>
      <c r="IB9" s="82">
        <f>'Income Stmt'!IB13*CST_AR_PCT</f>
        <v>15632277.791831894</v>
      </c>
      <c r="IC9" s="82">
        <f>'Income Stmt'!IC13*CST_AR_PCT</f>
        <v>15632277.791831894</v>
      </c>
      <c r="ID9" s="82">
        <f>'Income Stmt'!ID13*CST_AR_PCT</f>
        <v>15632277.791831894</v>
      </c>
      <c r="IE9" s="82">
        <f>'Income Stmt'!IE13*CST_AR_PCT</f>
        <v>15632277.791831894</v>
      </c>
      <c r="IF9" s="82">
        <f>'Income Stmt'!IF13*CST_AR_PCT</f>
        <v>15632277.791831894</v>
      </c>
      <c r="IG9" s="82">
        <f>'Income Stmt'!IG13*CST_AR_PCT</f>
        <v>15632277.791831894</v>
      </c>
      <c r="IH9" s="82">
        <f>'Income Stmt'!IH13*CST_AR_PCT</f>
        <v>15632277.791831894</v>
      </c>
    </row>
    <row r="10" spans="1:242" ht="14.65" thickTop="1" x14ac:dyDescent="0.45">
      <c r="A10" s="77"/>
      <c r="B10" s="78"/>
      <c r="C10" s="85">
        <f>SUM(C8:C9)</f>
        <v>1099869345.3716428</v>
      </c>
      <c r="D10" s="85">
        <f t="shared" ref="D10" si="0">SUM(D8:D9)</f>
        <v>1098952869.1721928</v>
      </c>
      <c r="E10" s="85">
        <f t="shared" ref="E10:BP10" si="1">SUM(E8:E9)</f>
        <v>1098476267.9727428</v>
      </c>
      <c r="F10" s="85">
        <f t="shared" si="1"/>
        <v>1097999666.7732928</v>
      </c>
      <c r="G10" s="85">
        <f t="shared" si="1"/>
        <v>1097523065.5738428</v>
      </c>
      <c r="H10" s="85">
        <f t="shared" si="1"/>
        <v>1097046464.3743927</v>
      </c>
      <c r="I10" s="85">
        <f t="shared" si="1"/>
        <v>1186977560.6469178</v>
      </c>
      <c r="J10" s="85">
        <f t="shared" si="1"/>
        <v>1231704808.1834552</v>
      </c>
      <c r="K10" s="85">
        <f t="shared" si="1"/>
        <v>1231228206.9840052</v>
      </c>
      <c r="L10" s="85">
        <f t="shared" si="1"/>
        <v>1275955454.5205429</v>
      </c>
      <c r="M10" s="85">
        <f t="shared" si="1"/>
        <v>1275478853.3210928</v>
      </c>
      <c r="N10" s="85">
        <f t="shared" si="1"/>
        <v>1320206100.8576303</v>
      </c>
      <c r="O10" s="85">
        <f t="shared" si="1"/>
        <v>1545769743.3381178</v>
      </c>
      <c r="P10" s="85">
        <f t="shared" si="1"/>
        <v>1545089027.4720013</v>
      </c>
      <c r="Q10" s="85">
        <f t="shared" si="1"/>
        <v>1544569311.6058846</v>
      </c>
      <c r="R10" s="85">
        <f t="shared" si="1"/>
        <v>1544049595.739768</v>
      </c>
      <c r="S10" s="85">
        <f t="shared" si="1"/>
        <v>1543529879.8736513</v>
      </c>
      <c r="T10" s="85">
        <f t="shared" si="1"/>
        <v>1543010164.0075347</v>
      </c>
      <c r="U10" s="85">
        <f t="shared" si="1"/>
        <v>1632898145.6133931</v>
      </c>
      <c r="V10" s="85">
        <f t="shared" si="1"/>
        <v>1632378429.7472763</v>
      </c>
      <c r="W10" s="85">
        <f t="shared" si="1"/>
        <v>1677062562.6171472</v>
      </c>
      <c r="X10" s="85">
        <f t="shared" si="1"/>
        <v>1721746695.4870181</v>
      </c>
      <c r="Y10" s="85">
        <f t="shared" si="1"/>
        <v>1721226979.6209016</v>
      </c>
      <c r="Z10" s="85">
        <f t="shared" si="1"/>
        <v>1765911112.4907725</v>
      </c>
      <c r="AA10" s="85">
        <f t="shared" si="1"/>
        <v>1771193887.1736259</v>
      </c>
      <c r="AB10" s="85">
        <f t="shared" si="1"/>
        <v>1775471341.2920704</v>
      </c>
      <c r="AC10" s="85">
        <f t="shared" si="1"/>
        <v>1779748795.4105148</v>
      </c>
      <c r="AD10" s="85">
        <f t="shared" si="1"/>
        <v>1784026249.5289593</v>
      </c>
      <c r="AE10" s="85">
        <f t="shared" si="1"/>
        <v>1788303703.6474037</v>
      </c>
      <c r="AF10" s="85">
        <f t="shared" si="1"/>
        <v>1792581157.7658482</v>
      </c>
      <c r="AG10" s="85">
        <f t="shared" si="1"/>
        <v>1796858611.8842926</v>
      </c>
      <c r="AH10" s="85">
        <f t="shared" si="1"/>
        <v>1801136066.002737</v>
      </c>
      <c r="AI10" s="85">
        <f t="shared" si="1"/>
        <v>1805413520.1211815</v>
      </c>
      <c r="AJ10" s="85">
        <f t="shared" si="1"/>
        <v>1809690974.2396259</v>
      </c>
      <c r="AK10" s="85">
        <f t="shared" si="1"/>
        <v>1813968428.3580704</v>
      </c>
      <c r="AL10" s="85">
        <f t="shared" si="1"/>
        <v>1818245882.4765148</v>
      </c>
      <c r="AM10" s="85">
        <f t="shared" si="1"/>
        <v>1826252443.3877161</v>
      </c>
      <c r="AN10" s="85">
        <f t="shared" si="1"/>
        <v>1834147131.0951345</v>
      </c>
      <c r="AO10" s="85">
        <f t="shared" si="1"/>
        <v>1842041818.8025532</v>
      </c>
      <c r="AP10" s="85">
        <f t="shared" si="1"/>
        <v>1849936506.5099716</v>
      </c>
      <c r="AQ10" s="85">
        <f t="shared" si="1"/>
        <v>1857831194.2173903</v>
      </c>
      <c r="AR10" s="85">
        <f t="shared" si="1"/>
        <v>1865725881.9248087</v>
      </c>
      <c r="AS10" s="85">
        <f t="shared" si="1"/>
        <v>1873620569.6322272</v>
      </c>
      <c r="AT10" s="85">
        <f t="shared" si="1"/>
        <v>1881515257.3396456</v>
      </c>
      <c r="AU10" s="85">
        <f t="shared" si="1"/>
        <v>1889409945.0470641</v>
      </c>
      <c r="AV10" s="85">
        <f t="shared" si="1"/>
        <v>1897304632.7544825</v>
      </c>
      <c r="AW10" s="85">
        <f t="shared" si="1"/>
        <v>1905199320.4619012</v>
      </c>
      <c r="AX10" s="85">
        <f t="shared" si="1"/>
        <v>1913094008.1693199</v>
      </c>
      <c r="AY10" s="85">
        <f t="shared" si="1"/>
        <v>1924870792.4989035</v>
      </c>
      <c r="AZ10" s="85">
        <f t="shared" si="1"/>
        <v>1936510791.2357485</v>
      </c>
      <c r="BA10" s="85">
        <f t="shared" si="1"/>
        <v>1948145581.2322917</v>
      </c>
      <c r="BB10" s="85">
        <f t="shared" si="1"/>
        <v>1959775134.2745233</v>
      </c>
      <c r="BC10" s="85">
        <f t="shared" si="1"/>
        <v>1971399421.9956074</v>
      </c>
      <c r="BD10" s="85">
        <f t="shared" si="1"/>
        <v>1983018415.8750546</v>
      </c>
      <c r="BE10" s="85">
        <f t="shared" si="1"/>
        <v>1994632087.2378893</v>
      </c>
      <c r="BF10" s="85">
        <f t="shared" si="1"/>
        <v>2006240407.253813</v>
      </c>
      <c r="BG10" s="85">
        <f t="shared" si="1"/>
        <v>2017843346.9363635</v>
      </c>
      <c r="BH10" s="85">
        <f t="shared" si="1"/>
        <v>2029440877.1420681</v>
      </c>
      <c r="BI10" s="85">
        <f t="shared" si="1"/>
        <v>2041032968.5695939</v>
      </c>
      <c r="BJ10" s="85">
        <f t="shared" si="1"/>
        <v>2052619591.7588928</v>
      </c>
      <c r="BK10" s="85">
        <f t="shared" si="1"/>
        <v>2076710102.9719393</v>
      </c>
      <c r="BL10" s="85">
        <f t="shared" si="1"/>
        <v>2090706986.3990927</v>
      </c>
      <c r="BM10" s="85">
        <f t="shared" si="1"/>
        <v>2104698312.2469597</v>
      </c>
      <c r="BN10" s="85">
        <f t="shared" si="1"/>
        <v>2124684050.4119861</v>
      </c>
      <c r="BO10" s="85">
        <f t="shared" si="1"/>
        <v>2138664170.6275563</v>
      </c>
      <c r="BP10" s="85">
        <f t="shared" si="1"/>
        <v>2152638642.4631109</v>
      </c>
      <c r="BQ10" s="85">
        <f t="shared" ref="BQ10:EB10" si="2">SUM(BQ8:BQ9)</f>
        <v>2170607435.3232579</v>
      </c>
      <c r="BR10" s="85">
        <f t="shared" si="2"/>
        <v>2184570518.4468808</v>
      </c>
      <c r="BS10" s="85">
        <f t="shared" si="2"/>
        <v>2198527860.90624</v>
      </c>
      <c r="BT10" s="85">
        <f t="shared" si="2"/>
        <v>2212479431.6060705</v>
      </c>
      <c r="BU10" s="85">
        <f t="shared" si="2"/>
        <v>2226425199.2826753</v>
      </c>
      <c r="BV10" s="85">
        <f t="shared" si="2"/>
        <v>2240365132.5030117</v>
      </c>
      <c r="BW10" s="85">
        <f t="shared" si="2"/>
        <v>2255098199.4814224</v>
      </c>
      <c r="BX10" s="85">
        <f t="shared" si="2"/>
        <v>2269351100.2905989</v>
      </c>
      <c r="BY10" s="85">
        <f t="shared" si="2"/>
        <v>2283598071.3191118</v>
      </c>
      <c r="BZ10" s="85">
        <f t="shared" si="2"/>
        <v>2297839080.4473157</v>
      </c>
      <c r="CA10" s="85">
        <f t="shared" si="2"/>
        <v>2312074095.3815837</v>
      </c>
      <c r="CB10" s="85">
        <f t="shared" si="2"/>
        <v>2326303083.6533661</v>
      </c>
      <c r="CC10" s="85">
        <f t="shared" si="2"/>
        <v>2340526012.6182404</v>
      </c>
      <c r="CD10" s="85">
        <f t="shared" si="2"/>
        <v>2354742849.4549608</v>
      </c>
      <c r="CE10" s="85">
        <f t="shared" si="2"/>
        <v>2368953561.1645002</v>
      </c>
      <c r="CF10" s="85">
        <f t="shared" si="2"/>
        <v>2383158114.5690861</v>
      </c>
      <c r="CG10" s="85">
        <f t="shared" si="2"/>
        <v>2397356476.3112335</v>
      </c>
      <c r="CH10" s="85">
        <f t="shared" si="2"/>
        <v>2411548612.8527708</v>
      </c>
      <c r="CI10" s="85">
        <f t="shared" si="2"/>
        <v>2425734490.4738612</v>
      </c>
      <c r="CJ10" s="85">
        <f t="shared" si="2"/>
        <v>2439914075.2720194</v>
      </c>
      <c r="CK10" s="85">
        <f t="shared" si="2"/>
        <v>2454087333.1611209</v>
      </c>
      <c r="CL10" s="85">
        <f t="shared" si="2"/>
        <v>2468254229.8704081</v>
      </c>
      <c r="CM10" s="85">
        <f t="shared" si="2"/>
        <v>2482414730.94349</v>
      </c>
      <c r="CN10" s="85">
        <f t="shared" si="2"/>
        <v>2496582899.3805184</v>
      </c>
      <c r="CO10" s="85">
        <f t="shared" si="2"/>
        <v>2510690561.7421093</v>
      </c>
      <c r="CP10" s="85">
        <f t="shared" si="2"/>
        <v>2524791723.9744415</v>
      </c>
      <c r="CQ10" s="85">
        <f t="shared" si="2"/>
        <v>2538886350.8684816</v>
      </c>
      <c r="CR10" s="85">
        <f t="shared" si="2"/>
        <v>2552974407.0244803</v>
      </c>
      <c r="CS10" s="85">
        <f t="shared" si="2"/>
        <v>2567055856.8509398</v>
      </c>
      <c r="CT10" s="85">
        <f t="shared" si="2"/>
        <v>2581130664.5635748</v>
      </c>
      <c r="CU10" s="85">
        <f t="shared" si="2"/>
        <v>2595894411.2852616</v>
      </c>
      <c r="CV10" s="85">
        <f t="shared" si="2"/>
        <v>2610573475.8206825</v>
      </c>
      <c r="CW10" s="85">
        <f t="shared" si="2"/>
        <v>2625245789.7222295</v>
      </c>
      <c r="CX10" s="85">
        <f t="shared" si="2"/>
        <v>2639911316.4239693</v>
      </c>
      <c r="CY10" s="85">
        <f t="shared" si="2"/>
        <v>2654570019.1619029</v>
      </c>
      <c r="CZ10" s="85">
        <f t="shared" si="2"/>
        <v>2669221860.9728928</v>
      </c>
      <c r="DA10" s="85">
        <f t="shared" si="2"/>
        <v>2683866804.6935854</v>
      </c>
      <c r="DB10" s="85">
        <f t="shared" si="2"/>
        <v>2698504812.9593248</v>
      </c>
      <c r="DC10" s="85">
        <f t="shared" si="2"/>
        <v>2713135848.2030625</v>
      </c>
      <c r="DD10" s="85">
        <f t="shared" si="2"/>
        <v>2727759872.6542635</v>
      </c>
      <c r="DE10" s="85">
        <f t="shared" si="2"/>
        <v>2742376848.337801</v>
      </c>
      <c r="DF10" s="85">
        <f t="shared" si="2"/>
        <v>2756986737.0728507</v>
      </c>
      <c r="DG10" s="85">
        <f t="shared" si="2"/>
        <v>2771603598.1149545</v>
      </c>
      <c r="DH10" s="85">
        <f t="shared" si="2"/>
        <v>2786159254.2598381</v>
      </c>
      <c r="DI10" s="85">
        <f t="shared" si="2"/>
        <v>2800707707.668395</v>
      </c>
      <c r="DJ10" s="85">
        <f t="shared" si="2"/>
        <v>2815248919.3258038</v>
      </c>
      <c r="DK10" s="85">
        <f t="shared" si="2"/>
        <v>2829782850.0059123</v>
      </c>
      <c r="DL10" s="85">
        <f t="shared" si="2"/>
        <v>2844309460.2700934</v>
      </c>
      <c r="DM10" s="85">
        <f t="shared" si="2"/>
        <v>2858828710.466095</v>
      </c>
      <c r="DN10" s="85">
        <f t="shared" si="2"/>
        <v>2873340560.7268801</v>
      </c>
      <c r="DO10" s="85">
        <f t="shared" si="2"/>
        <v>2887844970.9694667</v>
      </c>
      <c r="DP10" s="85">
        <f t="shared" si="2"/>
        <v>2902341900.8937559</v>
      </c>
      <c r="DQ10" s="85">
        <f t="shared" si="2"/>
        <v>2916831309.9813571</v>
      </c>
      <c r="DR10" s="85">
        <f t="shared" si="2"/>
        <v>2931313157.4944053</v>
      </c>
      <c r="DS10" s="85">
        <f t="shared" si="2"/>
        <v>2961483019.5753632</v>
      </c>
      <c r="DT10" s="85">
        <f t="shared" si="2"/>
        <v>2976574913.7349935</v>
      </c>
      <c r="DU10" s="85">
        <f t="shared" si="2"/>
        <v>2991666807.8946238</v>
      </c>
      <c r="DV10" s="85">
        <f t="shared" si="2"/>
        <v>3017758702.0542541</v>
      </c>
      <c r="DW10" s="85">
        <f t="shared" si="2"/>
        <v>3032850596.2138844</v>
      </c>
      <c r="DX10" s="85">
        <f t="shared" si="2"/>
        <v>3047942490.3735147</v>
      </c>
      <c r="DY10" s="85">
        <f t="shared" si="2"/>
        <v>3072034384.533145</v>
      </c>
      <c r="DZ10" s="85">
        <f t="shared" si="2"/>
        <v>3087126278.6927752</v>
      </c>
      <c r="EA10" s="85">
        <f t="shared" si="2"/>
        <v>3102218172.8524055</v>
      </c>
      <c r="EB10" s="85">
        <f t="shared" si="2"/>
        <v>3117310067.0120358</v>
      </c>
      <c r="EC10" s="85">
        <f t="shared" ref="EC10:GN10" si="3">SUM(EC8:EC9)</f>
        <v>3132401961.1716661</v>
      </c>
      <c r="ED10" s="85">
        <f t="shared" si="3"/>
        <v>3147493855.3312964</v>
      </c>
      <c r="EE10" s="85">
        <f t="shared" si="3"/>
        <v>3162599847.1341071</v>
      </c>
      <c r="EF10" s="85">
        <f t="shared" si="3"/>
        <v>3177651797.9713936</v>
      </c>
      <c r="EG10" s="85">
        <f t="shared" si="3"/>
        <v>3192703748.8086801</v>
      </c>
      <c r="EH10" s="85">
        <f t="shared" si="3"/>
        <v>3207755699.6459665</v>
      </c>
      <c r="EI10" s="85">
        <f t="shared" si="3"/>
        <v>3222807650.483253</v>
      </c>
      <c r="EJ10" s="85">
        <f t="shared" si="3"/>
        <v>3237859601.3205395</v>
      </c>
      <c r="EK10" s="85">
        <f t="shared" si="3"/>
        <v>3257911552.1578259</v>
      </c>
      <c r="EL10" s="85">
        <f t="shared" si="3"/>
        <v>3272963502.9951124</v>
      </c>
      <c r="EM10" s="85">
        <f t="shared" si="3"/>
        <v>3288015453.8323989</v>
      </c>
      <c r="EN10" s="85">
        <f t="shared" si="3"/>
        <v>3303067404.6696854</v>
      </c>
      <c r="EO10" s="85">
        <f t="shared" si="3"/>
        <v>3318119355.5069718</v>
      </c>
      <c r="EP10" s="85">
        <f t="shared" si="3"/>
        <v>3343171306.3442583</v>
      </c>
      <c r="EQ10" s="85">
        <f t="shared" si="3"/>
        <v>3358918874.282537</v>
      </c>
      <c r="ER10" s="85">
        <f t="shared" si="3"/>
        <v>3374588474.2994876</v>
      </c>
      <c r="ES10" s="85">
        <f t="shared" si="3"/>
        <v>3390258074.3164382</v>
      </c>
      <c r="ET10" s="85">
        <f t="shared" si="3"/>
        <v>3405927674.3333888</v>
      </c>
      <c r="EU10" s="85">
        <f t="shared" si="3"/>
        <v>3421597274.3503394</v>
      </c>
      <c r="EV10" s="85">
        <f t="shared" si="3"/>
        <v>3437266874.36729</v>
      </c>
      <c r="EW10" s="85">
        <f t="shared" si="3"/>
        <v>3452936474.3842406</v>
      </c>
      <c r="EX10" s="85">
        <f t="shared" si="3"/>
        <v>3468606074.4011912</v>
      </c>
      <c r="EY10" s="85">
        <f t="shared" si="3"/>
        <v>3484275674.4181418</v>
      </c>
      <c r="EZ10" s="85">
        <f t="shared" si="3"/>
        <v>3504945274.4350924</v>
      </c>
      <c r="FA10" s="85">
        <f t="shared" si="3"/>
        <v>3520614874.4520431</v>
      </c>
      <c r="FB10" s="85">
        <f t="shared" si="3"/>
        <v>3536284474.4689937</v>
      </c>
      <c r="FC10" s="85">
        <f t="shared" si="3"/>
        <v>3551968172.1291246</v>
      </c>
      <c r="FD10" s="85">
        <f t="shared" si="3"/>
        <v>3567597828.8237314</v>
      </c>
      <c r="FE10" s="85">
        <f t="shared" si="3"/>
        <v>3583227485.5183382</v>
      </c>
      <c r="FF10" s="85">
        <f t="shared" si="3"/>
        <v>3598857142.212945</v>
      </c>
      <c r="FG10" s="85">
        <f t="shared" si="3"/>
        <v>3614486798.9075518</v>
      </c>
      <c r="FH10" s="85">
        <f t="shared" si="3"/>
        <v>3640116455.6021585</v>
      </c>
      <c r="FI10" s="85">
        <f t="shared" si="3"/>
        <v>3655746112.2967653</v>
      </c>
      <c r="FJ10" s="85">
        <f t="shared" si="3"/>
        <v>3671375768.9913721</v>
      </c>
      <c r="FK10" s="85">
        <f t="shared" si="3"/>
        <v>3687005425.6859789</v>
      </c>
      <c r="FL10" s="85">
        <f t="shared" si="3"/>
        <v>3702635082.3805857</v>
      </c>
      <c r="FM10" s="85">
        <f t="shared" si="3"/>
        <v>3718264739.0751925</v>
      </c>
      <c r="FN10" s="85">
        <f t="shared" si="3"/>
        <v>3733894395.7697992</v>
      </c>
      <c r="FO10" s="85">
        <f t="shared" si="3"/>
        <v>3750219669.5653982</v>
      </c>
      <c r="FP10" s="85">
        <f t="shared" si="3"/>
        <v>3766466975.4396696</v>
      </c>
      <c r="FQ10" s="85">
        <f t="shared" si="3"/>
        <v>3782714281.313941</v>
      </c>
      <c r="FR10" s="85">
        <f t="shared" si="3"/>
        <v>3798961587.1882124</v>
      </c>
      <c r="FS10" s="85">
        <f t="shared" si="3"/>
        <v>3815208893.0624838</v>
      </c>
      <c r="FT10" s="85">
        <f t="shared" si="3"/>
        <v>3831456198.9367552</v>
      </c>
      <c r="FU10" s="85">
        <f t="shared" si="3"/>
        <v>3847703504.8110266</v>
      </c>
      <c r="FV10" s="85">
        <f t="shared" si="3"/>
        <v>3863950810.685298</v>
      </c>
      <c r="FW10" s="85">
        <f t="shared" si="3"/>
        <v>3880198116.5595694</v>
      </c>
      <c r="FX10" s="85">
        <f t="shared" si="3"/>
        <v>3896445422.4338408</v>
      </c>
      <c r="FY10" s="85">
        <f t="shared" si="3"/>
        <v>3912692728.3081121</v>
      </c>
      <c r="FZ10" s="85">
        <f t="shared" si="3"/>
        <v>3928940034.1823835</v>
      </c>
      <c r="GA10" s="85">
        <f t="shared" si="3"/>
        <v>3955201437.6998353</v>
      </c>
      <c r="GB10" s="85">
        <f t="shared" si="3"/>
        <v>3971408800.2517629</v>
      </c>
      <c r="GC10" s="85">
        <f t="shared" si="3"/>
        <v>3987616162.8036904</v>
      </c>
      <c r="GD10" s="85">
        <f t="shared" si="3"/>
        <v>4014823525.355618</v>
      </c>
      <c r="GE10" s="85">
        <f t="shared" si="3"/>
        <v>4031030887.9075456</v>
      </c>
      <c r="GF10" s="85">
        <f t="shared" si="3"/>
        <v>4047238250.4594731</v>
      </c>
      <c r="GG10" s="85">
        <f t="shared" si="3"/>
        <v>4089015373.0114007</v>
      </c>
      <c r="GH10" s="85">
        <f t="shared" si="3"/>
        <v>4105222735.5633283</v>
      </c>
      <c r="GI10" s="85">
        <f t="shared" si="3"/>
        <v>4121430098.1152558</v>
      </c>
      <c r="GJ10" s="85">
        <f t="shared" si="3"/>
        <v>4137637460.6671834</v>
      </c>
      <c r="GK10" s="85">
        <f t="shared" si="3"/>
        <v>4153844823.219111</v>
      </c>
      <c r="GL10" s="85">
        <f t="shared" si="3"/>
        <v>4170052185.7710385</v>
      </c>
      <c r="GM10" s="85">
        <f t="shared" si="3"/>
        <v>4186092126.4783587</v>
      </c>
      <c r="GN10" s="85">
        <f t="shared" si="3"/>
        <v>4202054099.2643509</v>
      </c>
      <c r="GO10" s="85">
        <f t="shared" ref="GO10:IH10" si="4">SUM(GO8:GO9)</f>
        <v>4218016072.050343</v>
      </c>
      <c r="GP10" s="85">
        <f t="shared" si="4"/>
        <v>4233978044.8363352</v>
      </c>
      <c r="GQ10" s="85">
        <f t="shared" si="4"/>
        <v>4249940017.6223273</v>
      </c>
      <c r="GR10" s="85">
        <f t="shared" si="4"/>
        <v>4265901990.4083195</v>
      </c>
      <c r="GS10" s="85">
        <f t="shared" si="4"/>
        <v>4281863963.1943116</v>
      </c>
      <c r="GT10" s="85">
        <f t="shared" si="4"/>
        <v>4297825935.9803038</v>
      </c>
      <c r="GU10" s="85">
        <f t="shared" si="4"/>
        <v>4313787908.7662964</v>
      </c>
      <c r="GV10" s="85">
        <f t="shared" si="4"/>
        <v>4329749881.552289</v>
      </c>
      <c r="GW10" s="85">
        <f t="shared" si="4"/>
        <v>4345711854.3382816</v>
      </c>
      <c r="GX10" s="85">
        <f t="shared" si="4"/>
        <v>4361673827.1242743</v>
      </c>
      <c r="GY10" s="85">
        <f t="shared" si="4"/>
        <v>4377649897.5534468</v>
      </c>
      <c r="GZ10" s="85">
        <f t="shared" si="4"/>
        <v>4393571927.0170956</v>
      </c>
      <c r="HA10" s="85">
        <f t="shared" si="4"/>
        <v>4409493956.4807444</v>
      </c>
      <c r="HB10" s="85">
        <f t="shared" si="4"/>
        <v>4425415985.9443932</v>
      </c>
      <c r="HC10" s="85">
        <f t="shared" si="4"/>
        <v>4441338015.408042</v>
      </c>
      <c r="HD10" s="85">
        <f t="shared" si="4"/>
        <v>4457260044.8716908</v>
      </c>
      <c r="HE10" s="85">
        <f t="shared" si="4"/>
        <v>4473182074.3353395</v>
      </c>
      <c r="HF10" s="85">
        <f t="shared" si="4"/>
        <v>4489104103.7989883</v>
      </c>
      <c r="HG10" s="85">
        <f t="shared" si="4"/>
        <v>4505026133.2626371</v>
      </c>
      <c r="HH10" s="85">
        <f t="shared" si="4"/>
        <v>4520948162.7262859</v>
      </c>
      <c r="HI10" s="85">
        <f t="shared" si="4"/>
        <v>4536870192.1899347</v>
      </c>
      <c r="HJ10" s="85">
        <f t="shared" si="4"/>
        <v>4552792221.6535835</v>
      </c>
      <c r="HK10" s="85">
        <f t="shared" si="4"/>
        <v>4569395770.5750446</v>
      </c>
      <c r="HL10" s="85">
        <f t="shared" si="4"/>
        <v>4585975392.5407019</v>
      </c>
      <c r="HM10" s="85">
        <f t="shared" si="4"/>
        <v>4602555014.5063591</v>
      </c>
      <c r="HN10" s="85">
        <f t="shared" si="4"/>
        <v>4619134636.4720163</v>
      </c>
      <c r="HO10" s="85">
        <f t="shared" si="4"/>
        <v>4635714258.4376736</v>
      </c>
      <c r="HP10" s="85">
        <f t="shared" si="4"/>
        <v>4652293880.4033308</v>
      </c>
      <c r="HQ10" s="85">
        <f t="shared" si="4"/>
        <v>4668873502.368988</v>
      </c>
      <c r="HR10" s="85">
        <f t="shared" si="4"/>
        <v>4685453124.3346453</v>
      </c>
      <c r="HS10" s="85">
        <f t="shared" si="4"/>
        <v>4702032746.3003025</v>
      </c>
      <c r="HT10" s="85">
        <f t="shared" si="4"/>
        <v>4718612368.2659597</v>
      </c>
      <c r="HU10" s="85">
        <f t="shared" si="4"/>
        <v>4735191990.231617</v>
      </c>
      <c r="HV10" s="85">
        <f t="shared" si="4"/>
        <v>4751771612.1972742</v>
      </c>
      <c r="HW10" s="85">
        <f t="shared" si="4"/>
        <v>4768351234.1629314</v>
      </c>
      <c r="HX10" s="85">
        <f t="shared" si="4"/>
        <v>4784930856.1285887</v>
      </c>
      <c r="HY10" s="85">
        <f t="shared" si="4"/>
        <v>4801510478.0942459</v>
      </c>
      <c r="HZ10" s="85">
        <f t="shared" si="4"/>
        <v>4818090100.0599031</v>
      </c>
      <c r="IA10" s="85">
        <f t="shared" si="4"/>
        <v>4834669722.0255604</v>
      </c>
      <c r="IB10" s="85">
        <f t="shared" si="4"/>
        <v>4851249343.9912176</v>
      </c>
      <c r="IC10" s="85">
        <f t="shared" si="4"/>
        <v>4867828965.9568748</v>
      </c>
      <c r="ID10" s="85">
        <f t="shared" si="4"/>
        <v>4884408587.9225321</v>
      </c>
      <c r="IE10" s="85">
        <f t="shared" si="4"/>
        <v>4900988209.8881893</v>
      </c>
      <c r="IF10" s="85">
        <f t="shared" si="4"/>
        <v>4917567831.8538465</v>
      </c>
      <c r="IG10" s="85">
        <f t="shared" si="4"/>
        <v>4934147453.8195038</v>
      </c>
      <c r="IH10" s="85">
        <f t="shared" si="4"/>
        <v>4950727075.785161</v>
      </c>
    </row>
    <row r="11" spans="1:242" x14ac:dyDescent="0.45">
      <c r="A11" s="888" t="s">
        <v>280</v>
      </c>
      <c r="B11" s="889"/>
    </row>
    <row r="12" spans="1:242" x14ac:dyDescent="0.45">
      <c r="A12" s="895" t="s">
        <v>282</v>
      </c>
      <c r="B12" s="896"/>
      <c r="C12" s="81">
        <f>'CAPEX Schedule'!C14</f>
        <v>226019243.67993751</v>
      </c>
      <c r="D12" s="81">
        <f>'CAPEX Schedule'!D14</f>
        <v>226019243.67993751</v>
      </c>
      <c r="E12" s="81">
        <f>'CAPEX Schedule'!E14</f>
        <v>226019243.67993751</v>
      </c>
      <c r="F12" s="81">
        <f>'CAPEX Schedule'!F14</f>
        <v>226019243.67993751</v>
      </c>
      <c r="G12" s="81">
        <f>'CAPEX Schedule'!G14</f>
        <v>226019243.67993751</v>
      </c>
      <c r="H12" s="81">
        <f>'CAPEX Schedule'!H14</f>
        <v>226019243.67993751</v>
      </c>
      <c r="I12" s="81">
        <f>'CAPEX Schedule'!I14</f>
        <v>316426941.15191251</v>
      </c>
      <c r="J12" s="81">
        <f>'CAPEX Schedule'!J14</f>
        <v>361630789.88789999</v>
      </c>
      <c r="K12" s="81">
        <f>'CAPEX Schedule'!K14</f>
        <v>361630789.88789999</v>
      </c>
      <c r="L12" s="81">
        <f>'CAPEX Schedule'!L14</f>
        <v>406834638.62388748</v>
      </c>
      <c r="M12" s="81">
        <f>'CAPEX Schedule'!M14</f>
        <v>406834638.62388748</v>
      </c>
      <c r="N12" s="81">
        <f>'CAPEX Schedule'!N14</f>
        <v>452038487.35987496</v>
      </c>
      <c r="O12" s="81">
        <f>'CAPEX Schedule'!O14</f>
        <v>678057731.03981245</v>
      </c>
      <c r="P12" s="81">
        <f>'CAPEX Schedule'!P14</f>
        <v>678057731.03981245</v>
      </c>
      <c r="Q12" s="81">
        <f>'CAPEX Schedule'!Q14</f>
        <v>678057731.03981245</v>
      </c>
      <c r="R12" s="81">
        <f>'CAPEX Schedule'!R14</f>
        <v>678057731.03981245</v>
      </c>
      <c r="S12" s="81">
        <f>'CAPEX Schedule'!S14</f>
        <v>678057731.03981245</v>
      </c>
      <c r="T12" s="81">
        <f>'CAPEX Schedule'!T14</f>
        <v>678057731.03981245</v>
      </c>
      <c r="U12" s="81">
        <f>'CAPEX Schedule'!U14</f>
        <v>768465428.51178741</v>
      </c>
      <c r="V12" s="81">
        <f>'CAPEX Schedule'!V14</f>
        <v>768465428.51178741</v>
      </c>
      <c r="W12" s="81">
        <f>'CAPEX Schedule'!W14</f>
        <v>813669277.24777496</v>
      </c>
      <c r="X12" s="81">
        <f>'CAPEX Schedule'!X14</f>
        <v>858873125.9837625</v>
      </c>
      <c r="Y12" s="81">
        <f>'CAPEX Schedule'!Y14</f>
        <v>858873125.9837625</v>
      </c>
      <c r="Z12" s="81">
        <f>'CAPEX Schedule'!Z14</f>
        <v>904076974.71975005</v>
      </c>
      <c r="AA12" s="81">
        <f>'CAPEX Schedule'!AA14</f>
        <v>904076974.71975005</v>
      </c>
      <c r="AB12" s="81">
        <f>'CAPEX Schedule'!AB14</f>
        <v>904076974.71975005</v>
      </c>
      <c r="AC12" s="81">
        <f>'CAPEX Schedule'!AC14</f>
        <v>904076974.71975005</v>
      </c>
      <c r="AD12" s="81">
        <f>'CAPEX Schedule'!AD14</f>
        <v>904076974.71975005</v>
      </c>
      <c r="AE12" s="81">
        <f>'CAPEX Schedule'!AE14</f>
        <v>904076974.71975005</v>
      </c>
      <c r="AF12" s="81">
        <f>'CAPEX Schedule'!AF14</f>
        <v>904076974.71975005</v>
      </c>
      <c r="AG12" s="81">
        <f>'CAPEX Schedule'!AG14</f>
        <v>904076974.71975005</v>
      </c>
      <c r="AH12" s="81">
        <f>'CAPEX Schedule'!AH14</f>
        <v>904076974.71975005</v>
      </c>
      <c r="AI12" s="81">
        <f>'CAPEX Schedule'!AI14</f>
        <v>904076974.71975005</v>
      </c>
      <c r="AJ12" s="81">
        <f>'CAPEX Schedule'!AJ14</f>
        <v>904076974.71975005</v>
      </c>
      <c r="AK12" s="81">
        <f>'CAPEX Schedule'!AK14</f>
        <v>904076974.71975005</v>
      </c>
      <c r="AL12" s="81">
        <f>'CAPEX Schedule'!AL14</f>
        <v>904076974.71975005</v>
      </c>
      <c r="AM12" s="81">
        <f>'CAPEX Schedule'!AM14</f>
        <v>904076974.71975005</v>
      </c>
      <c r="AN12" s="81">
        <f>'CAPEX Schedule'!AN14</f>
        <v>904076974.71975005</v>
      </c>
      <c r="AO12" s="81">
        <f>'CAPEX Schedule'!AO14</f>
        <v>904076974.71975005</v>
      </c>
      <c r="AP12" s="81">
        <f>'CAPEX Schedule'!AP14</f>
        <v>904076974.71975005</v>
      </c>
      <c r="AQ12" s="81">
        <f>'CAPEX Schedule'!AQ14</f>
        <v>904076974.71975005</v>
      </c>
      <c r="AR12" s="81">
        <f>'CAPEX Schedule'!AR14</f>
        <v>904076974.71975005</v>
      </c>
      <c r="AS12" s="81">
        <f>'CAPEX Schedule'!AS14</f>
        <v>904076974.71975005</v>
      </c>
      <c r="AT12" s="81">
        <f>'CAPEX Schedule'!AT14</f>
        <v>904076974.71975005</v>
      </c>
      <c r="AU12" s="81">
        <f>'CAPEX Schedule'!AU14</f>
        <v>904076974.71975005</v>
      </c>
      <c r="AV12" s="81">
        <f>'CAPEX Schedule'!AV14</f>
        <v>904076974.71975005</v>
      </c>
      <c r="AW12" s="81">
        <f>'CAPEX Schedule'!AW14</f>
        <v>904076974.71975005</v>
      </c>
      <c r="AX12" s="81">
        <f>'CAPEX Schedule'!AX14</f>
        <v>904076974.71975005</v>
      </c>
      <c r="AY12" s="81">
        <f>'CAPEX Schedule'!AY14</f>
        <v>904076974.71975005</v>
      </c>
      <c r="AZ12" s="81">
        <f>'CAPEX Schedule'!AZ14</f>
        <v>904076974.71975005</v>
      </c>
      <c r="BA12" s="81">
        <f>'CAPEX Schedule'!BA14</f>
        <v>904076974.71975005</v>
      </c>
      <c r="BB12" s="81">
        <f>'CAPEX Schedule'!BB14</f>
        <v>904076974.71975005</v>
      </c>
      <c r="BC12" s="81">
        <f>'CAPEX Schedule'!BC14</f>
        <v>904076974.71975005</v>
      </c>
      <c r="BD12" s="81">
        <f>'CAPEX Schedule'!BD14</f>
        <v>904076974.71975005</v>
      </c>
      <c r="BE12" s="81">
        <f>'CAPEX Schedule'!BE14</f>
        <v>904076974.71975005</v>
      </c>
      <c r="BF12" s="81">
        <f>'CAPEX Schedule'!BF14</f>
        <v>904076974.71975005</v>
      </c>
      <c r="BG12" s="81">
        <f>'CAPEX Schedule'!BG14</f>
        <v>904076974.71975005</v>
      </c>
      <c r="BH12" s="81">
        <f>'CAPEX Schedule'!BH14</f>
        <v>904076974.71975005</v>
      </c>
      <c r="BI12" s="81">
        <f>'CAPEX Schedule'!BI14</f>
        <v>904076974.71975005</v>
      </c>
      <c r="BJ12" s="81">
        <f>'CAPEX Schedule'!BJ14</f>
        <v>904076974.71975005</v>
      </c>
      <c r="BK12" s="81">
        <f>'CAPEX Schedule'!BK14</f>
        <v>914076974.71975005</v>
      </c>
      <c r="BL12" s="81">
        <f>'CAPEX Schedule'!BL14</f>
        <v>914076974.71975005</v>
      </c>
      <c r="BM12" s="81">
        <f>'CAPEX Schedule'!BM14</f>
        <v>914076974.71975005</v>
      </c>
      <c r="BN12" s="81">
        <f>'CAPEX Schedule'!BN14</f>
        <v>920076974.71975005</v>
      </c>
      <c r="BO12" s="81">
        <f>'CAPEX Schedule'!BO14</f>
        <v>920076974.71975005</v>
      </c>
      <c r="BP12" s="81">
        <f>'CAPEX Schedule'!BP14</f>
        <v>920076974.71975005</v>
      </c>
      <c r="BQ12" s="81">
        <f>'CAPEX Schedule'!BQ14</f>
        <v>924076974.71975005</v>
      </c>
      <c r="BR12" s="81">
        <f>'CAPEX Schedule'!BR14</f>
        <v>924076974.71975005</v>
      </c>
      <c r="BS12" s="81">
        <f>'CAPEX Schedule'!BS14</f>
        <v>924076974.71975005</v>
      </c>
      <c r="BT12" s="81">
        <f>'CAPEX Schedule'!BT14</f>
        <v>924076974.71975005</v>
      </c>
      <c r="BU12" s="81">
        <f>'CAPEX Schedule'!BU14</f>
        <v>924076974.71975005</v>
      </c>
      <c r="BV12" s="81">
        <f>'CAPEX Schedule'!BV14</f>
        <v>924076974.71975005</v>
      </c>
      <c r="BW12" s="81">
        <f>'CAPEX Schedule'!BW14</f>
        <v>924076974.71975005</v>
      </c>
      <c r="BX12" s="81">
        <f>'CAPEX Schedule'!BX14</f>
        <v>924076974.71975005</v>
      </c>
      <c r="BY12" s="81">
        <f>'CAPEX Schedule'!BY14</f>
        <v>924076974.71975005</v>
      </c>
      <c r="BZ12" s="81">
        <f>'CAPEX Schedule'!BZ14</f>
        <v>924076974.71975005</v>
      </c>
      <c r="CA12" s="81">
        <f>'CAPEX Schedule'!CA14</f>
        <v>924076974.71975005</v>
      </c>
      <c r="CB12" s="81">
        <f>'CAPEX Schedule'!CB14</f>
        <v>924076974.71975005</v>
      </c>
      <c r="CC12" s="81">
        <f>'CAPEX Schedule'!CC14</f>
        <v>924076974.71975005</v>
      </c>
      <c r="CD12" s="81">
        <f>'CAPEX Schedule'!CD14</f>
        <v>924076974.71975005</v>
      </c>
      <c r="CE12" s="81">
        <f>'CAPEX Schedule'!CE14</f>
        <v>924076974.71975005</v>
      </c>
      <c r="CF12" s="81">
        <f>'CAPEX Schedule'!CF14</f>
        <v>924076974.71975005</v>
      </c>
      <c r="CG12" s="81">
        <f>'CAPEX Schedule'!CG14</f>
        <v>924076974.71975005</v>
      </c>
      <c r="CH12" s="81">
        <f>'CAPEX Schedule'!CH14</f>
        <v>924076974.71975005</v>
      </c>
      <c r="CI12" s="81">
        <f>'CAPEX Schedule'!CI14</f>
        <v>924076974.71975005</v>
      </c>
      <c r="CJ12" s="81">
        <f>'CAPEX Schedule'!CJ14</f>
        <v>924076974.71975005</v>
      </c>
      <c r="CK12" s="81">
        <f>'CAPEX Schedule'!CK14</f>
        <v>924076974.71975005</v>
      </c>
      <c r="CL12" s="81">
        <f>'CAPEX Schedule'!CL14</f>
        <v>924076974.71975005</v>
      </c>
      <c r="CM12" s="81">
        <f>'CAPEX Schedule'!CM14</f>
        <v>924076974.71975005</v>
      </c>
      <c r="CN12" s="81">
        <f>'CAPEX Schedule'!CN14</f>
        <v>924076974.71975005</v>
      </c>
      <c r="CO12" s="81">
        <f>'CAPEX Schedule'!CO14</f>
        <v>924076974.71975005</v>
      </c>
      <c r="CP12" s="81">
        <f>'CAPEX Schedule'!CP14</f>
        <v>924076974.71975005</v>
      </c>
      <c r="CQ12" s="81">
        <f>'CAPEX Schedule'!CQ14</f>
        <v>924076974.71975005</v>
      </c>
      <c r="CR12" s="81">
        <f>'CAPEX Schedule'!CR14</f>
        <v>924076974.71975005</v>
      </c>
      <c r="CS12" s="81">
        <f>'CAPEX Schedule'!CS14</f>
        <v>924076974.71975005</v>
      </c>
      <c r="CT12" s="81">
        <f>'CAPEX Schedule'!CT14</f>
        <v>924076974.71975005</v>
      </c>
      <c r="CU12" s="81">
        <f>'CAPEX Schedule'!CU14</f>
        <v>924076974.71975005</v>
      </c>
      <c r="CV12" s="81">
        <f>'CAPEX Schedule'!CV14</f>
        <v>924076974.71975005</v>
      </c>
      <c r="CW12" s="81">
        <f>'CAPEX Schedule'!CW14</f>
        <v>924076974.71975005</v>
      </c>
      <c r="CX12" s="81">
        <f>'CAPEX Schedule'!CX14</f>
        <v>924076974.71975005</v>
      </c>
      <c r="CY12" s="81">
        <f>'CAPEX Schedule'!CY14</f>
        <v>924076974.71975005</v>
      </c>
      <c r="CZ12" s="81">
        <f>'CAPEX Schedule'!CZ14</f>
        <v>924076974.71975005</v>
      </c>
      <c r="DA12" s="81">
        <f>'CAPEX Schedule'!DA14</f>
        <v>924076974.71975005</v>
      </c>
      <c r="DB12" s="81">
        <f>'CAPEX Schedule'!DB14</f>
        <v>924076974.71975005</v>
      </c>
      <c r="DC12" s="81">
        <f>'CAPEX Schedule'!DC14</f>
        <v>924076974.71975005</v>
      </c>
      <c r="DD12" s="81">
        <f>'CAPEX Schedule'!DD14</f>
        <v>924076974.71975005</v>
      </c>
      <c r="DE12" s="81">
        <f>'CAPEX Schedule'!DE14</f>
        <v>924076974.71975005</v>
      </c>
      <c r="DF12" s="81">
        <f>'CAPEX Schedule'!DF14</f>
        <v>924076974.71975005</v>
      </c>
      <c r="DG12" s="81">
        <f>'CAPEX Schedule'!DG14</f>
        <v>924076974.71975005</v>
      </c>
      <c r="DH12" s="81">
        <f>'CAPEX Schedule'!DH14</f>
        <v>924076974.71975005</v>
      </c>
      <c r="DI12" s="81">
        <f>'CAPEX Schedule'!DI14</f>
        <v>924076974.71975005</v>
      </c>
      <c r="DJ12" s="81">
        <f>'CAPEX Schedule'!DJ14</f>
        <v>924076974.71975005</v>
      </c>
      <c r="DK12" s="81">
        <f>'CAPEX Schedule'!DK14</f>
        <v>924076974.71975005</v>
      </c>
      <c r="DL12" s="81">
        <f>'CAPEX Schedule'!DL14</f>
        <v>924076974.71975005</v>
      </c>
      <c r="DM12" s="81">
        <f>'CAPEX Schedule'!DM14</f>
        <v>924076974.71975005</v>
      </c>
      <c r="DN12" s="81">
        <f>'CAPEX Schedule'!DN14</f>
        <v>924076974.71975005</v>
      </c>
      <c r="DO12" s="81">
        <f>'CAPEX Schedule'!DO14</f>
        <v>924076974.71975005</v>
      </c>
      <c r="DP12" s="81">
        <f>'CAPEX Schedule'!DP14</f>
        <v>924076974.71975005</v>
      </c>
      <c r="DQ12" s="81">
        <f>'CAPEX Schedule'!DQ14</f>
        <v>924076974.71975005</v>
      </c>
      <c r="DR12" s="81">
        <f>'CAPEX Schedule'!DR14</f>
        <v>924076974.71975005</v>
      </c>
      <c r="DS12" s="81">
        <f>'CAPEX Schedule'!DS14</f>
        <v>939076974.71975005</v>
      </c>
      <c r="DT12" s="81">
        <f>'CAPEX Schedule'!DT14</f>
        <v>939076974.71975005</v>
      </c>
      <c r="DU12" s="81">
        <f>'CAPEX Schedule'!DU14</f>
        <v>939076974.71975005</v>
      </c>
      <c r="DV12" s="81">
        <f>'CAPEX Schedule'!DV14</f>
        <v>950076974.71975005</v>
      </c>
      <c r="DW12" s="81">
        <f>'CAPEX Schedule'!DW14</f>
        <v>950076974.71975005</v>
      </c>
      <c r="DX12" s="81">
        <f>'CAPEX Schedule'!DX14</f>
        <v>950076974.71975005</v>
      </c>
      <c r="DY12" s="81">
        <f>'CAPEX Schedule'!DY14</f>
        <v>959076974.71975005</v>
      </c>
      <c r="DZ12" s="81">
        <f>'CAPEX Schedule'!DZ14</f>
        <v>959076974.71975005</v>
      </c>
      <c r="EA12" s="81">
        <f>'CAPEX Schedule'!EA14</f>
        <v>959076974.71975005</v>
      </c>
      <c r="EB12" s="81">
        <f>'CAPEX Schedule'!EB14</f>
        <v>959076974.71975005</v>
      </c>
      <c r="EC12" s="81">
        <f>'CAPEX Schedule'!EC14</f>
        <v>959076974.71975005</v>
      </c>
      <c r="ED12" s="81">
        <f>'CAPEX Schedule'!ED14</f>
        <v>959076974.71975005</v>
      </c>
      <c r="EE12" s="81">
        <f>'CAPEX Schedule'!EE14</f>
        <v>959076974.71975005</v>
      </c>
      <c r="EF12" s="81">
        <f>'CAPEX Schedule'!EF14</f>
        <v>959076974.71975005</v>
      </c>
      <c r="EG12" s="81">
        <f>'CAPEX Schedule'!EG14</f>
        <v>959076974.71975005</v>
      </c>
      <c r="EH12" s="81">
        <f>'CAPEX Schedule'!EH14</f>
        <v>959076974.71975005</v>
      </c>
      <c r="EI12" s="81">
        <f>'CAPEX Schedule'!EI14</f>
        <v>959076974.71975005</v>
      </c>
      <c r="EJ12" s="81">
        <f>'CAPEX Schedule'!EJ14</f>
        <v>959076974.71975005</v>
      </c>
      <c r="EK12" s="81">
        <f>'CAPEX Schedule'!EK14</f>
        <v>964076974.71975005</v>
      </c>
      <c r="EL12" s="81">
        <f>'CAPEX Schedule'!EL14</f>
        <v>964076974.71975005</v>
      </c>
      <c r="EM12" s="81">
        <f>'CAPEX Schedule'!EM14</f>
        <v>964076974.71975005</v>
      </c>
      <c r="EN12" s="81">
        <f>'CAPEX Schedule'!EN14</f>
        <v>964076974.71975005</v>
      </c>
      <c r="EO12" s="81">
        <f>'CAPEX Schedule'!EO14</f>
        <v>964076974.71975005</v>
      </c>
      <c r="EP12" s="81">
        <f>'CAPEX Schedule'!EP14</f>
        <v>974076974.71975005</v>
      </c>
      <c r="EQ12" s="81">
        <f>'CAPEX Schedule'!EQ14</f>
        <v>974076974.71975005</v>
      </c>
      <c r="ER12" s="81">
        <f>'CAPEX Schedule'!ER14</f>
        <v>974076974.71975005</v>
      </c>
      <c r="ES12" s="81">
        <f>'CAPEX Schedule'!ES14</f>
        <v>974076974.71975005</v>
      </c>
      <c r="ET12" s="81">
        <f>'CAPEX Schedule'!ET14</f>
        <v>974076974.71975005</v>
      </c>
      <c r="EU12" s="81">
        <f>'CAPEX Schedule'!EU14</f>
        <v>974076974.71975005</v>
      </c>
      <c r="EV12" s="81">
        <f>'CAPEX Schedule'!EV14</f>
        <v>974076974.71975005</v>
      </c>
      <c r="EW12" s="81">
        <f>'CAPEX Schedule'!EW14</f>
        <v>974076974.71975005</v>
      </c>
      <c r="EX12" s="81">
        <f>'CAPEX Schedule'!EX14</f>
        <v>974076974.71975005</v>
      </c>
      <c r="EY12" s="81">
        <f>'CAPEX Schedule'!EY14</f>
        <v>974076974.71975005</v>
      </c>
      <c r="EZ12" s="81">
        <f>'CAPEX Schedule'!EZ14</f>
        <v>979076974.71975005</v>
      </c>
      <c r="FA12" s="81">
        <f>'CAPEX Schedule'!FA14</f>
        <v>979076974.71975005</v>
      </c>
      <c r="FB12" s="81">
        <f>'CAPEX Schedule'!FB14</f>
        <v>979076974.71975005</v>
      </c>
      <c r="FC12" s="81">
        <f>'CAPEX Schedule'!FC14</f>
        <v>979076974.71975005</v>
      </c>
      <c r="FD12" s="81">
        <f>'CAPEX Schedule'!FD14</f>
        <v>979076974.71975005</v>
      </c>
      <c r="FE12" s="81">
        <f>'CAPEX Schedule'!FE14</f>
        <v>979076974.71975005</v>
      </c>
      <c r="FF12" s="81">
        <f>'CAPEX Schedule'!FF14</f>
        <v>979076974.71975005</v>
      </c>
      <c r="FG12" s="81">
        <f>'CAPEX Schedule'!FG14</f>
        <v>979076974.71975005</v>
      </c>
      <c r="FH12" s="81">
        <f>'CAPEX Schedule'!FH14</f>
        <v>989076974.71975005</v>
      </c>
      <c r="FI12" s="81">
        <f>'CAPEX Schedule'!FI14</f>
        <v>989076974.71975005</v>
      </c>
      <c r="FJ12" s="81">
        <f>'CAPEX Schedule'!FJ14</f>
        <v>989076974.71975005</v>
      </c>
      <c r="FK12" s="81">
        <f>'CAPEX Schedule'!FK14</f>
        <v>989076974.71975005</v>
      </c>
      <c r="FL12" s="81">
        <f>'CAPEX Schedule'!FL14</f>
        <v>989076974.71975005</v>
      </c>
      <c r="FM12" s="81">
        <f>'CAPEX Schedule'!FM14</f>
        <v>989076974.71975005</v>
      </c>
      <c r="FN12" s="81">
        <f>'CAPEX Schedule'!FN14</f>
        <v>989076974.71975005</v>
      </c>
      <c r="FO12" s="81">
        <f>'CAPEX Schedule'!FO14</f>
        <v>989076974.71975005</v>
      </c>
      <c r="FP12" s="81">
        <f>'CAPEX Schedule'!FP14</f>
        <v>989076974.71975005</v>
      </c>
      <c r="FQ12" s="81">
        <f>'CAPEX Schedule'!FQ14</f>
        <v>989076974.71975005</v>
      </c>
      <c r="FR12" s="81">
        <f>'CAPEX Schedule'!FR14</f>
        <v>989076974.71975005</v>
      </c>
      <c r="FS12" s="81">
        <f>'CAPEX Schedule'!FS14</f>
        <v>989076974.71975005</v>
      </c>
      <c r="FT12" s="81">
        <f>'CAPEX Schedule'!FT14</f>
        <v>989076974.71975005</v>
      </c>
      <c r="FU12" s="81">
        <f>'CAPEX Schedule'!FU14</f>
        <v>989076974.71975005</v>
      </c>
      <c r="FV12" s="81">
        <f>'CAPEX Schedule'!FV14</f>
        <v>989076974.71975005</v>
      </c>
      <c r="FW12" s="81">
        <f>'CAPEX Schedule'!FW14</f>
        <v>989076974.71975005</v>
      </c>
      <c r="FX12" s="81">
        <f>'CAPEX Schedule'!FX14</f>
        <v>989076974.71975005</v>
      </c>
      <c r="FY12" s="81">
        <f>'CAPEX Schedule'!FY14</f>
        <v>989076974.71975005</v>
      </c>
      <c r="FZ12" s="81">
        <f>'CAPEX Schedule'!FZ14</f>
        <v>989076974.71975005</v>
      </c>
      <c r="GA12" s="81">
        <f>'CAPEX Schedule'!GA14</f>
        <v>999076974.71975005</v>
      </c>
      <c r="GB12" s="81">
        <f>'CAPEX Schedule'!GB14</f>
        <v>999076974.71975005</v>
      </c>
      <c r="GC12" s="81">
        <f>'CAPEX Schedule'!GC14</f>
        <v>999076974.71975005</v>
      </c>
      <c r="GD12" s="81">
        <f>'CAPEX Schedule'!GD14</f>
        <v>1010076974.71975</v>
      </c>
      <c r="GE12" s="81">
        <f>'CAPEX Schedule'!GE14</f>
        <v>1010076974.71975</v>
      </c>
      <c r="GF12" s="81">
        <f>'CAPEX Schedule'!GF14</f>
        <v>1010076974.71975</v>
      </c>
      <c r="GG12" s="81">
        <f>'CAPEX Schedule'!GG14</f>
        <v>1035646734.71975</v>
      </c>
      <c r="GH12" s="81">
        <f>'CAPEX Schedule'!GH14</f>
        <v>1035646734.71975</v>
      </c>
      <c r="GI12" s="81">
        <f>'CAPEX Schedule'!GI14</f>
        <v>1035646734.71975</v>
      </c>
      <c r="GJ12" s="81">
        <f>'CAPEX Schedule'!GJ14</f>
        <v>1035646734.71975</v>
      </c>
      <c r="GK12" s="81">
        <f>'CAPEX Schedule'!GK14</f>
        <v>1035646734.71975</v>
      </c>
      <c r="GL12" s="81">
        <f>'CAPEX Schedule'!GL14</f>
        <v>1035646734.71975</v>
      </c>
      <c r="GM12" s="81">
        <f>'CAPEX Schedule'!GM14</f>
        <v>1035646734.71975</v>
      </c>
      <c r="GN12" s="81">
        <f>'CAPEX Schedule'!GN14</f>
        <v>1035646734.71975</v>
      </c>
      <c r="GO12" s="81">
        <f>'CAPEX Schedule'!GO14</f>
        <v>1035646734.71975</v>
      </c>
      <c r="GP12" s="81">
        <f>'CAPEX Schedule'!GP14</f>
        <v>1035646734.71975</v>
      </c>
      <c r="GQ12" s="81">
        <f>'CAPEX Schedule'!GQ14</f>
        <v>1035646734.71975</v>
      </c>
      <c r="GR12" s="81">
        <f>'CAPEX Schedule'!GR14</f>
        <v>1035646734.71975</v>
      </c>
      <c r="GS12" s="81">
        <f>'CAPEX Schedule'!GS14</f>
        <v>1035646734.71975</v>
      </c>
      <c r="GT12" s="81">
        <f>'CAPEX Schedule'!GT14</f>
        <v>1035646734.71975</v>
      </c>
      <c r="GU12" s="81">
        <f>'CAPEX Schedule'!GU14</f>
        <v>1035646734.71975</v>
      </c>
      <c r="GV12" s="81">
        <f>'CAPEX Schedule'!GV14</f>
        <v>1035646734.71975</v>
      </c>
      <c r="GW12" s="81">
        <f>'CAPEX Schedule'!GW14</f>
        <v>1035646734.71975</v>
      </c>
      <c r="GX12" s="81">
        <f>'CAPEX Schedule'!GX14</f>
        <v>1035646734.71975</v>
      </c>
      <c r="GY12" s="81">
        <f>'CAPEX Schedule'!GY14</f>
        <v>1035646734.71975</v>
      </c>
      <c r="GZ12" s="81">
        <f>'CAPEX Schedule'!GZ14</f>
        <v>1035646734.71975</v>
      </c>
      <c r="HA12" s="81">
        <f>'CAPEX Schedule'!HA14</f>
        <v>1035646734.71975</v>
      </c>
      <c r="HB12" s="81">
        <f>'CAPEX Schedule'!HB14</f>
        <v>1035646734.71975</v>
      </c>
      <c r="HC12" s="81">
        <f>'CAPEX Schedule'!HC14</f>
        <v>1035646734.71975</v>
      </c>
      <c r="HD12" s="81">
        <f>'CAPEX Schedule'!HD14</f>
        <v>1035646734.71975</v>
      </c>
      <c r="HE12" s="81">
        <f>'CAPEX Schedule'!HE14</f>
        <v>1035646734.71975</v>
      </c>
      <c r="HF12" s="81">
        <f>'CAPEX Schedule'!HF14</f>
        <v>1035646734.71975</v>
      </c>
      <c r="HG12" s="81">
        <f>'CAPEX Schedule'!HG14</f>
        <v>1035646734.71975</v>
      </c>
      <c r="HH12" s="81">
        <f>'CAPEX Schedule'!HH14</f>
        <v>1035646734.71975</v>
      </c>
      <c r="HI12" s="81">
        <f>'CAPEX Schedule'!HI14</f>
        <v>1035646734.71975</v>
      </c>
      <c r="HJ12" s="81">
        <f>'CAPEX Schedule'!HJ14</f>
        <v>1035646734.71975</v>
      </c>
      <c r="HK12" s="81">
        <f>'CAPEX Schedule'!HK14</f>
        <v>1035646734.71975</v>
      </c>
      <c r="HL12" s="81">
        <f>'CAPEX Schedule'!HL14</f>
        <v>1035646734.71975</v>
      </c>
      <c r="HM12" s="81">
        <f>'CAPEX Schedule'!HM14</f>
        <v>1035646734.71975</v>
      </c>
      <c r="HN12" s="81">
        <f>'CAPEX Schedule'!HN14</f>
        <v>1035646734.71975</v>
      </c>
      <c r="HO12" s="81">
        <f>'CAPEX Schedule'!HO14</f>
        <v>1035646734.71975</v>
      </c>
      <c r="HP12" s="81">
        <f>'CAPEX Schedule'!HP14</f>
        <v>1035646734.71975</v>
      </c>
      <c r="HQ12" s="81">
        <f>'CAPEX Schedule'!HQ14</f>
        <v>1035646734.71975</v>
      </c>
      <c r="HR12" s="81">
        <f>'CAPEX Schedule'!HR14</f>
        <v>1035646734.71975</v>
      </c>
      <c r="HS12" s="81">
        <f>'CAPEX Schedule'!HS14</f>
        <v>1035646734.71975</v>
      </c>
      <c r="HT12" s="81">
        <f>'CAPEX Schedule'!HT14</f>
        <v>1035646734.71975</v>
      </c>
      <c r="HU12" s="81">
        <f>'CAPEX Schedule'!HU14</f>
        <v>1035646734.71975</v>
      </c>
      <c r="HV12" s="81">
        <f>'CAPEX Schedule'!HV14</f>
        <v>1035646734.71975</v>
      </c>
      <c r="HW12" s="81">
        <f>'CAPEX Schedule'!HW14</f>
        <v>1035646734.71975</v>
      </c>
      <c r="HX12" s="81">
        <f>'CAPEX Schedule'!HX14</f>
        <v>1035646734.71975</v>
      </c>
      <c r="HY12" s="81">
        <f>'CAPEX Schedule'!HY14</f>
        <v>1035646734.71975</v>
      </c>
      <c r="HZ12" s="81">
        <f>'CAPEX Schedule'!HZ14</f>
        <v>1035646734.71975</v>
      </c>
      <c r="IA12" s="81">
        <f>'CAPEX Schedule'!IA14</f>
        <v>1035646734.71975</v>
      </c>
      <c r="IB12" s="81">
        <f>'CAPEX Schedule'!IB14</f>
        <v>1035646734.71975</v>
      </c>
      <c r="IC12" s="81">
        <f>'CAPEX Schedule'!IC14</f>
        <v>1035646734.71975</v>
      </c>
      <c r="ID12" s="81">
        <f>'CAPEX Schedule'!ID14</f>
        <v>1035646734.71975</v>
      </c>
      <c r="IE12" s="81">
        <f>'CAPEX Schedule'!IE14</f>
        <v>1035646734.71975</v>
      </c>
      <c r="IF12" s="81">
        <f>'CAPEX Schedule'!IF14</f>
        <v>1035646734.71975</v>
      </c>
      <c r="IG12" s="81">
        <f>'CAPEX Schedule'!IG14</f>
        <v>1035646734.71975</v>
      </c>
      <c r="IH12" s="81">
        <f>'CAPEX Schedule'!IH14</f>
        <v>1035646734.71975</v>
      </c>
    </row>
    <row r="13" spans="1:242" ht="14.65" thickBot="1" x14ac:dyDescent="0.5">
      <c r="A13" s="895" t="s">
        <v>283</v>
      </c>
      <c r="B13" s="896"/>
      <c r="C13" s="82">
        <f>'Income Stmt'!C40</f>
        <v>0</v>
      </c>
      <c r="D13" s="82">
        <f>C13+'Income Stmt'!D40</f>
        <v>0</v>
      </c>
      <c r="E13" s="82">
        <f>D13+'Income Stmt'!E40</f>
        <v>0</v>
      </c>
      <c r="F13" s="82">
        <f>E13+'Income Stmt'!F40</f>
        <v>0</v>
      </c>
      <c r="G13" s="82">
        <f>F13+'Income Stmt'!G40</f>
        <v>0</v>
      </c>
      <c r="H13" s="82">
        <f>G13+'Income Stmt'!H40</f>
        <v>0</v>
      </c>
      <c r="I13" s="82">
        <f>H13+'Income Stmt'!I40</f>
        <v>0</v>
      </c>
      <c r="J13" s="82">
        <f>I13+'Income Stmt'!J40</f>
        <v>0</v>
      </c>
      <c r="K13" s="82">
        <f>J13+'Income Stmt'!K40</f>
        <v>0</v>
      </c>
      <c r="L13" s="82">
        <f>K13+'Income Stmt'!L40</f>
        <v>0</v>
      </c>
      <c r="M13" s="82">
        <f>L13+'Income Stmt'!M40</f>
        <v>0</v>
      </c>
      <c r="N13" s="82">
        <f>M13+'Income Stmt'!N40</f>
        <v>0</v>
      </c>
      <c r="O13" s="82">
        <f>N13+'Income Stmt'!O40</f>
        <v>5753592.9706652779</v>
      </c>
      <c r="P13" s="82">
        <f>O13+'Income Stmt'!P40</f>
        <v>11507185.941330556</v>
      </c>
      <c r="Q13" s="82">
        <f>P13+'Income Stmt'!Q40</f>
        <v>17260778.911995836</v>
      </c>
      <c r="R13" s="82">
        <f>Q13+'Income Stmt'!R40</f>
        <v>23014371.882661112</v>
      </c>
      <c r="S13" s="82">
        <f>R13+'Income Stmt'!S40</f>
        <v>28767964.853326388</v>
      </c>
      <c r="T13" s="82">
        <f>S13+'Income Stmt'!T40</f>
        <v>34521557.823991664</v>
      </c>
      <c r="U13" s="82">
        <f>T13+'Income Stmt'!U40</f>
        <v>40275150.79465694</v>
      </c>
      <c r="V13" s="82">
        <f>U13+'Income Stmt'!V40</f>
        <v>46028743.765322216</v>
      </c>
      <c r="W13" s="82">
        <f>V13+'Income Stmt'!W40</f>
        <v>51782336.735987492</v>
      </c>
      <c r="X13" s="82">
        <f>W13+'Income Stmt'!X40</f>
        <v>57535929.706652768</v>
      </c>
      <c r="Y13" s="82">
        <f>X13+'Income Stmt'!Y40</f>
        <v>63289522.677318044</v>
      </c>
      <c r="Z13" s="82">
        <f>Y13+'Income Stmt'!Z40</f>
        <v>69043115.647983328</v>
      </c>
      <c r="AA13" s="82">
        <f>Z13+'Income Stmt'!AA40</f>
        <v>74796708.618648604</v>
      </c>
      <c r="AB13" s="82">
        <f>AA13+'Income Stmt'!AB40</f>
        <v>80550301.58931388</v>
      </c>
      <c r="AC13" s="82">
        <f>AB13+'Income Stmt'!AC40</f>
        <v>86303894.559979156</v>
      </c>
      <c r="AD13" s="82">
        <f>AC13+'Income Stmt'!AD40</f>
        <v>92057487.530644432</v>
      </c>
      <c r="AE13" s="82">
        <f>AD13+'Income Stmt'!AE40</f>
        <v>97811080.501309708</v>
      </c>
      <c r="AF13" s="82">
        <f>AE13+'Income Stmt'!AF40</f>
        <v>103564673.47197498</v>
      </c>
      <c r="AG13" s="82">
        <f>AF13+'Income Stmt'!AG40</f>
        <v>109318266.44264026</v>
      </c>
      <c r="AH13" s="82">
        <f>AG13+'Income Stmt'!AH40</f>
        <v>115071859.41330554</v>
      </c>
      <c r="AI13" s="82">
        <f>AH13+'Income Stmt'!AI40</f>
        <v>120825452.38397081</v>
      </c>
      <c r="AJ13" s="82">
        <f>AI13+'Income Stmt'!AJ40</f>
        <v>126579045.35463609</v>
      </c>
      <c r="AK13" s="82">
        <f>AJ13+'Income Stmt'!AK40</f>
        <v>132332638.32530136</v>
      </c>
      <c r="AL13" s="82">
        <f>AK13+'Income Stmt'!AL40</f>
        <v>138086231.29596666</v>
      </c>
      <c r="AM13" s="82">
        <f>AL13+'Income Stmt'!AM40</f>
        <v>143839824.26663193</v>
      </c>
      <c r="AN13" s="82">
        <f>AM13+'Income Stmt'!AN40</f>
        <v>149593417.23729721</v>
      </c>
      <c r="AO13" s="82">
        <f>AN13+'Income Stmt'!AO40</f>
        <v>155347010.20796248</v>
      </c>
      <c r="AP13" s="82">
        <f>AO13+'Income Stmt'!AP40</f>
        <v>161100603.17862776</v>
      </c>
      <c r="AQ13" s="82">
        <f>AP13+'Income Stmt'!AQ40</f>
        <v>166854196.14929304</v>
      </c>
      <c r="AR13" s="82">
        <f>AQ13+'Income Stmt'!AR40</f>
        <v>172607789.11995831</v>
      </c>
      <c r="AS13" s="82">
        <f>AR13+'Income Stmt'!AS40</f>
        <v>178361382.09062359</v>
      </c>
      <c r="AT13" s="82">
        <f>AS13+'Income Stmt'!AT40</f>
        <v>184114975.06128886</v>
      </c>
      <c r="AU13" s="82">
        <f>AT13+'Income Stmt'!AU40</f>
        <v>189868568.03195414</v>
      </c>
      <c r="AV13" s="82">
        <f>AU13+'Income Stmt'!AV40</f>
        <v>195622161.00261942</v>
      </c>
      <c r="AW13" s="82">
        <f>AV13+'Income Stmt'!AW40</f>
        <v>201375753.97328469</v>
      </c>
      <c r="AX13" s="82">
        <f>AW13+'Income Stmt'!AX40</f>
        <v>207129346.94394997</v>
      </c>
      <c r="AY13" s="82">
        <f>AX13+'Income Stmt'!AY40</f>
        <v>212882939.91461524</v>
      </c>
      <c r="AZ13" s="82">
        <f>AY13+'Income Stmt'!AZ40</f>
        <v>218636532.88528052</v>
      </c>
      <c r="BA13" s="82">
        <f>AZ13+'Income Stmt'!BA40</f>
        <v>224390125.8559458</v>
      </c>
      <c r="BB13" s="82">
        <f>BA13+'Income Stmt'!BB40</f>
        <v>230143718.82661107</v>
      </c>
      <c r="BC13" s="82">
        <f>BB13+'Income Stmt'!BC40</f>
        <v>235897311.79727635</v>
      </c>
      <c r="BD13" s="82">
        <f>BC13+'Income Stmt'!BD40</f>
        <v>241650904.76794162</v>
      </c>
      <c r="BE13" s="82">
        <f>BD13+'Income Stmt'!BE40</f>
        <v>247404497.7386069</v>
      </c>
      <c r="BF13" s="82">
        <f>BE13+'Income Stmt'!BF40</f>
        <v>253158090.70927218</v>
      </c>
      <c r="BG13" s="82">
        <f>BF13+'Income Stmt'!BG40</f>
        <v>258911683.67993745</v>
      </c>
      <c r="BH13" s="82">
        <f>BG13+'Income Stmt'!BH40</f>
        <v>264665276.65060273</v>
      </c>
      <c r="BI13" s="82">
        <f>BH13+'Income Stmt'!BI40</f>
        <v>270418869.62126803</v>
      </c>
      <c r="BJ13" s="82">
        <f>BI13+'Income Stmt'!BJ40</f>
        <v>276172462.59193331</v>
      </c>
      <c r="BK13" s="82">
        <f>BJ13+'Income Stmt'!BK40</f>
        <v>281926055.56259859</v>
      </c>
      <c r="BL13" s="82">
        <f>BK13+'Income Stmt'!BL40</f>
        <v>287679648.53326386</v>
      </c>
      <c r="BM13" s="82">
        <f>BL13+'Income Stmt'!BM40</f>
        <v>293433241.50392914</v>
      </c>
      <c r="BN13" s="82">
        <f>BM13+'Income Stmt'!BN40</f>
        <v>299186834.47459441</v>
      </c>
      <c r="BO13" s="82">
        <f>BN13+'Income Stmt'!BO40</f>
        <v>304940427.44525969</v>
      </c>
      <c r="BP13" s="82">
        <f>BO13+'Income Stmt'!BP40</f>
        <v>310694020.41592497</v>
      </c>
      <c r="BQ13" s="82">
        <f>BP13+'Income Stmt'!BQ40</f>
        <v>316447613.38659024</v>
      </c>
      <c r="BR13" s="82">
        <f>BQ13+'Income Stmt'!BR40</f>
        <v>322201206.35725552</v>
      </c>
      <c r="BS13" s="82">
        <f>BR13+'Income Stmt'!BS40</f>
        <v>327954799.32792079</v>
      </c>
      <c r="BT13" s="82">
        <f>BS13+'Income Stmt'!BT40</f>
        <v>333708392.29858607</v>
      </c>
      <c r="BU13" s="82">
        <f>BT13+'Income Stmt'!BU40</f>
        <v>339461985.26925135</v>
      </c>
      <c r="BV13" s="82">
        <f>BU13+'Income Stmt'!BV40</f>
        <v>345215578.23991662</v>
      </c>
      <c r="BW13" s="82">
        <f>BV13+'Income Stmt'!BW40</f>
        <v>350969171.2105819</v>
      </c>
      <c r="BX13" s="82">
        <f>BW13+'Income Stmt'!BX40</f>
        <v>356722764.18124717</v>
      </c>
      <c r="BY13" s="82">
        <f>BX13+'Income Stmt'!BY40</f>
        <v>362476357.15191245</v>
      </c>
      <c r="BZ13" s="82">
        <f>BY13+'Income Stmt'!BZ40</f>
        <v>368229950.12257773</v>
      </c>
      <c r="CA13" s="82">
        <f>BZ13+'Income Stmt'!CA40</f>
        <v>373983543.093243</v>
      </c>
      <c r="CB13" s="82">
        <f>CA13+'Income Stmt'!CB40</f>
        <v>379737136.06390828</v>
      </c>
      <c r="CC13" s="82">
        <f>CB13+'Income Stmt'!CC40</f>
        <v>385490729.03457355</v>
      </c>
      <c r="CD13" s="82">
        <f>CC13+'Income Stmt'!CD40</f>
        <v>391244322.00523883</v>
      </c>
      <c r="CE13" s="82">
        <f>CD13+'Income Stmt'!CE40</f>
        <v>396997914.97590411</v>
      </c>
      <c r="CF13" s="82">
        <f>CE13+'Income Stmt'!CF40</f>
        <v>402751507.94656938</v>
      </c>
      <c r="CG13" s="82">
        <f>CF13+'Income Stmt'!CG40</f>
        <v>408505100.91723466</v>
      </c>
      <c r="CH13" s="82">
        <f>CG13+'Income Stmt'!CH40</f>
        <v>414258693.88789994</v>
      </c>
      <c r="CI13" s="82">
        <f>CH13+'Income Stmt'!CI40</f>
        <v>420012286.85856521</v>
      </c>
      <c r="CJ13" s="82">
        <f>CI13+'Income Stmt'!CJ40</f>
        <v>425765879.82923049</v>
      </c>
      <c r="CK13" s="82">
        <f>CJ13+'Income Stmt'!CK40</f>
        <v>431519472.79989576</v>
      </c>
      <c r="CL13" s="82">
        <f>CK13+'Income Stmt'!CL40</f>
        <v>437273065.77056104</v>
      </c>
      <c r="CM13" s="82">
        <f>CL13+'Income Stmt'!CM40</f>
        <v>443026658.74122632</v>
      </c>
      <c r="CN13" s="82">
        <f>CM13+'Income Stmt'!CN40</f>
        <v>448780251.71189159</v>
      </c>
      <c r="CO13" s="82">
        <f>CN13+'Income Stmt'!CO40</f>
        <v>454533844.68255687</v>
      </c>
      <c r="CP13" s="82">
        <f>CO13+'Income Stmt'!CP40</f>
        <v>460287437.65322214</v>
      </c>
      <c r="CQ13" s="82">
        <f>CP13+'Income Stmt'!CQ40</f>
        <v>466041030.62388742</v>
      </c>
      <c r="CR13" s="82">
        <f>CQ13+'Income Stmt'!CR40</f>
        <v>471794623.5945527</v>
      </c>
      <c r="CS13" s="82">
        <f>CR13+'Income Stmt'!CS40</f>
        <v>477548216.56521797</v>
      </c>
      <c r="CT13" s="82">
        <f>CS13+'Income Stmt'!CT40</f>
        <v>483301809.53588325</v>
      </c>
      <c r="CU13" s="82">
        <f>CT13+'Income Stmt'!CU40</f>
        <v>489055402.50654852</v>
      </c>
      <c r="CV13" s="82">
        <f>CU13+'Income Stmt'!CV40</f>
        <v>494808995.4772138</v>
      </c>
      <c r="CW13" s="82">
        <f>CV13+'Income Stmt'!CW40</f>
        <v>500562588.44787908</v>
      </c>
      <c r="CX13" s="82">
        <f>CW13+'Income Stmt'!CX40</f>
        <v>506316181.41854435</v>
      </c>
      <c r="CY13" s="82">
        <f>CX13+'Income Stmt'!CY40</f>
        <v>512069774.38920963</v>
      </c>
      <c r="CZ13" s="82">
        <f>CY13+'Income Stmt'!CZ40</f>
        <v>517823367.3598749</v>
      </c>
      <c r="DA13" s="82">
        <f>CZ13+'Income Stmt'!DA40</f>
        <v>523576960.33054018</v>
      </c>
      <c r="DB13" s="82">
        <f>DA13+'Income Stmt'!DB40</f>
        <v>529330553.30120546</v>
      </c>
      <c r="DC13" s="82">
        <f>DB13+'Income Stmt'!DC40</f>
        <v>535084146.27187073</v>
      </c>
      <c r="DD13" s="82">
        <f>DC13+'Income Stmt'!DD40</f>
        <v>540837739.24253607</v>
      </c>
      <c r="DE13" s="82">
        <f>DD13+'Income Stmt'!DE40</f>
        <v>546591332.2132014</v>
      </c>
      <c r="DF13" s="82">
        <f>DE13+'Income Stmt'!DF40</f>
        <v>552344925.18386674</v>
      </c>
      <c r="DG13" s="82">
        <f>DF13+'Income Stmt'!DG40</f>
        <v>558098518.15453207</v>
      </c>
      <c r="DH13" s="82">
        <f>DG13+'Income Stmt'!DH40</f>
        <v>563852111.12519741</v>
      </c>
      <c r="DI13" s="82">
        <f>DH13+'Income Stmt'!DI40</f>
        <v>569605704.09586275</v>
      </c>
      <c r="DJ13" s="82">
        <f>DI13+'Income Stmt'!DJ40</f>
        <v>575359297.06652808</v>
      </c>
      <c r="DK13" s="82">
        <f>DJ13+'Income Stmt'!DK40</f>
        <v>581112890.03719342</v>
      </c>
      <c r="DL13" s="82">
        <f>DK13+'Income Stmt'!DL40</f>
        <v>586866483.00785875</v>
      </c>
      <c r="DM13" s="82">
        <f>DL13+'Income Stmt'!DM40</f>
        <v>592620075.97852409</v>
      </c>
      <c r="DN13" s="82">
        <f>DM13+'Income Stmt'!DN40</f>
        <v>598373668.94918942</v>
      </c>
      <c r="DO13" s="82">
        <f>DN13+'Income Stmt'!DO40</f>
        <v>604127261.91985476</v>
      </c>
      <c r="DP13" s="82">
        <f>DO13+'Income Stmt'!DP40</f>
        <v>609880854.8905201</v>
      </c>
      <c r="DQ13" s="82">
        <f>DP13+'Income Stmt'!DQ40</f>
        <v>615634447.86118543</v>
      </c>
      <c r="DR13" s="82">
        <f>DQ13+'Income Stmt'!DR40</f>
        <v>621388040.83185077</v>
      </c>
      <c r="DS13" s="82">
        <f>DR13+'Income Stmt'!DS40</f>
        <v>627141633.8025161</v>
      </c>
      <c r="DT13" s="82">
        <f>DS13+'Income Stmt'!DT40</f>
        <v>632895226.77318144</v>
      </c>
      <c r="DU13" s="82">
        <f>DT13+'Income Stmt'!DU40</f>
        <v>638648819.74384677</v>
      </c>
      <c r="DV13" s="82">
        <f>DU13+'Income Stmt'!DV40</f>
        <v>644402412.71451211</v>
      </c>
      <c r="DW13" s="82">
        <f>DV13+'Income Stmt'!DW40</f>
        <v>650156005.68517745</v>
      </c>
      <c r="DX13" s="82">
        <f>DW13+'Income Stmt'!DX40</f>
        <v>655909598.65584278</v>
      </c>
      <c r="DY13" s="82">
        <f>DX13+'Income Stmt'!DY40</f>
        <v>661663191.62650812</v>
      </c>
      <c r="DZ13" s="82">
        <f>DY13+'Income Stmt'!DZ40</f>
        <v>667416784.59717345</v>
      </c>
      <c r="EA13" s="82">
        <f>DZ13+'Income Stmt'!EA40</f>
        <v>673170377.56783879</v>
      </c>
      <c r="EB13" s="82">
        <f>EA13+'Income Stmt'!EB40</f>
        <v>678923970.53850412</v>
      </c>
      <c r="EC13" s="82">
        <f>EB13+'Income Stmt'!EC40</f>
        <v>684677563.50916946</v>
      </c>
      <c r="ED13" s="82">
        <f>EC13+'Income Stmt'!ED40</f>
        <v>690431156.47983479</v>
      </c>
      <c r="EE13" s="82">
        <f>ED13+'Income Stmt'!EE40</f>
        <v>696184749.45050013</v>
      </c>
      <c r="EF13" s="82">
        <f>EE13+'Income Stmt'!EF40</f>
        <v>701938342.42116547</v>
      </c>
      <c r="EG13" s="82">
        <f>EF13+'Income Stmt'!EG40</f>
        <v>707691935.3918308</v>
      </c>
      <c r="EH13" s="82">
        <f>EG13+'Income Stmt'!EH40</f>
        <v>713445528.36249614</v>
      </c>
      <c r="EI13" s="82">
        <f>EH13+'Income Stmt'!EI40</f>
        <v>719199121.33316147</v>
      </c>
      <c r="EJ13" s="82">
        <f>EI13+'Income Stmt'!EJ40</f>
        <v>724952714.30382681</v>
      </c>
      <c r="EK13" s="82">
        <f>EJ13+'Income Stmt'!EK40</f>
        <v>730706307.27449214</v>
      </c>
      <c r="EL13" s="82">
        <f>EK13+'Income Stmt'!EL40</f>
        <v>736459900.24515748</v>
      </c>
      <c r="EM13" s="82">
        <f>EL13+'Income Stmt'!EM40</f>
        <v>742213493.21582282</v>
      </c>
      <c r="EN13" s="82">
        <f>EM13+'Income Stmt'!EN40</f>
        <v>747967086.18648815</v>
      </c>
      <c r="EO13" s="82">
        <f>EN13+'Income Stmt'!EO40</f>
        <v>753720679.15715349</v>
      </c>
      <c r="EP13" s="82">
        <f>EO13+'Income Stmt'!EP40</f>
        <v>759474272.12781882</v>
      </c>
      <c r="EQ13" s="82">
        <f>EP13+'Income Stmt'!EQ40</f>
        <v>765227865.09848416</v>
      </c>
      <c r="ER13" s="82">
        <f>EQ13+'Income Stmt'!ER40</f>
        <v>770981458.06914949</v>
      </c>
      <c r="ES13" s="82">
        <f>ER13+'Income Stmt'!ES40</f>
        <v>776735051.03981483</v>
      </c>
      <c r="ET13" s="82">
        <f>ES13+'Income Stmt'!ET40</f>
        <v>782488644.01048017</v>
      </c>
      <c r="EU13" s="82">
        <f>ET13+'Income Stmt'!EU40</f>
        <v>788242236.9811455</v>
      </c>
      <c r="EV13" s="82">
        <f>EU13+'Income Stmt'!EV40</f>
        <v>793995829.95181084</v>
      </c>
      <c r="EW13" s="82">
        <f>EV13+'Income Stmt'!EW40</f>
        <v>799749422.92247617</v>
      </c>
      <c r="EX13" s="82">
        <f>EW13+'Income Stmt'!EX40</f>
        <v>805503015.89314151</v>
      </c>
      <c r="EY13" s="82">
        <f>EX13+'Income Stmt'!EY40</f>
        <v>811256608.86380684</v>
      </c>
      <c r="EZ13" s="82">
        <f>EY13+'Income Stmt'!EZ40</f>
        <v>817010201.83447218</v>
      </c>
      <c r="FA13" s="82">
        <f>EZ13+'Income Stmt'!FA40</f>
        <v>822763794.80513752</v>
      </c>
      <c r="FB13" s="82">
        <f>FA13+'Income Stmt'!FB40</f>
        <v>828517387.77580285</v>
      </c>
      <c r="FC13" s="82">
        <f>FB13+'Income Stmt'!FC40</f>
        <v>834270980.74646819</v>
      </c>
      <c r="FD13" s="82">
        <f>FC13+'Income Stmt'!FD40</f>
        <v>840024573.71713352</v>
      </c>
      <c r="FE13" s="82">
        <f>FD13+'Income Stmt'!FE40</f>
        <v>845778166.68779886</v>
      </c>
      <c r="FF13" s="82">
        <f>FE13+'Income Stmt'!FF40</f>
        <v>851531759.65846419</v>
      </c>
      <c r="FG13" s="82">
        <f>FF13+'Income Stmt'!FG40</f>
        <v>857285352.62912953</v>
      </c>
      <c r="FH13" s="82">
        <f>FG13+'Income Stmt'!FH40</f>
        <v>863038945.59979486</v>
      </c>
      <c r="FI13" s="82">
        <f>FH13+'Income Stmt'!FI40</f>
        <v>868792538.5704602</v>
      </c>
      <c r="FJ13" s="82">
        <f>FI13+'Income Stmt'!FJ40</f>
        <v>874546131.54112554</v>
      </c>
      <c r="FK13" s="82">
        <f>FJ13+'Income Stmt'!FK40</f>
        <v>880299724.51179087</v>
      </c>
      <c r="FL13" s="82">
        <f>FK13+'Income Stmt'!FL40</f>
        <v>886053317.48245621</v>
      </c>
      <c r="FM13" s="82">
        <f>FL13+'Income Stmt'!FM40</f>
        <v>891806910.45312154</v>
      </c>
      <c r="FN13" s="82">
        <f>FM13+'Income Stmt'!FN40</f>
        <v>897560503.42378688</v>
      </c>
      <c r="FO13" s="82">
        <f>FN13+'Income Stmt'!FO40</f>
        <v>903314096.39445221</v>
      </c>
      <c r="FP13" s="82">
        <f>FO13+'Income Stmt'!FP40</f>
        <v>909067689.36511755</v>
      </c>
      <c r="FQ13" s="82">
        <f>FP13+'Income Stmt'!FQ40</f>
        <v>914821282.33578289</v>
      </c>
      <c r="FR13" s="82">
        <f>FQ13+'Income Stmt'!FR40</f>
        <v>920574875.30644822</v>
      </c>
      <c r="FS13" s="82">
        <f>FR13+'Income Stmt'!FS40</f>
        <v>926328468.27711356</v>
      </c>
      <c r="FT13" s="82">
        <f>FS13+'Income Stmt'!FT40</f>
        <v>932082061.24777889</v>
      </c>
      <c r="FU13" s="82">
        <f>FT13+'Income Stmt'!FU40</f>
        <v>937835654.21844423</v>
      </c>
      <c r="FV13" s="82">
        <f>FU13+'Income Stmt'!FV40</f>
        <v>943589247.18910956</v>
      </c>
      <c r="FW13" s="82">
        <f>FV13+'Income Stmt'!FW40</f>
        <v>949342840.1597749</v>
      </c>
      <c r="FX13" s="82">
        <f>FW13+'Income Stmt'!FX40</f>
        <v>955096433.13044024</v>
      </c>
      <c r="FY13" s="82">
        <f>FX13+'Income Stmt'!FY40</f>
        <v>960850026.10110557</v>
      </c>
      <c r="FZ13" s="82">
        <f>FY13+'Income Stmt'!FZ40</f>
        <v>966603619.07177091</v>
      </c>
      <c r="GA13" s="82">
        <f>FZ13+'Income Stmt'!GA40</f>
        <v>972357212.04243624</v>
      </c>
      <c r="GB13" s="82">
        <f>GA13+'Income Stmt'!GB40</f>
        <v>978110805.01310158</v>
      </c>
      <c r="GC13" s="82">
        <f>GB13+'Income Stmt'!GC40</f>
        <v>983864397.98376691</v>
      </c>
      <c r="GD13" s="82">
        <f>GC13+'Income Stmt'!GD40</f>
        <v>989617990.95443225</v>
      </c>
      <c r="GE13" s="82">
        <f>GD13+'Income Stmt'!GE40</f>
        <v>995371583.92509758</v>
      </c>
      <c r="GF13" s="82">
        <f>GE13+'Income Stmt'!GF40</f>
        <v>1001125176.8957629</v>
      </c>
      <c r="GG13" s="82">
        <f>GF13+'Income Stmt'!GG40</f>
        <v>1006878769.8664283</v>
      </c>
      <c r="GH13" s="82">
        <f>GG13+'Income Stmt'!GH40</f>
        <v>1012632362.8370936</v>
      </c>
      <c r="GI13" s="82">
        <f>GH13+'Income Stmt'!GI40</f>
        <v>1018385955.8077589</v>
      </c>
      <c r="GJ13" s="82">
        <f>GI13+'Income Stmt'!GJ40</f>
        <v>1024139548.7784243</v>
      </c>
      <c r="GK13" s="82">
        <f>GJ13+'Income Stmt'!GK40</f>
        <v>1029893141.7490896</v>
      </c>
      <c r="GL13" s="82">
        <f>GK13+'Income Stmt'!GL40</f>
        <v>1035646734.7197549</v>
      </c>
      <c r="GM13" s="82">
        <f>GL13+'Income Stmt'!GM40</f>
        <v>1035646734.7197549</v>
      </c>
      <c r="GN13" s="82">
        <f>GM13+'Income Stmt'!GN40</f>
        <v>1035646734.7197549</v>
      </c>
      <c r="GO13" s="82">
        <f>GN13+'Income Stmt'!GO40</f>
        <v>1035646734.7197549</v>
      </c>
      <c r="GP13" s="82">
        <f>GO13+'Income Stmt'!GP40</f>
        <v>1035646734.7197549</v>
      </c>
      <c r="GQ13" s="82">
        <f>GP13+'Income Stmt'!GQ40</f>
        <v>1035646734.7197549</v>
      </c>
      <c r="GR13" s="82">
        <f>GQ13+'Income Stmt'!GR40</f>
        <v>1035646734.7197549</v>
      </c>
      <c r="GS13" s="82">
        <f>GR13+'Income Stmt'!GS40</f>
        <v>1035646734.7197549</v>
      </c>
      <c r="GT13" s="82">
        <f>GS13+'Income Stmt'!GT40</f>
        <v>1035646734.7197549</v>
      </c>
      <c r="GU13" s="82">
        <f>GT13+'Income Stmt'!GU40</f>
        <v>1035646734.7197549</v>
      </c>
      <c r="GV13" s="82">
        <f>GU13+'Income Stmt'!GV40</f>
        <v>1035646734.7197549</v>
      </c>
      <c r="GW13" s="82">
        <f>GV13+'Income Stmt'!GW40</f>
        <v>1035646734.7197549</v>
      </c>
      <c r="GX13" s="82">
        <f>GW13+'Income Stmt'!GX40</f>
        <v>1035646734.7197549</v>
      </c>
      <c r="GY13" s="82">
        <f>GX13+'Income Stmt'!GY40</f>
        <v>1035646734.7197549</v>
      </c>
      <c r="GZ13" s="82">
        <f>GY13+'Income Stmt'!GZ40</f>
        <v>1035646734.7197549</v>
      </c>
      <c r="HA13" s="82">
        <f>GZ13+'Income Stmt'!HA40</f>
        <v>1035646734.7197549</v>
      </c>
      <c r="HB13" s="82">
        <f>HA13+'Income Stmt'!HB40</f>
        <v>1035646734.7197549</v>
      </c>
      <c r="HC13" s="82">
        <f>HB13+'Income Stmt'!HC40</f>
        <v>1035646734.7197549</v>
      </c>
      <c r="HD13" s="82">
        <f>HC13+'Income Stmt'!HD40</f>
        <v>1035646734.7197549</v>
      </c>
      <c r="HE13" s="82">
        <f>HD13+'Income Stmt'!HE40</f>
        <v>1035646734.7197549</v>
      </c>
      <c r="HF13" s="82">
        <f>HE13+'Income Stmt'!HF40</f>
        <v>1035646734.7197549</v>
      </c>
      <c r="HG13" s="82">
        <f>HF13+'Income Stmt'!HG40</f>
        <v>1035646734.7197549</v>
      </c>
      <c r="HH13" s="82">
        <f>HG13+'Income Stmt'!HH40</f>
        <v>1035646734.7197549</v>
      </c>
      <c r="HI13" s="82">
        <f>HH13+'Income Stmt'!HI40</f>
        <v>1035646734.7197549</v>
      </c>
      <c r="HJ13" s="82">
        <f>HI13+'Income Stmt'!HJ40</f>
        <v>1035646734.7197549</v>
      </c>
      <c r="HK13" s="82">
        <f>HJ13+'Income Stmt'!HK40</f>
        <v>1035646734.7197549</v>
      </c>
      <c r="HL13" s="82">
        <f>HK13+'Income Stmt'!HL40</f>
        <v>1035646734.7197549</v>
      </c>
      <c r="HM13" s="82">
        <f>HL13+'Income Stmt'!HM40</f>
        <v>1035646734.7197549</v>
      </c>
      <c r="HN13" s="82">
        <f>HM13+'Income Stmt'!HN40</f>
        <v>1035646734.7197549</v>
      </c>
      <c r="HO13" s="82">
        <f>HN13+'Income Stmt'!HO40</f>
        <v>1035646734.7197549</v>
      </c>
      <c r="HP13" s="82">
        <f>HO13+'Income Stmt'!HP40</f>
        <v>1035646734.7197549</v>
      </c>
      <c r="HQ13" s="82">
        <f>HP13+'Income Stmt'!HQ40</f>
        <v>1035646734.7197549</v>
      </c>
      <c r="HR13" s="82">
        <f>HQ13+'Income Stmt'!HR40</f>
        <v>1035646734.7197549</v>
      </c>
      <c r="HS13" s="82">
        <f>HR13+'Income Stmt'!HS40</f>
        <v>1035646734.7197549</v>
      </c>
      <c r="HT13" s="82">
        <f>HS13+'Income Stmt'!HT40</f>
        <v>1035646734.7197549</v>
      </c>
      <c r="HU13" s="82">
        <f>HT13+'Income Stmt'!HU40</f>
        <v>1035646734.7197549</v>
      </c>
      <c r="HV13" s="82">
        <f>HU13+'Income Stmt'!HV40</f>
        <v>1035646734.7197549</v>
      </c>
      <c r="HW13" s="82">
        <f>HV13+'Income Stmt'!HW40</f>
        <v>1035646734.7197549</v>
      </c>
      <c r="HX13" s="82">
        <f>HW13+'Income Stmt'!HX40</f>
        <v>1035646734.7197549</v>
      </c>
      <c r="HY13" s="82">
        <f>HX13+'Income Stmt'!HY40</f>
        <v>1035646734.7197549</v>
      </c>
      <c r="HZ13" s="82">
        <f>HY13+'Income Stmt'!HZ40</f>
        <v>1035646734.7197549</v>
      </c>
      <c r="IA13" s="82">
        <f>HZ13+'Income Stmt'!IA40</f>
        <v>1035646734.7197549</v>
      </c>
      <c r="IB13" s="82">
        <f>IA13+'Income Stmt'!IB40</f>
        <v>1035646734.7197549</v>
      </c>
      <c r="IC13" s="82">
        <f>IB13+'Income Stmt'!IC40</f>
        <v>1035646734.7197549</v>
      </c>
      <c r="ID13" s="82">
        <f>IC13+'Income Stmt'!ID40</f>
        <v>1035646734.7197549</v>
      </c>
      <c r="IE13" s="82">
        <f>ID13+'Income Stmt'!IE40</f>
        <v>1035646734.7197549</v>
      </c>
      <c r="IF13" s="82">
        <f>IE13+'Income Stmt'!IF40</f>
        <v>1035646734.7197549</v>
      </c>
      <c r="IG13" s="82">
        <f>IF13+'Income Stmt'!IG40</f>
        <v>1035646734.7197549</v>
      </c>
      <c r="IH13" s="82">
        <f>IG13+'Income Stmt'!IH40</f>
        <v>1035646734.7197549</v>
      </c>
    </row>
    <row r="14" spans="1:242" ht="15" thickTop="1" thickBot="1" x14ac:dyDescent="0.5">
      <c r="A14" s="895"/>
      <c r="B14" s="896"/>
      <c r="C14" s="85">
        <f>C12-C13</f>
        <v>226019243.67993751</v>
      </c>
      <c r="D14" s="85">
        <f t="shared" ref="D14" si="5">D12-D13</f>
        <v>226019243.67993751</v>
      </c>
      <c r="E14" s="85">
        <f t="shared" ref="E14" si="6">E12-E13</f>
        <v>226019243.67993751</v>
      </c>
      <c r="F14" s="85">
        <f t="shared" ref="F14" si="7">F12-F13</f>
        <v>226019243.67993751</v>
      </c>
      <c r="G14" s="85">
        <f t="shared" ref="G14" si="8">G12-G13</f>
        <v>226019243.67993751</v>
      </c>
      <c r="H14" s="85">
        <f t="shared" ref="H14" si="9">H12-H13</f>
        <v>226019243.67993751</v>
      </c>
      <c r="I14" s="85">
        <f t="shared" ref="I14" si="10">I12-I13</f>
        <v>316426941.15191251</v>
      </c>
      <c r="J14" s="85">
        <f t="shared" ref="J14" si="11">J12-J13</f>
        <v>361630789.88789999</v>
      </c>
      <c r="K14" s="85">
        <f t="shared" ref="K14" si="12">K12-K13</f>
        <v>361630789.88789999</v>
      </c>
      <c r="L14" s="85">
        <f t="shared" ref="L14" si="13">L12-L13</f>
        <v>406834638.62388748</v>
      </c>
      <c r="M14" s="85">
        <f t="shared" ref="M14" si="14">M12-M13</f>
        <v>406834638.62388748</v>
      </c>
      <c r="N14" s="85">
        <f t="shared" ref="N14" si="15">N12-N13</f>
        <v>452038487.35987496</v>
      </c>
      <c r="O14" s="85">
        <f t="shared" ref="O14" si="16">O12-O13</f>
        <v>672304138.06914711</v>
      </c>
      <c r="P14" s="85">
        <f t="shared" ref="P14" si="17">P12-P13</f>
        <v>666550545.09848189</v>
      </c>
      <c r="Q14" s="85">
        <f t="shared" ref="Q14" si="18">Q12-Q13</f>
        <v>660796952.12781656</v>
      </c>
      <c r="R14" s="85">
        <f t="shared" ref="R14" si="19">R12-R13</f>
        <v>655043359.15715134</v>
      </c>
      <c r="S14" s="85">
        <f t="shared" ref="S14" si="20">S12-S13</f>
        <v>649289766.18648601</v>
      </c>
      <c r="T14" s="85">
        <f t="shared" ref="T14" si="21">T12-T13</f>
        <v>643536173.21582079</v>
      </c>
      <c r="U14" s="85">
        <f t="shared" ref="U14" si="22">U12-U13</f>
        <v>728190277.71713042</v>
      </c>
      <c r="V14" s="85">
        <f t="shared" ref="V14" si="23">V12-V13</f>
        <v>722436684.74646521</v>
      </c>
      <c r="W14" s="85">
        <f t="shared" ref="W14" si="24">W12-W13</f>
        <v>761886940.51178741</v>
      </c>
      <c r="X14" s="85">
        <f t="shared" ref="X14" si="25">X12-X13</f>
        <v>801337196.27710974</v>
      </c>
      <c r="Y14" s="85">
        <f t="shared" ref="Y14" si="26">Y12-Y13</f>
        <v>795583603.30644441</v>
      </c>
      <c r="Z14" s="85">
        <f t="shared" ref="Z14" si="27">Z12-Z13</f>
        <v>835033859.07176673</v>
      </c>
      <c r="AA14" s="85">
        <f t="shared" ref="AA14" si="28">AA12-AA13</f>
        <v>829280266.1011014</v>
      </c>
      <c r="AB14" s="85">
        <f t="shared" ref="AB14" si="29">AB12-AB13</f>
        <v>823526673.13043618</v>
      </c>
      <c r="AC14" s="85">
        <f t="shared" ref="AC14" si="30">AC12-AC13</f>
        <v>817773080.15977085</v>
      </c>
      <c r="AD14" s="85">
        <f t="shared" ref="AD14" si="31">AD12-AD13</f>
        <v>812019487.18910563</v>
      </c>
      <c r="AE14" s="85">
        <f t="shared" ref="AE14" si="32">AE12-AE13</f>
        <v>806265894.21844029</v>
      </c>
      <c r="AF14" s="85">
        <f t="shared" ref="AF14" si="33">AF12-AF13</f>
        <v>800512301.24777508</v>
      </c>
      <c r="AG14" s="85">
        <f t="shared" ref="AG14" si="34">AG12-AG13</f>
        <v>794758708.27710974</v>
      </c>
      <c r="AH14" s="85">
        <f t="shared" ref="AH14" si="35">AH12-AH13</f>
        <v>789005115.30644453</v>
      </c>
      <c r="AI14" s="85">
        <f t="shared" ref="AI14" si="36">AI12-AI13</f>
        <v>783251522.33577919</v>
      </c>
      <c r="AJ14" s="85">
        <f t="shared" ref="AJ14" si="37">AJ12-AJ13</f>
        <v>777497929.36511397</v>
      </c>
      <c r="AK14" s="85">
        <f t="shared" ref="AK14" si="38">AK12-AK13</f>
        <v>771744336.39444864</v>
      </c>
      <c r="AL14" s="85">
        <f t="shared" ref="AL14" si="39">AL12-AL13</f>
        <v>765990743.42378342</v>
      </c>
      <c r="AM14" s="85">
        <f t="shared" ref="AM14" si="40">AM12-AM13</f>
        <v>760237150.45311809</v>
      </c>
      <c r="AN14" s="85">
        <f t="shared" ref="AN14" si="41">AN12-AN13</f>
        <v>754483557.48245287</v>
      </c>
      <c r="AO14" s="85">
        <f t="shared" ref="AO14" si="42">AO12-AO13</f>
        <v>748729964.51178753</v>
      </c>
      <c r="AP14" s="85">
        <f t="shared" ref="AP14" si="43">AP12-AP13</f>
        <v>742976371.54112232</v>
      </c>
      <c r="AQ14" s="85">
        <f t="shared" ref="AQ14" si="44">AQ12-AQ13</f>
        <v>737222778.57045698</v>
      </c>
      <c r="AR14" s="85">
        <f t="shared" ref="AR14" si="45">AR12-AR13</f>
        <v>731469185.59979177</v>
      </c>
      <c r="AS14" s="85">
        <f t="shared" ref="AS14" si="46">AS12-AS13</f>
        <v>725715592.62912643</v>
      </c>
      <c r="AT14" s="85">
        <f t="shared" ref="AT14" si="47">AT12-AT13</f>
        <v>719961999.65846121</v>
      </c>
      <c r="AU14" s="85">
        <f t="shared" ref="AU14" si="48">AU12-AU13</f>
        <v>714208406.68779588</v>
      </c>
      <c r="AV14" s="85">
        <f t="shared" ref="AV14" si="49">AV12-AV13</f>
        <v>708454813.71713066</v>
      </c>
      <c r="AW14" s="85">
        <f t="shared" ref="AW14" si="50">AW12-AW13</f>
        <v>702701220.74646533</v>
      </c>
      <c r="AX14" s="85">
        <f t="shared" ref="AX14" si="51">AX12-AX13</f>
        <v>696947627.77580011</v>
      </c>
      <c r="AY14" s="85">
        <f t="shared" ref="AY14" si="52">AY12-AY13</f>
        <v>691194034.80513477</v>
      </c>
      <c r="AZ14" s="85">
        <f t="shared" ref="AZ14" si="53">AZ12-AZ13</f>
        <v>685440441.83446956</v>
      </c>
      <c r="BA14" s="85">
        <f t="shared" ref="BA14" si="54">BA12-BA13</f>
        <v>679686848.86380422</v>
      </c>
      <c r="BB14" s="85">
        <f t="shared" ref="BB14" si="55">BB12-BB13</f>
        <v>673933255.893139</v>
      </c>
      <c r="BC14" s="85">
        <f t="shared" ref="BC14" si="56">BC12-BC13</f>
        <v>668179662.92247367</v>
      </c>
      <c r="BD14" s="85">
        <f t="shared" ref="BD14" si="57">BD12-BD13</f>
        <v>662426069.95180845</v>
      </c>
      <c r="BE14" s="85">
        <f t="shared" ref="BE14" si="58">BE12-BE13</f>
        <v>656672476.98114312</v>
      </c>
      <c r="BF14" s="85">
        <f t="shared" ref="BF14" si="59">BF12-BF13</f>
        <v>650918884.0104779</v>
      </c>
      <c r="BG14" s="85">
        <f t="shared" ref="BG14" si="60">BG12-BG13</f>
        <v>645165291.03981256</v>
      </c>
      <c r="BH14" s="85">
        <f t="shared" ref="BH14" si="61">BH12-BH13</f>
        <v>639411698.06914735</v>
      </c>
      <c r="BI14" s="85">
        <f t="shared" ref="BI14" si="62">BI12-BI13</f>
        <v>633658105.09848201</v>
      </c>
      <c r="BJ14" s="85">
        <f t="shared" ref="BJ14" si="63">BJ12-BJ13</f>
        <v>627904512.12781668</v>
      </c>
      <c r="BK14" s="85">
        <f t="shared" ref="BK14" si="64">BK12-BK13</f>
        <v>632150919.15715146</v>
      </c>
      <c r="BL14" s="85">
        <f t="shared" ref="BL14" si="65">BL12-BL13</f>
        <v>626397326.18648624</v>
      </c>
      <c r="BM14" s="85">
        <f t="shared" ref="BM14" si="66">BM12-BM13</f>
        <v>620643733.21582091</v>
      </c>
      <c r="BN14" s="85">
        <f t="shared" ref="BN14" si="67">BN12-BN13</f>
        <v>620890140.24515557</v>
      </c>
      <c r="BO14" s="85">
        <f t="shared" ref="BO14" si="68">BO12-BO13</f>
        <v>615136547.27449036</v>
      </c>
      <c r="BP14" s="85">
        <f t="shared" ref="BP14" si="69">BP12-BP13</f>
        <v>609382954.30382514</v>
      </c>
      <c r="BQ14" s="85">
        <f t="shared" ref="BQ14" si="70">BQ12-BQ13</f>
        <v>607629361.3331598</v>
      </c>
      <c r="BR14" s="85">
        <f t="shared" ref="BR14" si="71">BR12-BR13</f>
        <v>601875768.36249447</v>
      </c>
      <c r="BS14" s="85">
        <f t="shared" ref="BS14" si="72">BS12-BS13</f>
        <v>596122175.39182925</v>
      </c>
      <c r="BT14" s="85">
        <f t="shared" ref="BT14" si="73">BT12-BT13</f>
        <v>590368582.42116404</v>
      </c>
      <c r="BU14" s="85">
        <f t="shared" ref="BU14" si="74">BU12-BU13</f>
        <v>584614989.4504987</v>
      </c>
      <c r="BV14" s="85">
        <f t="shared" ref="BV14" si="75">BV12-BV13</f>
        <v>578861396.47983336</v>
      </c>
      <c r="BW14" s="85">
        <f t="shared" ref="BW14" si="76">BW12-BW13</f>
        <v>573107803.50916815</v>
      </c>
      <c r="BX14" s="85">
        <f t="shared" ref="BX14" si="77">BX12-BX13</f>
        <v>567354210.53850293</v>
      </c>
      <c r="BY14" s="85">
        <f t="shared" ref="BY14" si="78">BY12-BY13</f>
        <v>561600617.5678376</v>
      </c>
      <c r="BZ14" s="85">
        <f t="shared" ref="BZ14" si="79">BZ12-BZ13</f>
        <v>555847024.59717226</v>
      </c>
      <c r="CA14" s="85">
        <f t="shared" ref="CA14" si="80">CA12-CA13</f>
        <v>550093431.62650704</v>
      </c>
      <c r="CB14" s="85">
        <f t="shared" ref="CB14" si="81">CB12-CB13</f>
        <v>544339838.65584183</v>
      </c>
      <c r="CC14" s="85">
        <f t="shared" ref="CC14" si="82">CC12-CC13</f>
        <v>538586245.68517649</v>
      </c>
      <c r="CD14" s="85">
        <f t="shared" ref="CD14" si="83">CD12-CD13</f>
        <v>532832652.71451122</v>
      </c>
      <c r="CE14" s="85">
        <f t="shared" ref="CE14" si="84">CE12-CE13</f>
        <v>527079059.74384594</v>
      </c>
      <c r="CF14" s="85">
        <f t="shared" ref="CF14" si="85">CF12-CF13</f>
        <v>521325466.77318066</v>
      </c>
      <c r="CG14" s="85">
        <f t="shared" ref="CG14" si="86">CG12-CG13</f>
        <v>515571873.80251539</v>
      </c>
      <c r="CH14" s="85">
        <f t="shared" ref="CH14" si="87">CH12-CH13</f>
        <v>509818280.83185011</v>
      </c>
      <c r="CI14" s="85">
        <f t="shared" ref="CI14" si="88">CI12-CI13</f>
        <v>504064687.86118484</v>
      </c>
      <c r="CJ14" s="85">
        <f t="shared" ref="CJ14" si="89">CJ12-CJ13</f>
        <v>498311094.89051956</v>
      </c>
      <c r="CK14" s="85">
        <f t="shared" ref="CK14" si="90">CK12-CK13</f>
        <v>492557501.91985428</v>
      </c>
      <c r="CL14" s="85">
        <f t="shared" ref="CL14" si="91">CL12-CL13</f>
        <v>486803908.94918901</v>
      </c>
      <c r="CM14" s="85">
        <f t="shared" ref="CM14" si="92">CM12-CM13</f>
        <v>481050315.97852373</v>
      </c>
      <c r="CN14" s="85">
        <f t="shared" ref="CN14" si="93">CN12-CN13</f>
        <v>475296723.00785846</v>
      </c>
      <c r="CO14" s="85">
        <f t="shared" ref="CO14" si="94">CO12-CO13</f>
        <v>469543130.03719318</v>
      </c>
      <c r="CP14" s="85">
        <f t="shared" ref="CP14" si="95">CP12-CP13</f>
        <v>463789537.0665279</v>
      </c>
      <c r="CQ14" s="85">
        <f t="shared" ref="CQ14" si="96">CQ12-CQ13</f>
        <v>458035944.09586263</v>
      </c>
      <c r="CR14" s="85">
        <f t="shared" ref="CR14" si="97">CR12-CR13</f>
        <v>452282351.12519735</v>
      </c>
      <c r="CS14" s="85">
        <f t="shared" ref="CS14" si="98">CS12-CS13</f>
        <v>446528758.15453207</v>
      </c>
      <c r="CT14" s="85">
        <f t="shared" ref="CT14" si="99">CT12-CT13</f>
        <v>440775165.1838668</v>
      </c>
      <c r="CU14" s="85">
        <f t="shared" ref="CU14" si="100">CU12-CU13</f>
        <v>435021572.21320152</v>
      </c>
      <c r="CV14" s="85">
        <f t="shared" ref="CV14" si="101">CV12-CV13</f>
        <v>429267979.24253625</v>
      </c>
      <c r="CW14" s="85">
        <f t="shared" ref="CW14" si="102">CW12-CW13</f>
        <v>423514386.27187097</v>
      </c>
      <c r="CX14" s="85">
        <f t="shared" ref="CX14" si="103">CX12-CX13</f>
        <v>417760793.30120569</v>
      </c>
      <c r="CY14" s="85">
        <f t="shared" ref="CY14" si="104">CY12-CY13</f>
        <v>412007200.33054042</v>
      </c>
      <c r="CZ14" s="85">
        <f t="shared" ref="CZ14" si="105">CZ12-CZ13</f>
        <v>406253607.35987514</v>
      </c>
      <c r="DA14" s="85">
        <f t="shared" ref="DA14" si="106">DA12-DA13</f>
        <v>400500014.38920987</v>
      </c>
      <c r="DB14" s="85">
        <f t="shared" ref="DB14" si="107">DB12-DB13</f>
        <v>394746421.41854459</v>
      </c>
      <c r="DC14" s="85">
        <f t="shared" ref="DC14" si="108">DC12-DC13</f>
        <v>388992828.44787931</v>
      </c>
      <c r="DD14" s="85">
        <f t="shared" ref="DD14" si="109">DD12-DD13</f>
        <v>383239235.47721398</v>
      </c>
      <c r="DE14" s="85">
        <f t="shared" ref="DE14" si="110">DE12-DE13</f>
        <v>377485642.50654864</v>
      </c>
      <c r="DF14" s="85">
        <f t="shared" ref="DF14" si="111">DF12-DF13</f>
        <v>371732049.53588331</v>
      </c>
      <c r="DG14" s="85">
        <f t="shared" ref="DG14" si="112">DG12-DG13</f>
        <v>365978456.56521797</v>
      </c>
      <c r="DH14" s="85">
        <f t="shared" ref="DH14" si="113">DH12-DH13</f>
        <v>360224863.59455264</v>
      </c>
      <c r="DI14" s="85">
        <f t="shared" ref="DI14" si="114">DI12-DI13</f>
        <v>354471270.6238873</v>
      </c>
      <c r="DJ14" s="85">
        <f t="shared" ref="DJ14" si="115">DJ12-DJ13</f>
        <v>348717677.65322196</v>
      </c>
      <c r="DK14" s="85">
        <f t="shared" ref="DK14" si="116">DK12-DK13</f>
        <v>342964084.68255663</v>
      </c>
      <c r="DL14" s="85">
        <f t="shared" ref="DL14" si="117">DL12-DL13</f>
        <v>337210491.71189129</v>
      </c>
      <c r="DM14" s="85">
        <f t="shared" ref="DM14" si="118">DM12-DM13</f>
        <v>331456898.74122596</v>
      </c>
      <c r="DN14" s="85">
        <f t="shared" ref="DN14" si="119">DN12-DN13</f>
        <v>325703305.77056062</v>
      </c>
      <c r="DO14" s="85">
        <f t="shared" ref="DO14" si="120">DO12-DO13</f>
        <v>319949712.79989529</v>
      </c>
      <c r="DP14" s="85">
        <f t="shared" ref="DP14" si="121">DP12-DP13</f>
        <v>314196119.82922995</v>
      </c>
      <c r="DQ14" s="85">
        <f t="shared" ref="DQ14" si="122">DQ12-DQ13</f>
        <v>308442526.85856462</v>
      </c>
      <c r="DR14" s="85">
        <f t="shared" ref="DR14" si="123">DR12-DR13</f>
        <v>302688933.88789928</v>
      </c>
      <c r="DS14" s="85">
        <f t="shared" ref="DS14" si="124">DS12-DS13</f>
        <v>311935340.91723394</v>
      </c>
      <c r="DT14" s="85">
        <f t="shared" ref="DT14" si="125">DT12-DT13</f>
        <v>306181747.94656861</v>
      </c>
      <c r="DU14" s="85">
        <f t="shared" ref="DU14" si="126">DU12-DU13</f>
        <v>300428154.97590327</v>
      </c>
      <c r="DV14" s="85">
        <f t="shared" ref="DV14" si="127">DV12-DV13</f>
        <v>305674562.00523794</v>
      </c>
      <c r="DW14" s="85">
        <f t="shared" ref="DW14" si="128">DW12-DW13</f>
        <v>299920969.0345726</v>
      </c>
      <c r="DX14" s="85">
        <f t="shared" ref="DX14" si="129">DX12-DX13</f>
        <v>294167376.06390727</v>
      </c>
      <c r="DY14" s="85">
        <f t="shared" ref="DY14" si="130">DY12-DY13</f>
        <v>297413783.09324193</v>
      </c>
      <c r="DZ14" s="85">
        <f t="shared" ref="DZ14" si="131">DZ12-DZ13</f>
        <v>291660190.12257659</v>
      </c>
      <c r="EA14" s="85">
        <f t="shared" ref="EA14" si="132">EA12-EA13</f>
        <v>285906597.15191126</v>
      </c>
      <c r="EB14" s="85">
        <f t="shared" ref="EB14" si="133">EB12-EB13</f>
        <v>280153004.18124592</v>
      </c>
      <c r="EC14" s="85">
        <f t="shared" ref="EC14" si="134">EC12-EC13</f>
        <v>274399411.21058059</v>
      </c>
      <c r="ED14" s="85">
        <f t="shared" ref="ED14" si="135">ED12-ED13</f>
        <v>268645818.23991525</v>
      </c>
      <c r="EE14" s="85">
        <f t="shared" ref="EE14" si="136">EE12-EE13</f>
        <v>262892225.26924992</v>
      </c>
      <c r="EF14" s="85">
        <f t="shared" ref="EF14" si="137">EF12-EF13</f>
        <v>257138632.29858458</v>
      </c>
      <c r="EG14" s="85">
        <f t="shared" ref="EG14" si="138">EG12-EG13</f>
        <v>251385039.32791924</v>
      </c>
      <c r="EH14" s="85">
        <f t="shared" ref="EH14" si="139">EH12-EH13</f>
        <v>245631446.35725391</v>
      </c>
      <c r="EI14" s="85">
        <f t="shared" ref="EI14" si="140">EI12-EI13</f>
        <v>239877853.38658857</v>
      </c>
      <c r="EJ14" s="85">
        <f t="shared" ref="EJ14" si="141">EJ12-EJ13</f>
        <v>234124260.41592324</v>
      </c>
      <c r="EK14" s="85">
        <f t="shared" ref="EK14" si="142">EK12-EK13</f>
        <v>233370667.4452579</v>
      </c>
      <c r="EL14" s="85">
        <f t="shared" ref="EL14" si="143">EL12-EL13</f>
        <v>227617074.47459257</v>
      </c>
      <c r="EM14" s="85">
        <f t="shared" ref="EM14" si="144">EM12-EM13</f>
        <v>221863481.50392723</v>
      </c>
      <c r="EN14" s="85">
        <f t="shared" ref="EN14" si="145">EN12-EN13</f>
        <v>216109888.5332619</v>
      </c>
      <c r="EO14" s="85">
        <f t="shared" ref="EO14" si="146">EO12-EO13</f>
        <v>210356295.56259656</v>
      </c>
      <c r="EP14" s="85">
        <f t="shared" ref="EP14" si="147">EP12-EP13</f>
        <v>214602702.59193122</v>
      </c>
      <c r="EQ14" s="85">
        <f t="shared" ref="EQ14" si="148">EQ12-EQ13</f>
        <v>208849109.62126589</v>
      </c>
      <c r="ER14" s="85">
        <f t="shared" ref="ER14" si="149">ER12-ER13</f>
        <v>203095516.65060055</v>
      </c>
      <c r="ES14" s="85">
        <f t="shared" ref="ES14" si="150">ES12-ES13</f>
        <v>197341923.67993522</v>
      </c>
      <c r="ET14" s="85">
        <f t="shared" ref="ET14" si="151">ET12-ET13</f>
        <v>191588330.70926988</v>
      </c>
      <c r="EU14" s="85">
        <f t="shared" ref="EU14" si="152">EU12-EU13</f>
        <v>185834737.73860455</v>
      </c>
      <c r="EV14" s="85">
        <f t="shared" ref="EV14" si="153">EV12-EV13</f>
        <v>180081144.76793921</v>
      </c>
      <c r="EW14" s="85">
        <f t="shared" ref="EW14" si="154">EW12-EW13</f>
        <v>174327551.79727387</v>
      </c>
      <c r="EX14" s="85">
        <f t="shared" ref="EX14" si="155">EX12-EX13</f>
        <v>168573958.82660854</v>
      </c>
      <c r="EY14" s="85">
        <f t="shared" ref="EY14" si="156">EY12-EY13</f>
        <v>162820365.8559432</v>
      </c>
      <c r="EZ14" s="85">
        <f t="shared" ref="EZ14" si="157">EZ12-EZ13</f>
        <v>162066772.88527787</v>
      </c>
      <c r="FA14" s="85">
        <f t="shared" ref="FA14" si="158">FA12-FA13</f>
        <v>156313179.91461253</v>
      </c>
      <c r="FB14" s="85">
        <f t="shared" ref="FB14" si="159">FB12-FB13</f>
        <v>150559586.9439472</v>
      </c>
      <c r="FC14" s="85">
        <f t="shared" ref="FC14" si="160">FC12-FC13</f>
        <v>144805993.97328186</v>
      </c>
      <c r="FD14" s="85">
        <f t="shared" ref="FD14" si="161">FD12-FD13</f>
        <v>139052401.00261652</v>
      </c>
      <c r="FE14" s="85">
        <f t="shared" ref="FE14" si="162">FE12-FE13</f>
        <v>133298808.03195119</v>
      </c>
      <c r="FF14" s="85">
        <f t="shared" ref="FF14" si="163">FF12-FF13</f>
        <v>127545215.06128585</v>
      </c>
      <c r="FG14" s="85">
        <f t="shared" ref="FG14" si="164">FG12-FG13</f>
        <v>121791622.09062052</v>
      </c>
      <c r="FH14" s="85">
        <f t="shared" ref="FH14" si="165">FH12-FH13</f>
        <v>126038029.11995518</v>
      </c>
      <c r="FI14" s="85">
        <f t="shared" ref="FI14" si="166">FI12-FI13</f>
        <v>120284436.14928985</v>
      </c>
      <c r="FJ14" s="85">
        <f t="shared" ref="FJ14" si="167">FJ12-FJ13</f>
        <v>114530843.17862451</v>
      </c>
      <c r="FK14" s="85">
        <f t="shared" ref="FK14" si="168">FK12-FK13</f>
        <v>108777250.20795918</v>
      </c>
      <c r="FL14" s="85">
        <f t="shared" ref="FL14" si="169">FL12-FL13</f>
        <v>103023657.23729384</v>
      </c>
      <c r="FM14" s="85">
        <f t="shared" ref="FM14" si="170">FM12-FM13</f>
        <v>97270064.266628504</v>
      </c>
      <c r="FN14" s="85">
        <f t="shared" ref="FN14" si="171">FN12-FN13</f>
        <v>91516471.295963168</v>
      </c>
      <c r="FO14" s="85">
        <f t="shared" ref="FO14" si="172">FO12-FO13</f>
        <v>85762878.325297832</v>
      </c>
      <c r="FP14" s="85">
        <f t="shared" ref="FP14" si="173">FP12-FP13</f>
        <v>80009285.354632497</v>
      </c>
      <c r="FQ14" s="85">
        <f t="shared" ref="FQ14" si="174">FQ12-FQ13</f>
        <v>74255692.383967161</v>
      </c>
      <c r="FR14" s="85">
        <f t="shared" ref="FR14" si="175">FR12-FR13</f>
        <v>68502099.413301826</v>
      </c>
      <c r="FS14" s="85">
        <f t="shared" ref="FS14" si="176">FS12-FS13</f>
        <v>62748506.44263649</v>
      </c>
      <c r="FT14" s="85">
        <f t="shared" ref="FT14" si="177">FT12-FT13</f>
        <v>56994913.471971154</v>
      </c>
      <c r="FU14" s="85">
        <f t="shared" ref="FU14" si="178">FU12-FU13</f>
        <v>51241320.501305819</v>
      </c>
      <c r="FV14" s="85">
        <f t="shared" ref="FV14" si="179">FV12-FV13</f>
        <v>45487727.530640483</v>
      </c>
      <c r="FW14" s="85">
        <f t="shared" ref="FW14" si="180">FW12-FW13</f>
        <v>39734134.559975147</v>
      </c>
      <c r="FX14" s="85">
        <f t="shared" ref="FX14" si="181">FX12-FX13</f>
        <v>33980541.589309812</v>
      </c>
      <c r="FY14" s="85">
        <f t="shared" ref="FY14" si="182">FY12-FY13</f>
        <v>28226948.618644476</v>
      </c>
      <c r="FZ14" s="85">
        <f t="shared" ref="FZ14" si="183">FZ12-FZ13</f>
        <v>22473355.64797914</v>
      </c>
      <c r="GA14" s="85">
        <f t="shared" ref="GA14" si="184">GA12-GA13</f>
        <v>26719762.677313805</v>
      </c>
      <c r="GB14" s="85">
        <f t="shared" ref="GB14" si="185">GB12-GB13</f>
        <v>20966169.706648469</v>
      </c>
      <c r="GC14" s="85">
        <f t="shared" ref="GC14" si="186">GC12-GC13</f>
        <v>15212576.735983133</v>
      </c>
      <c r="GD14" s="85">
        <f t="shared" ref="GD14" si="187">GD12-GD13</f>
        <v>20458983.765317798</v>
      </c>
      <c r="GE14" s="85">
        <f t="shared" ref="GE14" si="188">GE12-GE13</f>
        <v>14705390.794652462</v>
      </c>
      <c r="GF14" s="85">
        <f t="shared" ref="GF14" si="189">GF12-GF13</f>
        <v>8951797.8239871264</v>
      </c>
      <c r="GG14" s="85">
        <f t="shared" ref="GG14" si="190">GG12-GG13</f>
        <v>28767964.853321791</v>
      </c>
      <c r="GH14" s="85">
        <f t="shared" ref="GH14" si="191">GH12-GH13</f>
        <v>23014371.882656455</v>
      </c>
      <c r="GI14" s="85">
        <f t="shared" ref="GI14" si="192">GI12-GI13</f>
        <v>17260778.911991119</v>
      </c>
      <c r="GJ14" s="85">
        <f t="shared" ref="GJ14" si="193">GJ12-GJ13</f>
        <v>11507185.941325784</v>
      </c>
      <c r="GK14" s="85">
        <f t="shared" ref="GK14" si="194">GK12-GK13</f>
        <v>5753592.9706604481</v>
      </c>
      <c r="GL14" s="85">
        <f t="shared" ref="GL14" si="195">GL12-GL13</f>
        <v>-4.8875808715820313E-6</v>
      </c>
      <c r="GM14" s="85">
        <f t="shared" ref="GM14" si="196">GM12-GM13</f>
        <v>-4.8875808715820313E-6</v>
      </c>
      <c r="GN14" s="85">
        <f t="shared" ref="GN14" si="197">GN12-GN13</f>
        <v>-4.8875808715820313E-6</v>
      </c>
      <c r="GO14" s="85">
        <f t="shared" ref="GO14" si="198">GO12-GO13</f>
        <v>-4.8875808715820313E-6</v>
      </c>
      <c r="GP14" s="85">
        <f t="shared" ref="GP14" si="199">GP12-GP13</f>
        <v>-4.8875808715820313E-6</v>
      </c>
      <c r="GQ14" s="85">
        <f t="shared" ref="GQ14" si="200">GQ12-GQ13</f>
        <v>-4.8875808715820313E-6</v>
      </c>
      <c r="GR14" s="85">
        <f t="shared" ref="GR14" si="201">GR12-GR13</f>
        <v>-4.8875808715820313E-6</v>
      </c>
      <c r="GS14" s="85">
        <f t="shared" ref="GS14" si="202">GS12-GS13</f>
        <v>-4.8875808715820313E-6</v>
      </c>
      <c r="GT14" s="85">
        <f t="shared" ref="GT14" si="203">GT12-GT13</f>
        <v>-4.8875808715820313E-6</v>
      </c>
      <c r="GU14" s="85">
        <f t="shared" ref="GU14" si="204">GU12-GU13</f>
        <v>-4.8875808715820313E-6</v>
      </c>
      <c r="GV14" s="85">
        <f t="shared" ref="GV14" si="205">GV12-GV13</f>
        <v>-4.8875808715820313E-6</v>
      </c>
      <c r="GW14" s="85">
        <f t="shared" ref="GW14" si="206">GW12-GW13</f>
        <v>-4.8875808715820313E-6</v>
      </c>
      <c r="GX14" s="85">
        <f t="shared" ref="GX14" si="207">GX12-GX13</f>
        <v>-4.8875808715820313E-6</v>
      </c>
      <c r="GY14" s="85">
        <f t="shared" ref="GY14" si="208">GY12-GY13</f>
        <v>-4.8875808715820313E-6</v>
      </c>
      <c r="GZ14" s="85">
        <f t="shared" ref="GZ14" si="209">GZ12-GZ13</f>
        <v>-4.8875808715820313E-6</v>
      </c>
      <c r="HA14" s="85">
        <f t="shared" ref="HA14" si="210">HA12-HA13</f>
        <v>-4.8875808715820313E-6</v>
      </c>
      <c r="HB14" s="85">
        <f t="shared" ref="HB14" si="211">HB12-HB13</f>
        <v>-4.8875808715820313E-6</v>
      </c>
      <c r="HC14" s="85">
        <f t="shared" ref="HC14" si="212">HC12-HC13</f>
        <v>-4.8875808715820313E-6</v>
      </c>
      <c r="HD14" s="85">
        <f t="shared" ref="HD14" si="213">HD12-HD13</f>
        <v>-4.8875808715820313E-6</v>
      </c>
      <c r="HE14" s="85">
        <f t="shared" ref="HE14" si="214">HE12-HE13</f>
        <v>-4.8875808715820313E-6</v>
      </c>
      <c r="HF14" s="85">
        <f t="shared" ref="HF14" si="215">HF12-HF13</f>
        <v>-4.8875808715820313E-6</v>
      </c>
      <c r="HG14" s="85">
        <f t="shared" ref="HG14" si="216">HG12-HG13</f>
        <v>-4.8875808715820313E-6</v>
      </c>
      <c r="HH14" s="85">
        <f t="shared" ref="HH14" si="217">HH12-HH13</f>
        <v>-4.8875808715820313E-6</v>
      </c>
      <c r="HI14" s="85">
        <f t="shared" ref="HI14" si="218">HI12-HI13</f>
        <v>-4.8875808715820313E-6</v>
      </c>
      <c r="HJ14" s="85">
        <f t="shared" ref="HJ14" si="219">HJ12-HJ13</f>
        <v>-4.8875808715820313E-6</v>
      </c>
      <c r="HK14" s="85">
        <f t="shared" ref="HK14" si="220">HK12-HK13</f>
        <v>-4.8875808715820313E-6</v>
      </c>
      <c r="HL14" s="85">
        <f t="shared" ref="HL14" si="221">HL12-HL13</f>
        <v>-4.8875808715820313E-6</v>
      </c>
      <c r="HM14" s="85">
        <f t="shared" ref="HM14" si="222">HM12-HM13</f>
        <v>-4.8875808715820313E-6</v>
      </c>
      <c r="HN14" s="85">
        <f t="shared" ref="HN14" si="223">HN12-HN13</f>
        <v>-4.8875808715820313E-6</v>
      </c>
      <c r="HO14" s="85">
        <f t="shared" ref="HO14" si="224">HO12-HO13</f>
        <v>-4.8875808715820313E-6</v>
      </c>
      <c r="HP14" s="85">
        <f t="shared" ref="HP14" si="225">HP12-HP13</f>
        <v>-4.8875808715820313E-6</v>
      </c>
      <c r="HQ14" s="85">
        <f t="shared" ref="HQ14" si="226">HQ12-HQ13</f>
        <v>-4.8875808715820313E-6</v>
      </c>
      <c r="HR14" s="85">
        <f t="shared" ref="HR14" si="227">HR12-HR13</f>
        <v>-4.8875808715820313E-6</v>
      </c>
      <c r="HS14" s="85">
        <f t="shared" ref="HS14" si="228">HS12-HS13</f>
        <v>-4.8875808715820313E-6</v>
      </c>
      <c r="HT14" s="85">
        <f t="shared" ref="HT14" si="229">HT12-HT13</f>
        <v>-4.8875808715820313E-6</v>
      </c>
      <c r="HU14" s="85">
        <f t="shared" ref="HU14" si="230">HU12-HU13</f>
        <v>-4.8875808715820313E-6</v>
      </c>
      <c r="HV14" s="85">
        <f t="shared" ref="HV14" si="231">HV12-HV13</f>
        <v>-4.8875808715820313E-6</v>
      </c>
      <c r="HW14" s="85">
        <f t="shared" ref="HW14" si="232">HW12-HW13</f>
        <v>-4.8875808715820313E-6</v>
      </c>
      <c r="HX14" s="85">
        <f t="shared" ref="HX14" si="233">HX12-HX13</f>
        <v>-4.8875808715820313E-6</v>
      </c>
      <c r="HY14" s="85">
        <f t="shared" ref="HY14" si="234">HY12-HY13</f>
        <v>-4.8875808715820313E-6</v>
      </c>
      <c r="HZ14" s="85">
        <f t="shared" ref="HZ14" si="235">HZ12-HZ13</f>
        <v>-4.8875808715820313E-6</v>
      </c>
      <c r="IA14" s="85">
        <f t="shared" ref="IA14" si="236">IA12-IA13</f>
        <v>-4.8875808715820313E-6</v>
      </c>
      <c r="IB14" s="85">
        <f t="shared" ref="IB14" si="237">IB12-IB13</f>
        <v>-4.8875808715820313E-6</v>
      </c>
      <c r="IC14" s="85">
        <f t="shared" ref="IC14" si="238">IC12-IC13</f>
        <v>-4.8875808715820313E-6</v>
      </c>
      <c r="ID14" s="85">
        <f t="shared" ref="ID14" si="239">ID12-ID13</f>
        <v>-4.8875808715820313E-6</v>
      </c>
      <c r="IE14" s="85">
        <f t="shared" ref="IE14" si="240">IE12-IE13</f>
        <v>-4.8875808715820313E-6</v>
      </c>
      <c r="IF14" s="85">
        <f t="shared" ref="IF14" si="241">IF12-IF13</f>
        <v>-4.8875808715820313E-6</v>
      </c>
      <c r="IG14" s="85">
        <f t="shared" ref="IG14" si="242">IG12-IG13</f>
        <v>-4.8875808715820313E-6</v>
      </c>
      <c r="IH14" s="85">
        <f t="shared" ref="IH14" si="243">IH12-IH13</f>
        <v>-4.8875808715820313E-6</v>
      </c>
    </row>
    <row r="15" spans="1:242" ht="15" thickTop="1" thickBot="1" x14ac:dyDescent="0.5">
      <c r="A15" s="888" t="s">
        <v>293</v>
      </c>
      <c r="B15" s="889"/>
      <c r="C15" s="94">
        <f>C14+C10</f>
        <v>1325888589.0515804</v>
      </c>
      <c r="D15" s="94">
        <f t="shared" ref="D15" si="244">D14+D10</f>
        <v>1324972112.8521304</v>
      </c>
      <c r="E15" s="94">
        <f t="shared" ref="E15:BP15" si="245">E14+E10</f>
        <v>1324495511.6526804</v>
      </c>
      <c r="F15" s="94">
        <f t="shared" si="245"/>
        <v>1324018910.4532304</v>
      </c>
      <c r="G15" s="94">
        <f t="shared" si="245"/>
        <v>1323542309.2537804</v>
      </c>
      <c r="H15" s="94">
        <f t="shared" si="245"/>
        <v>1323065708.0543303</v>
      </c>
      <c r="I15" s="94">
        <f t="shared" si="245"/>
        <v>1503404501.7988303</v>
      </c>
      <c r="J15" s="94">
        <f t="shared" si="245"/>
        <v>1593335598.0713553</v>
      </c>
      <c r="K15" s="94">
        <f t="shared" si="245"/>
        <v>1592858996.8719053</v>
      </c>
      <c r="L15" s="94">
        <f t="shared" si="245"/>
        <v>1682790093.1444304</v>
      </c>
      <c r="M15" s="94">
        <f t="shared" si="245"/>
        <v>1682313491.9449804</v>
      </c>
      <c r="N15" s="94">
        <f t="shared" si="245"/>
        <v>1772244588.2175052</v>
      </c>
      <c r="O15" s="94">
        <f t="shared" si="245"/>
        <v>2218073881.4072647</v>
      </c>
      <c r="P15" s="94">
        <f t="shared" si="245"/>
        <v>2211639572.5704832</v>
      </c>
      <c r="Q15" s="94">
        <f t="shared" si="245"/>
        <v>2205366263.7337012</v>
      </c>
      <c r="R15" s="94">
        <f t="shared" si="245"/>
        <v>2199092954.8969193</v>
      </c>
      <c r="S15" s="94">
        <f t="shared" si="245"/>
        <v>2192819646.0601373</v>
      </c>
      <c r="T15" s="94">
        <f t="shared" si="245"/>
        <v>2186546337.2233553</v>
      </c>
      <c r="U15" s="94">
        <f t="shared" si="245"/>
        <v>2361088423.3305235</v>
      </c>
      <c r="V15" s="94">
        <f t="shared" si="245"/>
        <v>2354815114.4937415</v>
      </c>
      <c r="W15" s="94">
        <f t="shared" si="245"/>
        <v>2438949503.1289349</v>
      </c>
      <c r="X15" s="94">
        <f t="shared" si="245"/>
        <v>2523083891.7641277</v>
      </c>
      <c r="Y15" s="94">
        <f t="shared" si="245"/>
        <v>2516810582.9273462</v>
      </c>
      <c r="Z15" s="94">
        <f t="shared" si="245"/>
        <v>2600944971.5625391</v>
      </c>
      <c r="AA15" s="94">
        <f t="shared" si="245"/>
        <v>2600474153.2747273</v>
      </c>
      <c r="AB15" s="94">
        <f t="shared" si="245"/>
        <v>2598998014.4225063</v>
      </c>
      <c r="AC15" s="94">
        <f t="shared" si="245"/>
        <v>2597521875.5702858</v>
      </c>
      <c r="AD15" s="94">
        <f t="shared" si="245"/>
        <v>2596045736.7180648</v>
      </c>
      <c r="AE15" s="94">
        <f t="shared" si="245"/>
        <v>2594569597.8658438</v>
      </c>
      <c r="AF15" s="94">
        <f t="shared" si="245"/>
        <v>2593093459.0136232</v>
      </c>
      <c r="AG15" s="94">
        <f t="shared" si="245"/>
        <v>2591617320.1614022</v>
      </c>
      <c r="AH15" s="94">
        <f t="shared" si="245"/>
        <v>2590141181.3091817</v>
      </c>
      <c r="AI15" s="94">
        <f t="shared" si="245"/>
        <v>2588665042.4569607</v>
      </c>
      <c r="AJ15" s="94">
        <f t="shared" si="245"/>
        <v>2587188903.6047401</v>
      </c>
      <c r="AK15" s="94">
        <f t="shared" si="245"/>
        <v>2585712764.7525191</v>
      </c>
      <c r="AL15" s="94">
        <f t="shared" si="245"/>
        <v>2584236625.9002981</v>
      </c>
      <c r="AM15" s="94">
        <f t="shared" si="245"/>
        <v>2586489593.8408341</v>
      </c>
      <c r="AN15" s="94">
        <f t="shared" si="245"/>
        <v>2588630688.5775871</v>
      </c>
      <c r="AO15" s="94">
        <f t="shared" si="245"/>
        <v>2590771783.3143406</v>
      </c>
      <c r="AP15" s="94">
        <f t="shared" si="245"/>
        <v>2592912878.0510941</v>
      </c>
      <c r="AQ15" s="94">
        <f t="shared" si="245"/>
        <v>2595053972.7878475</v>
      </c>
      <c r="AR15" s="94">
        <f t="shared" si="245"/>
        <v>2597195067.5246005</v>
      </c>
      <c r="AS15" s="94">
        <f t="shared" si="245"/>
        <v>2599336162.2613535</v>
      </c>
      <c r="AT15" s="94">
        <f t="shared" si="245"/>
        <v>2601477256.998107</v>
      </c>
      <c r="AU15" s="94">
        <f t="shared" si="245"/>
        <v>2603618351.7348599</v>
      </c>
      <c r="AV15" s="94">
        <f t="shared" si="245"/>
        <v>2605759446.4716129</v>
      </c>
      <c r="AW15" s="94">
        <f t="shared" si="245"/>
        <v>2607900541.2083664</v>
      </c>
      <c r="AX15" s="94">
        <f t="shared" si="245"/>
        <v>2610041635.9451199</v>
      </c>
      <c r="AY15" s="94">
        <f t="shared" si="245"/>
        <v>2616064827.304038</v>
      </c>
      <c r="AZ15" s="94">
        <f t="shared" si="245"/>
        <v>2621951233.0702181</v>
      </c>
      <c r="BA15" s="94">
        <f t="shared" si="245"/>
        <v>2627832430.096096</v>
      </c>
      <c r="BB15" s="94">
        <f t="shared" si="245"/>
        <v>2633708390.1676621</v>
      </c>
      <c r="BC15" s="94">
        <f t="shared" si="245"/>
        <v>2639579084.9180813</v>
      </c>
      <c r="BD15" s="94">
        <f t="shared" si="245"/>
        <v>2645444485.8268633</v>
      </c>
      <c r="BE15" s="94">
        <f t="shared" si="245"/>
        <v>2651304564.2190323</v>
      </c>
      <c r="BF15" s="94">
        <f t="shared" si="245"/>
        <v>2657159291.2642908</v>
      </c>
      <c r="BG15" s="94">
        <f t="shared" si="245"/>
        <v>2663008637.9761763</v>
      </c>
      <c r="BH15" s="94">
        <f t="shared" si="245"/>
        <v>2668852575.2112155</v>
      </c>
      <c r="BI15" s="94">
        <f t="shared" si="245"/>
        <v>2674691073.668076</v>
      </c>
      <c r="BJ15" s="94">
        <f t="shared" si="245"/>
        <v>2680524103.8867092</v>
      </c>
      <c r="BK15" s="94">
        <f t="shared" si="245"/>
        <v>2708861022.1290908</v>
      </c>
      <c r="BL15" s="94">
        <f t="shared" si="245"/>
        <v>2717104312.5855789</v>
      </c>
      <c r="BM15" s="94">
        <f t="shared" si="245"/>
        <v>2725342045.4627805</v>
      </c>
      <c r="BN15" s="94">
        <f t="shared" si="245"/>
        <v>2745574190.6571417</v>
      </c>
      <c r="BO15" s="94">
        <f t="shared" si="245"/>
        <v>2753800717.9020467</v>
      </c>
      <c r="BP15" s="94">
        <f t="shared" si="245"/>
        <v>2762021596.7669363</v>
      </c>
      <c r="BQ15" s="94">
        <f t="shared" ref="BQ15:EB15" si="246">BQ14+BQ10</f>
        <v>2778236796.6564178</v>
      </c>
      <c r="BR15" s="94">
        <f t="shared" si="246"/>
        <v>2786446286.8093753</v>
      </c>
      <c r="BS15" s="94">
        <f t="shared" si="246"/>
        <v>2794650036.298069</v>
      </c>
      <c r="BT15" s="94">
        <f t="shared" si="246"/>
        <v>2802848014.0272346</v>
      </c>
      <c r="BU15" s="94">
        <f t="shared" si="246"/>
        <v>2811040188.7331738</v>
      </c>
      <c r="BV15" s="94">
        <f t="shared" si="246"/>
        <v>2819226528.9828453</v>
      </c>
      <c r="BW15" s="94">
        <f t="shared" si="246"/>
        <v>2828206002.9905906</v>
      </c>
      <c r="BX15" s="94">
        <f t="shared" si="246"/>
        <v>2836705310.8291016</v>
      </c>
      <c r="BY15" s="94">
        <f t="shared" si="246"/>
        <v>2845198688.8869495</v>
      </c>
      <c r="BZ15" s="94">
        <f t="shared" si="246"/>
        <v>2853686105.044488</v>
      </c>
      <c r="CA15" s="94">
        <f t="shared" si="246"/>
        <v>2862167527.008091</v>
      </c>
      <c r="CB15" s="94">
        <f t="shared" si="246"/>
        <v>2870642922.3092079</v>
      </c>
      <c r="CC15" s="94">
        <f t="shared" si="246"/>
        <v>2879112258.3034167</v>
      </c>
      <c r="CD15" s="94">
        <f t="shared" si="246"/>
        <v>2887575502.1694722</v>
      </c>
      <c r="CE15" s="94">
        <f t="shared" si="246"/>
        <v>2896032620.9083462</v>
      </c>
      <c r="CF15" s="94">
        <f t="shared" si="246"/>
        <v>2904483581.3422666</v>
      </c>
      <c r="CG15" s="94">
        <f t="shared" si="246"/>
        <v>2912928350.113749</v>
      </c>
      <c r="CH15" s="94">
        <f t="shared" si="246"/>
        <v>2921366893.6846209</v>
      </c>
      <c r="CI15" s="94">
        <f t="shared" si="246"/>
        <v>2929799178.3350458</v>
      </c>
      <c r="CJ15" s="94">
        <f t="shared" si="246"/>
        <v>2938225170.162539</v>
      </c>
      <c r="CK15" s="94">
        <f t="shared" si="246"/>
        <v>2946644835.0809751</v>
      </c>
      <c r="CL15" s="94">
        <f t="shared" si="246"/>
        <v>2955058138.8195972</v>
      </c>
      <c r="CM15" s="94">
        <f t="shared" si="246"/>
        <v>2963465046.9220138</v>
      </c>
      <c r="CN15" s="94">
        <f t="shared" si="246"/>
        <v>2971879622.3883767</v>
      </c>
      <c r="CO15" s="94">
        <f t="shared" si="246"/>
        <v>2980233691.7793026</v>
      </c>
      <c r="CP15" s="94">
        <f t="shared" si="246"/>
        <v>2988581261.0409694</v>
      </c>
      <c r="CQ15" s="94">
        <f t="shared" si="246"/>
        <v>2996922294.964344</v>
      </c>
      <c r="CR15" s="94">
        <f t="shared" si="246"/>
        <v>3005256758.1496778</v>
      </c>
      <c r="CS15" s="94">
        <f t="shared" si="246"/>
        <v>3013584615.0054717</v>
      </c>
      <c r="CT15" s="94">
        <f t="shared" si="246"/>
        <v>3021905829.7474418</v>
      </c>
      <c r="CU15" s="94">
        <f t="shared" si="246"/>
        <v>3030915983.4984632</v>
      </c>
      <c r="CV15" s="94">
        <f t="shared" si="246"/>
        <v>3039841455.0632186</v>
      </c>
      <c r="CW15" s="94">
        <f t="shared" si="246"/>
        <v>3048760175.9941006</v>
      </c>
      <c r="CX15" s="94">
        <f t="shared" si="246"/>
        <v>3057672109.7251749</v>
      </c>
      <c r="CY15" s="94">
        <f t="shared" si="246"/>
        <v>3066577219.4924431</v>
      </c>
      <c r="CZ15" s="94">
        <f t="shared" si="246"/>
        <v>3075475468.332768</v>
      </c>
      <c r="DA15" s="94">
        <f t="shared" si="246"/>
        <v>3084366819.0827951</v>
      </c>
      <c r="DB15" s="94">
        <f t="shared" si="246"/>
        <v>3093251234.3778696</v>
      </c>
      <c r="DC15" s="94">
        <f t="shared" si="246"/>
        <v>3102128676.6509418</v>
      </c>
      <c r="DD15" s="94">
        <f t="shared" si="246"/>
        <v>3110999108.1314774</v>
      </c>
      <c r="DE15" s="94">
        <f t="shared" si="246"/>
        <v>3119862490.8443499</v>
      </c>
      <c r="DF15" s="94">
        <f t="shared" si="246"/>
        <v>3128718786.6087341</v>
      </c>
      <c r="DG15" s="94">
        <f t="shared" si="246"/>
        <v>3137582054.6801724</v>
      </c>
      <c r="DH15" s="94">
        <f t="shared" si="246"/>
        <v>3146384117.8543906</v>
      </c>
      <c r="DI15" s="94">
        <f t="shared" si="246"/>
        <v>3155178978.2922821</v>
      </c>
      <c r="DJ15" s="94">
        <f t="shared" si="246"/>
        <v>3163966596.9790258</v>
      </c>
      <c r="DK15" s="94">
        <f t="shared" si="246"/>
        <v>3172746934.6884689</v>
      </c>
      <c r="DL15" s="94">
        <f t="shared" si="246"/>
        <v>3181519951.9819846</v>
      </c>
      <c r="DM15" s="94">
        <f t="shared" si="246"/>
        <v>3190285609.2073212</v>
      </c>
      <c r="DN15" s="94">
        <f t="shared" si="246"/>
        <v>3199043866.4974408</v>
      </c>
      <c r="DO15" s="94">
        <f t="shared" si="246"/>
        <v>3207794683.769362</v>
      </c>
      <c r="DP15" s="94">
        <f t="shared" si="246"/>
        <v>3216538020.7229857</v>
      </c>
      <c r="DQ15" s="94">
        <f t="shared" si="246"/>
        <v>3225273836.839922</v>
      </c>
      <c r="DR15" s="94">
        <f t="shared" si="246"/>
        <v>3234002091.3823047</v>
      </c>
      <c r="DS15" s="94">
        <f t="shared" si="246"/>
        <v>3273418360.4925971</v>
      </c>
      <c r="DT15" s="94">
        <f t="shared" si="246"/>
        <v>3282756661.6815619</v>
      </c>
      <c r="DU15" s="94">
        <f t="shared" si="246"/>
        <v>3292094962.8705273</v>
      </c>
      <c r="DV15" s="94">
        <f t="shared" si="246"/>
        <v>3323433264.0594921</v>
      </c>
      <c r="DW15" s="94">
        <f t="shared" si="246"/>
        <v>3332771565.248457</v>
      </c>
      <c r="DX15" s="94">
        <f t="shared" si="246"/>
        <v>3342109866.4374218</v>
      </c>
      <c r="DY15" s="94">
        <f t="shared" si="246"/>
        <v>3369448167.6263866</v>
      </c>
      <c r="DZ15" s="94">
        <f t="shared" si="246"/>
        <v>3378786468.815352</v>
      </c>
      <c r="EA15" s="94">
        <f t="shared" si="246"/>
        <v>3388124770.0043168</v>
      </c>
      <c r="EB15" s="94">
        <f t="shared" si="246"/>
        <v>3397463071.1932817</v>
      </c>
      <c r="EC15" s="94">
        <f t="shared" ref="EC15:GN15" si="247">EC14+EC10</f>
        <v>3406801372.382247</v>
      </c>
      <c r="ED15" s="94">
        <f t="shared" si="247"/>
        <v>3416139673.5712118</v>
      </c>
      <c r="EE15" s="94">
        <f t="shared" si="247"/>
        <v>3425492072.403357</v>
      </c>
      <c r="EF15" s="94">
        <f t="shared" si="247"/>
        <v>3434790430.269978</v>
      </c>
      <c r="EG15" s="94">
        <f t="shared" si="247"/>
        <v>3444088788.1365995</v>
      </c>
      <c r="EH15" s="94">
        <f t="shared" si="247"/>
        <v>3453387146.0032206</v>
      </c>
      <c r="EI15" s="94">
        <f t="shared" si="247"/>
        <v>3462685503.8698416</v>
      </c>
      <c r="EJ15" s="94">
        <f t="shared" si="247"/>
        <v>3471983861.7364626</v>
      </c>
      <c r="EK15" s="94">
        <f t="shared" si="247"/>
        <v>3491282219.6030836</v>
      </c>
      <c r="EL15" s="94">
        <f t="shared" si="247"/>
        <v>3500580577.4697051</v>
      </c>
      <c r="EM15" s="94">
        <f t="shared" si="247"/>
        <v>3509878935.3363261</v>
      </c>
      <c r="EN15" s="94">
        <f t="shared" si="247"/>
        <v>3519177293.2029471</v>
      </c>
      <c r="EO15" s="94">
        <f t="shared" si="247"/>
        <v>3528475651.0695686</v>
      </c>
      <c r="EP15" s="94">
        <f t="shared" si="247"/>
        <v>3557774008.9361897</v>
      </c>
      <c r="EQ15" s="94">
        <f t="shared" si="247"/>
        <v>3567767983.9038029</v>
      </c>
      <c r="ER15" s="94">
        <f t="shared" si="247"/>
        <v>3577683990.950088</v>
      </c>
      <c r="ES15" s="94">
        <f t="shared" si="247"/>
        <v>3587599997.9963732</v>
      </c>
      <c r="ET15" s="94">
        <f t="shared" si="247"/>
        <v>3597516005.0426588</v>
      </c>
      <c r="EU15" s="94">
        <f t="shared" si="247"/>
        <v>3607432012.088944</v>
      </c>
      <c r="EV15" s="94">
        <f t="shared" si="247"/>
        <v>3617348019.1352291</v>
      </c>
      <c r="EW15" s="94">
        <f t="shared" si="247"/>
        <v>3627264026.1815147</v>
      </c>
      <c r="EX15" s="94">
        <f t="shared" si="247"/>
        <v>3637180033.2277999</v>
      </c>
      <c r="EY15" s="94">
        <f t="shared" si="247"/>
        <v>3647096040.274085</v>
      </c>
      <c r="EZ15" s="94">
        <f t="shared" si="247"/>
        <v>3667012047.3203702</v>
      </c>
      <c r="FA15" s="94">
        <f t="shared" si="247"/>
        <v>3676928054.3666553</v>
      </c>
      <c r="FB15" s="94">
        <f t="shared" si="247"/>
        <v>3686844061.412941</v>
      </c>
      <c r="FC15" s="94">
        <f t="shared" si="247"/>
        <v>3696774166.1024065</v>
      </c>
      <c r="FD15" s="94">
        <f t="shared" si="247"/>
        <v>3706650229.8263478</v>
      </c>
      <c r="FE15" s="94">
        <f t="shared" si="247"/>
        <v>3716526293.5502892</v>
      </c>
      <c r="FF15" s="94">
        <f t="shared" si="247"/>
        <v>3726402357.274231</v>
      </c>
      <c r="FG15" s="94">
        <f t="shared" si="247"/>
        <v>3736278420.9981723</v>
      </c>
      <c r="FH15" s="94">
        <f t="shared" si="247"/>
        <v>3766154484.7221136</v>
      </c>
      <c r="FI15" s="94">
        <f t="shared" si="247"/>
        <v>3776030548.4460554</v>
      </c>
      <c r="FJ15" s="94">
        <f t="shared" si="247"/>
        <v>3785906612.1699967</v>
      </c>
      <c r="FK15" s="94">
        <f t="shared" si="247"/>
        <v>3795782675.8939381</v>
      </c>
      <c r="FL15" s="94">
        <f t="shared" si="247"/>
        <v>3805658739.6178794</v>
      </c>
      <c r="FM15" s="94">
        <f t="shared" si="247"/>
        <v>3815534803.3418207</v>
      </c>
      <c r="FN15" s="94">
        <f t="shared" si="247"/>
        <v>3825410867.0657625</v>
      </c>
      <c r="FO15" s="94">
        <f t="shared" si="247"/>
        <v>3835982547.890696</v>
      </c>
      <c r="FP15" s="94">
        <f t="shared" si="247"/>
        <v>3846476260.794302</v>
      </c>
      <c r="FQ15" s="94">
        <f t="shared" si="247"/>
        <v>3856969973.6979084</v>
      </c>
      <c r="FR15" s="94">
        <f t="shared" si="247"/>
        <v>3867463686.6015143</v>
      </c>
      <c r="FS15" s="94">
        <f t="shared" si="247"/>
        <v>3877957399.5051203</v>
      </c>
      <c r="FT15" s="94">
        <f t="shared" si="247"/>
        <v>3888451112.4087262</v>
      </c>
      <c r="FU15" s="94">
        <f t="shared" si="247"/>
        <v>3898944825.3123322</v>
      </c>
      <c r="FV15" s="94">
        <f t="shared" si="247"/>
        <v>3909438538.2159386</v>
      </c>
      <c r="FW15" s="94">
        <f t="shared" si="247"/>
        <v>3919932251.1195445</v>
      </c>
      <c r="FX15" s="94">
        <f t="shared" si="247"/>
        <v>3930425964.0231504</v>
      </c>
      <c r="FY15" s="94">
        <f t="shared" si="247"/>
        <v>3940919676.9267569</v>
      </c>
      <c r="FZ15" s="94">
        <f t="shared" si="247"/>
        <v>3951413389.8303628</v>
      </c>
      <c r="GA15" s="94">
        <f t="shared" si="247"/>
        <v>3981921200.3771491</v>
      </c>
      <c r="GB15" s="94">
        <f t="shared" si="247"/>
        <v>3992374969.9584112</v>
      </c>
      <c r="GC15" s="94">
        <f t="shared" si="247"/>
        <v>4002828739.5396738</v>
      </c>
      <c r="GD15" s="94">
        <f t="shared" si="247"/>
        <v>4035282509.1209359</v>
      </c>
      <c r="GE15" s="94">
        <f t="shared" si="247"/>
        <v>4045736278.702198</v>
      </c>
      <c r="GF15" s="94">
        <f t="shared" si="247"/>
        <v>4056190048.2834601</v>
      </c>
      <c r="GG15" s="94">
        <f t="shared" si="247"/>
        <v>4117783337.8647223</v>
      </c>
      <c r="GH15" s="94">
        <f t="shared" si="247"/>
        <v>4128237107.4459848</v>
      </c>
      <c r="GI15" s="94">
        <f t="shared" si="247"/>
        <v>4138690877.027247</v>
      </c>
      <c r="GJ15" s="94">
        <f t="shared" si="247"/>
        <v>4149144646.6085091</v>
      </c>
      <c r="GK15" s="94">
        <f t="shared" si="247"/>
        <v>4159598416.1897717</v>
      </c>
      <c r="GL15" s="94">
        <f t="shared" si="247"/>
        <v>4170052185.7710338</v>
      </c>
      <c r="GM15" s="94">
        <f t="shared" si="247"/>
        <v>4186092126.478354</v>
      </c>
      <c r="GN15" s="94">
        <f t="shared" si="247"/>
        <v>4202054099.2643461</v>
      </c>
      <c r="GO15" s="94">
        <f t="shared" ref="GO15:IH15" si="248">GO14+GO10</f>
        <v>4218016072.0503383</v>
      </c>
      <c r="GP15" s="94">
        <f t="shared" si="248"/>
        <v>4233978044.8363304</v>
      </c>
      <c r="GQ15" s="94">
        <f t="shared" si="248"/>
        <v>4249940017.6223226</v>
      </c>
      <c r="GR15" s="94">
        <f t="shared" si="248"/>
        <v>4265901990.4083147</v>
      </c>
      <c r="GS15" s="94">
        <f t="shared" si="248"/>
        <v>4281863963.1943069</v>
      </c>
      <c r="GT15" s="94">
        <f t="shared" si="248"/>
        <v>4297825935.980299</v>
      </c>
      <c r="GU15" s="94">
        <f t="shared" si="248"/>
        <v>4313787908.7662916</v>
      </c>
      <c r="GV15" s="94">
        <f t="shared" si="248"/>
        <v>4329749881.5522842</v>
      </c>
      <c r="GW15" s="94">
        <f t="shared" si="248"/>
        <v>4345711854.3382769</v>
      </c>
      <c r="GX15" s="94">
        <f t="shared" si="248"/>
        <v>4361673827.1242695</v>
      </c>
      <c r="GY15" s="94">
        <f t="shared" si="248"/>
        <v>4377649897.553442</v>
      </c>
      <c r="GZ15" s="94">
        <f t="shared" si="248"/>
        <v>4393571927.0170908</v>
      </c>
      <c r="HA15" s="94">
        <f t="shared" si="248"/>
        <v>4409493956.4807396</v>
      </c>
      <c r="HB15" s="94">
        <f t="shared" si="248"/>
        <v>4425415985.9443884</v>
      </c>
      <c r="HC15" s="94">
        <f t="shared" si="248"/>
        <v>4441338015.4080372</v>
      </c>
      <c r="HD15" s="94">
        <f t="shared" si="248"/>
        <v>4457260044.871686</v>
      </c>
      <c r="HE15" s="94">
        <f t="shared" si="248"/>
        <v>4473182074.3353348</v>
      </c>
      <c r="HF15" s="94">
        <f t="shared" si="248"/>
        <v>4489104103.7989836</v>
      </c>
      <c r="HG15" s="94">
        <f t="shared" si="248"/>
        <v>4505026133.2626324</v>
      </c>
      <c r="HH15" s="94">
        <f t="shared" si="248"/>
        <v>4520948162.7262812</v>
      </c>
      <c r="HI15" s="94">
        <f t="shared" si="248"/>
        <v>4536870192.18993</v>
      </c>
      <c r="HJ15" s="94">
        <f t="shared" si="248"/>
        <v>4552792221.6535788</v>
      </c>
      <c r="HK15" s="94">
        <f t="shared" si="248"/>
        <v>4569395770.5750399</v>
      </c>
      <c r="HL15" s="94">
        <f t="shared" si="248"/>
        <v>4585975392.5406971</v>
      </c>
      <c r="HM15" s="94">
        <f t="shared" si="248"/>
        <v>4602555014.5063543</v>
      </c>
      <c r="HN15" s="94">
        <f t="shared" si="248"/>
        <v>4619134636.4720116</v>
      </c>
      <c r="HO15" s="94">
        <f t="shared" si="248"/>
        <v>4635714258.4376688</v>
      </c>
      <c r="HP15" s="94">
        <f t="shared" si="248"/>
        <v>4652293880.403326</v>
      </c>
      <c r="HQ15" s="94">
        <f t="shared" si="248"/>
        <v>4668873502.3689833</v>
      </c>
      <c r="HR15" s="94">
        <f t="shared" si="248"/>
        <v>4685453124.3346405</v>
      </c>
      <c r="HS15" s="94">
        <f t="shared" si="248"/>
        <v>4702032746.3002977</v>
      </c>
      <c r="HT15" s="94">
        <f t="shared" si="248"/>
        <v>4718612368.265955</v>
      </c>
      <c r="HU15" s="94">
        <f t="shared" si="248"/>
        <v>4735191990.2316122</v>
      </c>
      <c r="HV15" s="94">
        <f t="shared" si="248"/>
        <v>4751771612.1972694</v>
      </c>
      <c r="HW15" s="94">
        <f t="shared" si="248"/>
        <v>4768351234.1629267</v>
      </c>
      <c r="HX15" s="94">
        <f t="shared" si="248"/>
        <v>4784930856.1285839</v>
      </c>
      <c r="HY15" s="94">
        <f t="shared" si="248"/>
        <v>4801510478.0942411</v>
      </c>
      <c r="HZ15" s="94">
        <f t="shared" si="248"/>
        <v>4818090100.0598984</v>
      </c>
      <c r="IA15" s="94">
        <f t="shared" si="248"/>
        <v>4834669722.0255556</v>
      </c>
      <c r="IB15" s="94">
        <f t="shared" si="248"/>
        <v>4851249343.9912128</v>
      </c>
      <c r="IC15" s="94">
        <f t="shared" si="248"/>
        <v>4867828965.9568701</v>
      </c>
      <c r="ID15" s="94">
        <f t="shared" si="248"/>
        <v>4884408587.9225273</v>
      </c>
      <c r="IE15" s="94">
        <f t="shared" si="248"/>
        <v>4900988209.8881845</v>
      </c>
      <c r="IF15" s="94">
        <f t="shared" si="248"/>
        <v>4917567831.8538418</v>
      </c>
      <c r="IG15" s="94">
        <f t="shared" si="248"/>
        <v>4934147453.819499</v>
      </c>
      <c r="IH15" s="94">
        <f t="shared" si="248"/>
        <v>4950727075.7851562</v>
      </c>
    </row>
    <row r="16" spans="1:242" ht="14.65" thickTop="1" x14ac:dyDescent="0.45">
      <c r="A16" s="888"/>
      <c r="B16" s="889"/>
    </row>
    <row r="17" spans="1:242" x14ac:dyDescent="0.45">
      <c r="A17" s="888" t="s">
        <v>285</v>
      </c>
      <c r="B17" s="889"/>
    </row>
    <row r="18" spans="1:242" s="79" customFormat="1" x14ac:dyDescent="0.45">
      <c r="A18" s="888" t="s">
        <v>286</v>
      </c>
      <c r="B18" s="889"/>
    </row>
    <row r="19" spans="1:242" x14ac:dyDescent="0.45">
      <c r="A19" s="895" t="s">
        <v>287</v>
      </c>
      <c r="B19" s="896"/>
      <c r="C19" s="81">
        <f>('Income Stmt'!C15+'Income Stmt'!C37)</f>
        <v>859101.199449974</v>
      </c>
      <c r="D19" s="81">
        <f>('Income Stmt'!D15+'Income Stmt'!D37)</f>
        <v>476601.199449974</v>
      </c>
      <c r="E19" s="81">
        <f>('Income Stmt'!E15+'Income Stmt'!E37)</f>
        <v>476601.199449974</v>
      </c>
      <c r="F19" s="81">
        <f>('Income Stmt'!F15+'Income Stmt'!F37)</f>
        <v>476601.199449974</v>
      </c>
      <c r="G19" s="81">
        <f>('Income Stmt'!G15+'Income Stmt'!G37)</f>
        <v>476601.199449974</v>
      </c>
      <c r="H19" s="81">
        <f>('Income Stmt'!H15+'Income Stmt'!H37)</f>
        <v>476601.199449974</v>
      </c>
      <c r="I19" s="81">
        <f>('Income Stmt'!I15+'Income Stmt'!I37)</f>
        <v>476601.199449974</v>
      </c>
      <c r="J19" s="81">
        <f>('Income Stmt'!J15+'Income Stmt'!J37)</f>
        <v>476601.199449974</v>
      </c>
      <c r="K19" s="81">
        <f>('Income Stmt'!K15+'Income Stmt'!K37)</f>
        <v>476601.199449974</v>
      </c>
      <c r="L19" s="81">
        <f>('Income Stmt'!L15+'Income Stmt'!L37)</f>
        <v>476601.199449974</v>
      </c>
      <c r="M19" s="81">
        <f>('Income Stmt'!M15+'Income Stmt'!M37)</f>
        <v>476601.199449974</v>
      </c>
      <c r="N19" s="81">
        <f>('Income Stmt'!N15+'Income Stmt'!N37)</f>
        <v>476601.199449974</v>
      </c>
      <c r="O19" s="81">
        <f>('Income Stmt'!O15+'Income Stmt'!O37)</f>
        <v>659715.86611664062</v>
      </c>
      <c r="P19" s="81">
        <f>('Income Stmt'!P15+'Income Stmt'!P37)</f>
        <v>519715.86611664068</v>
      </c>
      <c r="Q19" s="81">
        <f>('Income Stmt'!Q15+'Income Stmt'!Q37)</f>
        <v>519715.86611664068</v>
      </c>
      <c r="R19" s="81">
        <f>('Income Stmt'!R15+'Income Stmt'!R37)</f>
        <v>519715.86611664068</v>
      </c>
      <c r="S19" s="81">
        <f>('Income Stmt'!S15+'Income Stmt'!S37)</f>
        <v>519715.86611664068</v>
      </c>
      <c r="T19" s="81">
        <f>('Income Stmt'!T15+'Income Stmt'!T37)</f>
        <v>519715.86611664068</v>
      </c>
      <c r="U19" s="81">
        <f>('Income Stmt'!U15+'Income Stmt'!U37)</f>
        <v>519715.86611664068</v>
      </c>
      <c r="V19" s="81">
        <f>('Income Stmt'!V15+'Income Stmt'!V37)</f>
        <v>519715.86611664068</v>
      </c>
      <c r="W19" s="81">
        <f>('Income Stmt'!W15+'Income Stmt'!W37)</f>
        <v>519715.86611664068</v>
      </c>
      <c r="X19" s="81">
        <f>('Income Stmt'!X15+'Income Stmt'!X37)</f>
        <v>519715.86611664068</v>
      </c>
      <c r="Y19" s="81">
        <f>('Income Stmt'!Y15+'Income Stmt'!Y37)</f>
        <v>519715.86611664068</v>
      </c>
      <c r="Z19" s="81">
        <f>('Income Stmt'!Z15+'Income Stmt'!Z37)</f>
        <v>519715.86611664068</v>
      </c>
      <c r="AA19" s="81">
        <f>('Income Stmt'!AA15+'Income Stmt'!AA37)</f>
        <v>1418806.0706906426</v>
      </c>
      <c r="AB19" s="81">
        <f>('Income Stmt'!AB15+'Income Stmt'!AB37)</f>
        <v>1418806.0706906426</v>
      </c>
      <c r="AC19" s="81">
        <f>('Income Stmt'!AC15+'Income Stmt'!AC37)</f>
        <v>1418806.0706906426</v>
      </c>
      <c r="AD19" s="81">
        <f>('Income Stmt'!AD15+'Income Stmt'!AD37)</f>
        <v>1418806.0706906426</v>
      </c>
      <c r="AE19" s="81">
        <f>('Income Stmt'!AE15+'Income Stmt'!AE37)</f>
        <v>1418806.0706906426</v>
      </c>
      <c r="AF19" s="81">
        <f>('Income Stmt'!AF15+'Income Stmt'!AF37)</f>
        <v>1418806.0706906426</v>
      </c>
      <c r="AG19" s="81">
        <f>('Income Stmt'!AG15+'Income Stmt'!AG37)</f>
        <v>1418806.0706906426</v>
      </c>
      <c r="AH19" s="81">
        <f>('Income Stmt'!AH15+'Income Stmt'!AH37)</f>
        <v>1418806.0706906426</v>
      </c>
      <c r="AI19" s="81">
        <f>('Income Stmt'!AI15+'Income Stmt'!AI37)</f>
        <v>1418806.0706906426</v>
      </c>
      <c r="AJ19" s="81">
        <f>('Income Stmt'!AJ15+'Income Stmt'!AJ37)</f>
        <v>1418806.0706906426</v>
      </c>
      <c r="AK19" s="81">
        <f>('Income Stmt'!AK15+'Income Stmt'!AK37)</f>
        <v>1418806.0706906426</v>
      </c>
      <c r="AL19" s="81">
        <f>('Income Stmt'!AL15+'Income Stmt'!AL37)</f>
        <v>1418806.0706906426</v>
      </c>
      <c r="AM19" s="81">
        <f>('Income Stmt'!AM15+'Income Stmt'!AM37)</f>
        <v>1530679.2744733454</v>
      </c>
      <c r="AN19" s="81">
        <f>('Income Stmt'!AN15+'Income Stmt'!AN37)</f>
        <v>1530679.2744733454</v>
      </c>
      <c r="AO19" s="81">
        <f>('Income Stmt'!AO15+'Income Stmt'!AO37)</f>
        <v>1530679.2744733454</v>
      </c>
      <c r="AP19" s="81">
        <f>('Income Stmt'!AP15+'Income Stmt'!AP37)</f>
        <v>1530679.2744733454</v>
      </c>
      <c r="AQ19" s="81">
        <f>('Income Stmt'!AQ15+'Income Stmt'!AQ37)</f>
        <v>1530679.2744733454</v>
      </c>
      <c r="AR19" s="81">
        <f>('Income Stmt'!AR15+'Income Stmt'!AR37)</f>
        <v>1530679.2744733454</v>
      </c>
      <c r="AS19" s="81">
        <f>('Income Stmt'!AS15+'Income Stmt'!AS37)</f>
        <v>1530679.2744733454</v>
      </c>
      <c r="AT19" s="81">
        <f>('Income Stmt'!AT15+'Income Stmt'!AT37)</f>
        <v>1530679.2744733454</v>
      </c>
      <c r="AU19" s="81">
        <f>('Income Stmt'!AU15+'Income Stmt'!AU37)</f>
        <v>1530679.2744733454</v>
      </c>
      <c r="AV19" s="81">
        <f>('Income Stmt'!AV15+'Income Stmt'!AV37)</f>
        <v>1530679.2744733454</v>
      </c>
      <c r="AW19" s="81">
        <f>('Income Stmt'!AW15+'Income Stmt'!AW37)</f>
        <v>1530679.2744733454</v>
      </c>
      <c r="AX19" s="81">
        <f>('Income Stmt'!AX15+'Income Stmt'!AX37)</f>
        <v>1530679.2744733454</v>
      </c>
      <c r="AY19" s="81">
        <f>('Income Stmt'!AY15+'Income Stmt'!AY37)</f>
        <v>1662284.188918021</v>
      </c>
      <c r="AZ19" s="81">
        <f>('Income Stmt'!AZ15+'Income Stmt'!AZ37)</f>
        <v>1662284.188918021</v>
      </c>
      <c r="BA19" s="81">
        <f>('Income Stmt'!BA15+'Income Stmt'!BA37)</f>
        <v>1662284.188918021</v>
      </c>
      <c r="BB19" s="81">
        <f>('Income Stmt'!BB15+'Income Stmt'!BB37)</f>
        <v>1662284.188918021</v>
      </c>
      <c r="BC19" s="81">
        <f>('Income Stmt'!BC15+'Income Stmt'!BC37)</f>
        <v>1662284.188918021</v>
      </c>
      <c r="BD19" s="81">
        <f>('Income Stmt'!BD15+'Income Stmt'!BD37)</f>
        <v>1662284.188918021</v>
      </c>
      <c r="BE19" s="81">
        <f>('Income Stmt'!BE15+'Income Stmt'!BE37)</f>
        <v>1662284.188918021</v>
      </c>
      <c r="BF19" s="81">
        <f>('Income Stmt'!BF15+'Income Stmt'!BF37)</f>
        <v>1662284.188918021</v>
      </c>
      <c r="BG19" s="81">
        <f>('Income Stmt'!BG15+'Income Stmt'!BG37)</f>
        <v>1662284.188918021</v>
      </c>
      <c r="BH19" s="81">
        <f>('Income Stmt'!BH15+'Income Stmt'!BH37)</f>
        <v>1662284.188918021</v>
      </c>
      <c r="BI19" s="81">
        <f>('Income Stmt'!BI15+'Income Stmt'!BI37)</f>
        <v>1662284.188918021</v>
      </c>
      <c r="BJ19" s="81">
        <f>('Income Stmt'!BJ15+'Income Stmt'!BJ37)</f>
        <v>1662284.188918021</v>
      </c>
      <c r="BK19" s="81">
        <f>('Income Stmt'!BK15+'Income Stmt'!BK37)</f>
        <v>1750384.3368968992</v>
      </c>
      <c r="BL19" s="81">
        <f>('Income Stmt'!BL15+'Income Stmt'!BL37)</f>
        <v>1750384.3368968992</v>
      </c>
      <c r="BM19" s="81">
        <f>('Income Stmt'!BM15+'Income Stmt'!BM37)</f>
        <v>1750384.3368968992</v>
      </c>
      <c r="BN19" s="81">
        <f>('Income Stmt'!BN15+'Income Stmt'!BN37)</f>
        <v>1750384.3368968992</v>
      </c>
      <c r="BO19" s="81">
        <f>('Income Stmt'!BO15+'Income Stmt'!BO37)</f>
        <v>1750384.3368968992</v>
      </c>
      <c r="BP19" s="81">
        <f>('Income Stmt'!BP15+'Income Stmt'!BP37)</f>
        <v>1750384.3368968992</v>
      </c>
      <c r="BQ19" s="81">
        <f>('Income Stmt'!BQ15+'Income Stmt'!BQ37)</f>
        <v>1750384.3368968992</v>
      </c>
      <c r="BR19" s="81">
        <f>('Income Stmt'!BR15+'Income Stmt'!BR37)</f>
        <v>1750384.3368968992</v>
      </c>
      <c r="BS19" s="81">
        <f>('Income Stmt'!BS15+'Income Stmt'!BS37)</f>
        <v>1750384.3368968992</v>
      </c>
      <c r="BT19" s="81">
        <f>('Income Stmt'!BT15+'Income Stmt'!BT37)</f>
        <v>1750384.3368968992</v>
      </c>
      <c r="BU19" s="81">
        <f>('Income Stmt'!BU15+'Income Stmt'!BU37)</f>
        <v>1750384.3368968992</v>
      </c>
      <c r="BV19" s="81">
        <f>('Income Stmt'!BV15+'Income Stmt'!BV37)</f>
        <v>1750384.3368968992</v>
      </c>
      <c r="BW19" s="81">
        <f>('Income Stmt'!BW15+'Income Stmt'!BW37)</f>
        <v>2165912.4921506979</v>
      </c>
      <c r="BX19" s="81">
        <f>('Income Stmt'!BX15+'Income Stmt'!BX37)</f>
        <v>2165912.4921506979</v>
      </c>
      <c r="BY19" s="81">
        <f>('Income Stmt'!BY15+'Income Stmt'!BY37)</f>
        <v>2165912.4921506979</v>
      </c>
      <c r="BZ19" s="81">
        <f>('Income Stmt'!BZ15+'Income Stmt'!BZ37)</f>
        <v>2165912.4921506979</v>
      </c>
      <c r="CA19" s="81">
        <f>('Income Stmt'!CA15+'Income Stmt'!CA37)</f>
        <v>2165912.4921506979</v>
      </c>
      <c r="CB19" s="81">
        <f>('Income Stmt'!CB15+'Income Stmt'!CB37)</f>
        <v>2165912.4921506979</v>
      </c>
      <c r="CC19" s="81">
        <f>('Income Stmt'!CC15+'Income Stmt'!CC37)</f>
        <v>2165912.4921506979</v>
      </c>
      <c r="CD19" s="81">
        <f>('Income Stmt'!CD15+'Income Stmt'!CD37)</f>
        <v>2165912.4921506979</v>
      </c>
      <c r="CE19" s="81">
        <f>('Income Stmt'!CE15+'Income Stmt'!CE37)</f>
        <v>2165912.4921506979</v>
      </c>
      <c r="CF19" s="81">
        <f>('Income Stmt'!CF15+'Income Stmt'!CF37)</f>
        <v>2165912.4921506979</v>
      </c>
      <c r="CG19" s="81">
        <f>('Income Stmt'!CG15+'Income Stmt'!CG37)</f>
        <v>2165912.4921506979</v>
      </c>
      <c r="CH19" s="81">
        <f>('Income Stmt'!CH15+'Income Stmt'!CH37)</f>
        <v>2165912.4921506979</v>
      </c>
      <c r="CI19" s="81">
        <f>('Income Stmt'!CI15+'Income Stmt'!CI37)</f>
        <v>2165912.4921506979</v>
      </c>
      <c r="CJ19" s="81">
        <f>('Income Stmt'!CJ15+'Income Stmt'!CJ37)</f>
        <v>2165912.4921506979</v>
      </c>
      <c r="CK19" s="81">
        <f>('Income Stmt'!CK15+'Income Stmt'!CK37)</f>
        <v>2165912.4921506979</v>
      </c>
      <c r="CL19" s="81">
        <f>('Income Stmt'!CL15+'Income Stmt'!CL37)</f>
        <v>2165912.4921506979</v>
      </c>
      <c r="CM19" s="81">
        <f>('Income Stmt'!CM15+'Income Stmt'!CM37)</f>
        <v>2165912.4921506979</v>
      </c>
      <c r="CN19" s="81">
        <f>('Income Stmt'!CN15+'Income Stmt'!CN37)</f>
        <v>2212904.6360846944</v>
      </c>
      <c r="CO19" s="81">
        <f>('Income Stmt'!CO15+'Income Stmt'!CO37)</f>
        <v>2212904.6360846944</v>
      </c>
      <c r="CP19" s="81">
        <f>('Income Stmt'!CP15+'Income Stmt'!CP37)</f>
        <v>2212904.6360846944</v>
      </c>
      <c r="CQ19" s="81">
        <f>('Income Stmt'!CQ15+'Income Stmt'!CQ37)</f>
        <v>2212904.6360846944</v>
      </c>
      <c r="CR19" s="81">
        <f>('Income Stmt'!CR15+'Income Stmt'!CR37)</f>
        <v>2212904.6360846944</v>
      </c>
      <c r="CS19" s="81">
        <f>('Income Stmt'!CS15+'Income Stmt'!CS37)</f>
        <v>2212904.6360846944</v>
      </c>
      <c r="CT19" s="81">
        <f>('Income Stmt'!CT15+'Income Stmt'!CT37)</f>
        <v>2212904.6360846944</v>
      </c>
      <c r="CU19" s="81">
        <f>('Income Stmt'!CU15+'Income Stmt'!CU37)</f>
        <v>2283823.735822516</v>
      </c>
      <c r="CV19" s="81">
        <f>('Income Stmt'!CV15+'Income Stmt'!CV37)</f>
        <v>2283823.735822516</v>
      </c>
      <c r="CW19" s="81">
        <f>('Income Stmt'!CW15+'Income Stmt'!CW37)</f>
        <v>2283823.735822516</v>
      </c>
      <c r="CX19" s="81">
        <f>('Income Stmt'!CX15+'Income Stmt'!CX37)</f>
        <v>2283823.735822516</v>
      </c>
      <c r="CY19" s="81">
        <f>('Income Stmt'!CY15+'Income Stmt'!CY37)</f>
        <v>2283823.735822516</v>
      </c>
      <c r="CZ19" s="81">
        <f>('Income Stmt'!CZ15+'Income Stmt'!CZ37)</f>
        <v>2283823.735822516</v>
      </c>
      <c r="DA19" s="81">
        <f>('Income Stmt'!DA15+'Income Stmt'!DA37)</f>
        <v>2283823.735822516</v>
      </c>
      <c r="DB19" s="81">
        <f>('Income Stmt'!DB15+'Income Stmt'!DB37)</f>
        <v>2283823.735822516</v>
      </c>
      <c r="DC19" s="81">
        <f>('Income Stmt'!DC15+'Income Stmt'!DC37)</f>
        <v>2283823.735822516</v>
      </c>
      <c r="DD19" s="81">
        <f>('Income Stmt'!DD15+'Income Stmt'!DD37)</f>
        <v>2283823.735822516</v>
      </c>
      <c r="DE19" s="81">
        <f>('Income Stmt'!DE15+'Income Stmt'!DE37)</f>
        <v>2283823.735822516</v>
      </c>
      <c r="DF19" s="81">
        <f>('Income Stmt'!DF15+'Income Stmt'!DF37)</f>
        <v>2283823.735822516</v>
      </c>
      <c r="DG19" s="81">
        <f>('Income Stmt'!DG15+'Income Stmt'!DG37)</f>
        <v>2330815.8797565126</v>
      </c>
      <c r="DH19" s="81">
        <f>('Income Stmt'!DH15+'Income Stmt'!DH37)</f>
        <v>2330815.8797565126</v>
      </c>
      <c r="DI19" s="81">
        <f>('Income Stmt'!DI15+'Income Stmt'!DI37)</f>
        <v>2330815.8797565126</v>
      </c>
      <c r="DJ19" s="81">
        <f>('Income Stmt'!DJ15+'Income Stmt'!DJ37)</f>
        <v>2330815.8797565126</v>
      </c>
      <c r="DK19" s="81">
        <f>('Income Stmt'!DK15+'Income Stmt'!DK37)</f>
        <v>2330815.8797565126</v>
      </c>
      <c r="DL19" s="81">
        <f>('Income Stmt'!DL15+'Income Stmt'!DL37)</f>
        <v>2330815.8797565126</v>
      </c>
      <c r="DM19" s="81">
        <f>('Income Stmt'!DM15+'Income Stmt'!DM37)</f>
        <v>2330815.8797565126</v>
      </c>
      <c r="DN19" s="81">
        <f>('Income Stmt'!DN15+'Income Stmt'!DN37)</f>
        <v>2330815.8797565126</v>
      </c>
      <c r="DO19" s="81">
        <f>('Income Stmt'!DO15+'Income Stmt'!DO37)</f>
        <v>2330815.8797565126</v>
      </c>
      <c r="DP19" s="81">
        <f>('Income Stmt'!DP15+'Income Stmt'!DP37)</f>
        <v>2330815.8797565126</v>
      </c>
      <c r="DQ19" s="81">
        <f>('Income Stmt'!DQ15+'Income Stmt'!DQ37)</f>
        <v>2330815.8797565126</v>
      </c>
      <c r="DR19" s="81">
        <f>('Income Stmt'!DR15+'Income Stmt'!DR37)</f>
        <v>2330815.8797565126</v>
      </c>
      <c r="DS19" s="81">
        <f>('Income Stmt'!DS15+'Income Stmt'!DS37)</f>
        <v>2401734.9794943342</v>
      </c>
      <c r="DT19" s="81">
        <f>('Income Stmt'!DT15+'Income Stmt'!DT37)</f>
        <v>2401734.9794943342</v>
      </c>
      <c r="DU19" s="81">
        <f>('Income Stmt'!DU15+'Income Stmt'!DU37)</f>
        <v>2401734.9794943342</v>
      </c>
      <c r="DV19" s="81">
        <f>('Income Stmt'!DV15+'Income Stmt'!DV37)</f>
        <v>2401734.9794943342</v>
      </c>
      <c r="DW19" s="81">
        <f>('Income Stmt'!DW15+'Income Stmt'!DW37)</f>
        <v>2401734.9794943342</v>
      </c>
      <c r="DX19" s="81">
        <f>('Income Stmt'!DX15+'Income Stmt'!DX37)</f>
        <v>2401734.9794943342</v>
      </c>
      <c r="DY19" s="81">
        <f>('Income Stmt'!DY15+'Income Stmt'!DY37)</f>
        <v>2401734.9794943342</v>
      </c>
      <c r="DZ19" s="81">
        <f>('Income Stmt'!DZ15+'Income Stmt'!DZ37)</f>
        <v>2401734.9794943342</v>
      </c>
      <c r="EA19" s="81">
        <f>('Income Stmt'!EA15+'Income Stmt'!EA37)</f>
        <v>2401734.9794943342</v>
      </c>
      <c r="EB19" s="81">
        <f>('Income Stmt'!EB15+'Income Stmt'!EB37)</f>
        <v>2401734.9794943342</v>
      </c>
      <c r="EC19" s="81">
        <f>('Income Stmt'!EC15+'Income Stmt'!EC37)</f>
        <v>2401734.9794943342</v>
      </c>
      <c r="ED19" s="81">
        <f>('Income Stmt'!ED15+'Income Stmt'!ED37)</f>
        <v>2401734.9794943342</v>
      </c>
      <c r="EE19" s="81">
        <f>('Income Stmt'!EE15+'Income Stmt'!EE37)</f>
        <v>2448727.1234283308</v>
      </c>
      <c r="EF19" s="81">
        <f>('Income Stmt'!EF15+'Income Stmt'!EF37)</f>
        <v>2448727.1234283308</v>
      </c>
      <c r="EG19" s="81">
        <f>('Income Stmt'!EG15+'Income Stmt'!EG37)</f>
        <v>2448727.1234283308</v>
      </c>
      <c r="EH19" s="81">
        <f>('Income Stmt'!EH15+'Income Stmt'!EH37)</f>
        <v>2448727.1234283308</v>
      </c>
      <c r="EI19" s="81">
        <f>('Income Stmt'!EI15+'Income Stmt'!EI37)</f>
        <v>2448727.1234283308</v>
      </c>
      <c r="EJ19" s="81">
        <f>('Income Stmt'!EJ15+'Income Stmt'!EJ37)</f>
        <v>2448727.1234283308</v>
      </c>
      <c r="EK19" s="81">
        <f>('Income Stmt'!EK15+'Income Stmt'!EK37)</f>
        <v>2448727.1234283308</v>
      </c>
      <c r="EL19" s="81">
        <f>('Income Stmt'!EL15+'Income Stmt'!EL37)</f>
        <v>2448727.1234283308</v>
      </c>
      <c r="EM19" s="81">
        <f>('Income Stmt'!EM15+'Income Stmt'!EM37)</f>
        <v>2448727.1234283308</v>
      </c>
      <c r="EN19" s="81">
        <f>('Income Stmt'!EN15+'Income Stmt'!EN37)</f>
        <v>2448727.1234283308</v>
      </c>
      <c r="EO19" s="81">
        <f>('Income Stmt'!EO15+'Income Stmt'!EO37)</f>
        <v>2448727.1234283308</v>
      </c>
      <c r="EP19" s="81">
        <f>('Income Stmt'!EP15+'Income Stmt'!EP37)</f>
        <v>2448727.1234283308</v>
      </c>
      <c r="EQ19" s="81">
        <f>('Income Stmt'!EQ15+'Income Stmt'!EQ37)</f>
        <v>2519646.2231661524</v>
      </c>
      <c r="ER19" s="81">
        <f>('Income Stmt'!ER15+'Income Stmt'!ER37)</f>
        <v>2519646.2231661524</v>
      </c>
      <c r="ES19" s="81">
        <f>('Income Stmt'!ES15+'Income Stmt'!ES37)</f>
        <v>2519646.2231661524</v>
      </c>
      <c r="ET19" s="81">
        <f>('Income Stmt'!ET15+'Income Stmt'!ET37)</f>
        <v>2519646.2231661524</v>
      </c>
      <c r="EU19" s="81">
        <f>('Income Stmt'!EU15+'Income Stmt'!EU37)</f>
        <v>2519646.2231661524</v>
      </c>
      <c r="EV19" s="81">
        <f>('Income Stmt'!EV15+'Income Stmt'!EV37)</f>
        <v>2519646.2231661524</v>
      </c>
      <c r="EW19" s="81">
        <f>('Income Stmt'!EW15+'Income Stmt'!EW37)</f>
        <v>2519646.2231661524</v>
      </c>
      <c r="EX19" s="81">
        <f>('Income Stmt'!EX15+'Income Stmt'!EX37)</f>
        <v>2519646.2231661524</v>
      </c>
      <c r="EY19" s="81">
        <f>('Income Stmt'!EY15+'Income Stmt'!EY37)</f>
        <v>2519646.2231661524</v>
      </c>
      <c r="EZ19" s="81">
        <f>('Income Stmt'!EZ15+'Income Stmt'!EZ37)</f>
        <v>2519646.2231661524</v>
      </c>
      <c r="FA19" s="81">
        <f>('Income Stmt'!FA15+'Income Stmt'!FA37)</f>
        <v>2519646.2231661524</v>
      </c>
      <c r="FB19" s="81">
        <f>('Income Stmt'!FB15+'Income Stmt'!FB37)</f>
        <v>2519646.2231661524</v>
      </c>
      <c r="FC19" s="81">
        <f>('Income Stmt'!FC15+'Income Stmt'!FC37)</f>
        <v>2566638.3671001494</v>
      </c>
      <c r="FD19" s="81">
        <f>('Income Stmt'!FD15+'Income Stmt'!FD37)</f>
        <v>2566638.3671001494</v>
      </c>
      <c r="FE19" s="81">
        <f>('Income Stmt'!FE15+'Income Stmt'!FE37)</f>
        <v>2566638.3671001494</v>
      </c>
      <c r="FF19" s="81">
        <f>('Income Stmt'!FF15+'Income Stmt'!FF37)</f>
        <v>2566638.3671001494</v>
      </c>
      <c r="FG19" s="81">
        <f>('Income Stmt'!FG15+'Income Stmt'!FG37)</f>
        <v>2566638.3671001494</v>
      </c>
      <c r="FH19" s="81">
        <f>('Income Stmt'!FH15+'Income Stmt'!FH37)</f>
        <v>2566638.3671001494</v>
      </c>
      <c r="FI19" s="81">
        <f>('Income Stmt'!FI15+'Income Stmt'!FI37)</f>
        <v>2566638.3671001494</v>
      </c>
      <c r="FJ19" s="81">
        <f>('Income Stmt'!FJ15+'Income Stmt'!FJ37)</f>
        <v>2566638.3671001494</v>
      </c>
      <c r="FK19" s="81">
        <f>('Income Stmt'!FK15+'Income Stmt'!FK37)</f>
        <v>2566638.3671001494</v>
      </c>
      <c r="FL19" s="81">
        <f>('Income Stmt'!FL15+'Income Stmt'!FL37)</f>
        <v>2566638.3671001494</v>
      </c>
      <c r="FM19" s="81">
        <f>('Income Stmt'!FM15+'Income Stmt'!FM37)</f>
        <v>2566638.3671001494</v>
      </c>
      <c r="FN19" s="81">
        <f>('Income Stmt'!FN15+'Income Stmt'!FN37)</f>
        <v>2566638.3671001494</v>
      </c>
      <c r="FO19" s="81">
        <f>('Income Stmt'!FO15+'Income Stmt'!FO37)</f>
        <v>2637557.4668379705</v>
      </c>
      <c r="FP19" s="81">
        <f>('Income Stmt'!FP15+'Income Stmt'!FP37)</f>
        <v>2637557.4668379705</v>
      </c>
      <c r="FQ19" s="81">
        <f>('Income Stmt'!FQ15+'Income Stmt'!FQ37)</f>
        <v>2637557.4668379705</v>
      </c>
      <c r="FR19" s="81">
        <f>('Income Stmt'!FR15+'Income Stmt'!FR37)</f>
        <v>2637557.4668379705</v>
      </c>
      <c r="FS19" s="81">
        <f>('Income Stmt'!FS15+'Income Stmt'!FS37)</f>
        <v>2637557.4668379705</v>
      </c>
      <c r="FT19" s="81">
        <f>('Income Stmt'!FT15+'Income Stmt'!FT37)</f>
        <v>2637557.4668379705</v>
      </c>
      <c r="FU19" s="81">
        <f>('Income Stmt'!FU15+'Income Stmt'!FU37)</f>
        <v>2637557.4668379705</v>
      </c>
      <c r="FV19" s="81">
        <f>('Income Stmt'!FV15+'Income Stmt'!FV37)</f>
        <v>2637557.4668379705</v>
      </c>
      <c r="FW19" s="81">
        <f>('Income Stmt'!FW15+'Income Stmt'!FW37)</f>
        <v>2637557.4668379705</v>
      </c>
      <c r="FX19" s="81">
        <f>('Income Stmt'!FX15+'Income Stmt'!FX37)</f>
        <v>2637557.4668379705</v>
      </c>
      <c r="FY19" s="81">
        <f>('Income Stmt'!FY15+'Income Stmt'!FY37)</f>
        <v>2637557.4668379705</v>
      </c>
      <c r="FZ19" s="81">
        <f>('Income Stmt'!FZ15+'Income Stmt'!FZ37)</f>
        <v>2637557.4668379705</v>
      </c>
      <c r="GA19" s="81">
        <f>('Income Stmt'!GA15+'Income Stmt'!GA37)</f>
        <v>2684549.6107719671</v>
      </c>
      <c r="GB19" s="81">
        <f>('Income Stmt'!GB15+'Income Stmt'!GB37)</f>
        <v>2684549.6107719671</v>
      </c>
      <c r="GC19" s="81">
        <f>('Income Stmt'!GC15+'Income Stmt'!GC37)</f>
        <v>2684549.6107719671</v>
      </c>
      <c r="GD19" s="81">
        <f>('Income Stmt'!GD15+'Income Stmt'!GD37)</f>
        <v>2684549.6107719671</v>
      </c>
      <c r="GE19" s="81">
        <f>('Income Stmt'!GE15+'Income Stmt'!GE37)</f>
        <v>2684549.6107719671</v>
      </c>
      <c r="GF19" s="81">
        <f>('Income Stmt'!GF15+'Income Stmt'!GF37)</f>
        <v>2684549.6107719671</v>
      </c>
      <c r="GG19" s="81">
        <f>('Income Stmt'!GG15+'Income Stmt'!GG37)</f>
        <v>2684549.6107719671</v>
      </c>
      <c r="GH19" s="81">
        <f>('Income Stmt'!GH15+'Income Stmt'!GH37)</f>
        <v>2684549.6107719671</v>
      </c>
      <c r="GI19" s="81">
        <f>('Income Stmt'!GI15+'Income Stmt'!GI37)</f>
        <v>2684549.6107719671</v>
      </c>
      <c r="GJ19" s="81">
        <f>('Income Stmt'!GJ15+'Income Stmt'!GJ37)</f>
        <v>2684549.6107719671</v>
      </c>
      <c r="GK19" s="81">
        <f>('Income Stmt'!GK15+'Income Stmt'!GK37)</f>
        <v>2684549.6107719671</v>
      </c>
      <c r="GL19" s="81">
        <f>('Income Stmt'!GL15+'Income Stmt'!GL37)</f>
        <v>2684549.6107719671</v>
      </c>
      <c r="GM19" s="81">
        <f>('Income Stmt'!GM15+'Income Stmt'!GM37)</f>
        <v>2755468.7105097882</v>
      </c>
      <c r="GN19" s="81">
        <f>('Income Stmt'!GN15+'Income Stmt'!GN37)</f>
        <v>2755468.7105097882</v>
      </c>
      <c r="GO19" s="81">
        <f>('Income Stmt'!GO15+'Income Stmt'!GO37)</f>
        <v>2755468.7105097882</v>
      </c>
      <c r="GP19" s="81">
        <f>('Income Stmt'!GP15+'Income Stmt'!GP37)</f>
        <v>2755468.7105097882</v>
      </c>
      <c r="GQ19" s="81">
        <f>('Income Stmt'!GQ15+'Income Stmt'!GQ37)</f>
        <v>2755468.7105097882</v>
      </c>
      <c r="GR19" s="81">
        <f>('Income Stmt'!GR15+'Income Stmt'!GR37)</f>
        <v>2755468.7105097882</v>
      </c>
      <c r="GS19" s="81">
        <f>('Income Stmt'!GS15+'Income Stmt'!GS37)</f>
        <v>2755468.7105097882</v>
      </c>
      <c r="GT19" s="81">
        <f>('Income Stmt'!GT15+'Income Stmt'!GT37)</f>
        <v>2755468.7105097882</v>
      </c>
      <c r="GU19" s="81">
        <f>('Income Stmt'!GU15+'Income Stmt'!GU37)</f>
        <v>2755468.7105097882</v>
      </c>
      <c r="GV19" s="81">
        <f>('Income Stmt'!GV15+'Income Stmt'!GV37)</f>
        <v>2755468.7105097882</v>
      </c>
      <c r="GW19" s="81">
        <f>('Income Stmt'!GW15+'Income Stmt'!GW37)</f>
        <v>2755468.7105097882</v>
      </c>
      <c r="GX19" s="81">
        <f>('Income Stmt'!GX15+'Income Stmt'!GX37)</f>
        <v>2755468.7105097882</v>
      </c>
      <c r="GY19" s="81">
        <f>('Income Stmt'!GY15+'Income Stmt'!GY37)</f>
        <v>2802460.8544437853</v>
      </c>
      <c r="GZ19" s="81">
        <f>('Income Stmt'!GZ15+'Income Stmt'!GZ37)</f>
        <v>2802460.8544437853</v>
      </c>
      <c r="HA19" s="81">
        <f>('Income Stmt'!HA15+'Income Stmt'!HA37)</f>
        <v>2802460.8544437853</v>
      </c>
      <c r="HB19" s="81">
        <f>('Income Stmt'!HB15+'Income Stmt'!HB37)</f>
        <v>2802460.8544437853</v>
      </c>
      <c r="HC19" s="81">
        <f>('Income Stmt'!HC15+'Income Stmt'!HC37)</f>
        <v>2802460.8544437853</v>
      </c>
      <c r="HD19" s="81">
        <f>('Income Stmt'!HD15+'Income Stmt'!HD37)</f>
        <v>2802460.8544437853</v>
      </c>
      <c r="HE19" s="81">
        <f>('Income Stmt'!HE15+'Income Stmt'!HE37)</f>
        <v>2802460.8544437853</v>
      </c>
      <c r="HF19" s="81">
        <f>('Income Stmt'!HF15+'Income Stmt'!HF37)</f>
        <v>2802460.8544437853</v>
      </c>
      <c r="HG19" s="81">
        <f>('Income Stmt'!HG15+'Income Stmt'!HG37)</f>
        <v>2802460.8544437853</v>
      </c>
      <c r="HH19" s="81">
        <f>('Income Stmt'!HH15+'Income Stmt'!HH37)</f>
        <v>2802460.8544437853</v>
      </c>
      <c r="HI19" s="81">
        <f>('Income Stmt'!HI15+'Income Stmt'!HI37)</f>
        <v>2802460.8544437853</v>
      </c>
      <c r="HJ19" s="81">
        <f>('Income Stmt'!HJ15+'Income Stmt'!HJ37)</f>
        <v>2802460.8544437853</v>
      </c>
      <c r="HK19" s="81">
        <f>('Income Stmt'!HK15+'Income Stmt'!HK37)</f>
        <v>2826387.8102476094</v>
      </c>
      <c r="HL19" s="81">
        <f>('Income Stmt'!HL15+'Income Stmt'!HL37)</f>
        <v>2826387.8102476094</v>
      </c>
      <c r="HM19" s="81">
        <f>('Income Stmt'!HM15+'Income Stmt'!HM37)</f>
        <v>2826387.8102476094</v>
      </c>
      <c r="HN19" s="81">
        <f>('Income Stmt'!HN15+'Income Stmt'!HN37)</f>
        <v>2826387.8102476094</v>
      </c>
      <c r="HO19" s="81">
        <f>('Income Stmt'!HO15+'Income Stmt'!HO37)</f>
        <v>2826387.8102476094</v>
      </c>
      <c r="HP19" s="81">
        <f>('Income Stmt'!HP15+'Income Stmt'!HP37)</f>
        <v>2826387.8102476094</v>
      </c>
      <c r="HQ19" s="81">
        <f>('Income Stmt'!HQ15+'Income Stmt'!HQ37)</f>
        <v>2826387.8102476094</v>
      </c>
      <c r="HR19" s="81">
        <f>('Income Stmt'!HR15+'Income Stmt'!HR37)</f>
        <v>2826387.8102476094</v>
      </c>
      <c r="HS19" s="81">
        <f>('Income Stmt'!HS15+'Income Stmt'!HS37)</f>
        <v>2826387.8102476094</v>
      </c>
      <c r="HT19" s="81">
        <f>('Income Stmt'!HT15+'Income Stmt'!HT37)</f>
        <v>2826387.8102476094</v>
      </c>
      <c r="HU19" s="81">
        <f>('Income Stmt'!HU15+'Income Stmt'!HU37)</f>
        <v>2826387.8102476094</v>
      </c>
      <c r="HV19" s="81">
        <f>('Income Stmt'!HV15+'Income Stmt'!HV37)</f>
        <v>2826387.8102476094</v>
      </c>
      <c r="HW19" s="81">
        <f>('Income Stmt'!HW15+'Income Stmt'!HW37)</f>
        <v>2826387.8102476094</v>
      </c>
      <c r="HX19" s="81">
        <f>('Income Stmt'!HX15+'Income Stmt'!HX37)</f>
        <v>2826387.8102476094</v>
      </c>
      <c r="HY19" s="81">
        <f>('Income Stmt'!HY15+'Income Stmt'!HY37)</f>
        <v>2826387.8102476094</v>
      </c>
      <c r="HZ19" s="81">
        <f>('Income Stmt'!HZ15+'Income Stmt'!HZ37)</f>
        <v>2826387.8102476094</v>
      </c>
      <c r="IA19" s="81">
        <f>('Income Stmt'!IA15+'Income Stmt'!IA37)</f>
        <v>2826387.8102476094</v>
      </c>
      <c r="IB19" s="81">
        <f>('Income Stmt'!IB15+'Income Stmt'!IB37)</f>
        <v>2826387.8102476094</v>
      </c>
      <c r="IC19" s="81">
        <f>('Income Stmt'!IC15+'Income Stmt'!IC37)</f>
        <v>2826387.8102476094</v>
      </c>
      <c r="ID19" s="81">
        <f>('Income Stmt'!ID15+'Income Stmt'!ID37)</f>
        <v>2826387.8102476094</v>
      </c>
      <c r="IE19" s="81">
        <f>('Income Stmt'!IE15+'Income Stmt'!IE37)</f>
        <v>2826387.8102476094</v>
      </c>
      <c r="IF19" s="81">
        <f>('Income Stmt'!IF15+'Income Stmt'!IF37)</f>
        <v>2826387.8102476094</v>
      </c>
      <c r="IG19" s="81">
        <f>('Income Stmt'!IG15+'Income Stmt'!IG37)</f>
        <v>2826387.8102476094</v>
      </c>
      <c r="IH19" s="81">
        <f>('Income Stmt'!IH15+'Income Stmt'!IH37)</f>
        <v>2826387.8102476094</v>
      </c>
    </row>
    <row r="20" spans="1:242" x14ac:dyDescent="0.45">
      <c r="A20" s="895" t="s">
        <v>288</v>
      </c>
      <c r="B20" s="896"/>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81"/>
      <c r="AT20" s="81"/>
      <c r="AU20" s="81"/>
      <c r="AV20" s="81"/>
      <c r="AW20" s="81"/>
      <c r="AX20" s="81"/>
      <c r="AY20" s="81"/>
      <c r="AZ20" s="81"/>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1"/>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1"/>
      <c r="CY20" s="81"/>
      <c r="CZ20" s="81"/>
      <c r="DA20" s="81"/>
      <c r="DB20" s="81"/>
      <c r="DC20" s="81"/>
      <c r="DD20" s="81"/>
      <c r="DE20" s="81"/>
      <c r="DF20" s="81"/>
      <c r="DG20" s="81"/>
      <c r="DH20" s="81"/>
      <c r="DI20" s="81"/>
      <c r="DJ20" s="81"/>
      <c r="DK20" s="81"/>
      <c r="DL20" s="81"/>
      <c r="DM20" s="81"/>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1"/>
      <c r="EM20" s="81"/>
      <c r="EN20" s="81"/>
      <c r="EO20" s="81"/>
      <c r="EP20" s="81"/>
      <c r="EQ20" s="81"/>
      <c r="ER20" s="81"/>
      <c r="ES20" s="81"/>
      <c r="ET20" s="81"/>
      <c r="EU20" s="81"/>
      <c r="EV20" s="81"/>
      <c r="EW20" s="81"/>
      <c r="EX20" s="81"/>
      <c r="EY20" s="81"/>
      <c r="EZ20" s="81"/>
      <c r="FA20" s="81"/>
      <c r="FB20" s="81"/>
      <c r="FC20" s="81"/>
      <c r="FD20" s="81"/>
      <c r="FE20" s="81"/>
      <c r="FF20" s="81"/>
      <c r="FG20" s="81"/>
      <c r="FH20" s="81"/>
      <c r="FI20" s="81"/>
      <c r="FJ20" s="81"/>
      <c r="FK20" s="81"/>
      <c r="FL20" s="81"/>
      <c r="FM20" s="81"/>
      <c r="FN20" s="81"/>
      <c r="FO20" s="81"/>
      <c r="FP20" s="81"/>
      <c r="FQ20" s="81"/>
      <c r="FR20" s="81"/>
      <c r="FS20" s="81"/>
      <c r="FT20" s="81"/>
      <c r="FU20" s="81"/>
      <c r="FV20" s="81"/>
      <c r="FW20" s="81"/>
      <c r="FX20" s="81"/>
      <c r="FY20" s="81"/>
      <c r="FZ20" s="81"/>
      <c r="GA20" s="81"/>
      <c r="GB20" s="81"/>
      <c r="GC20" s="81"/>
      <c r="GD20" s="81"/>
      <c r="GE20" s="81"/>
      <c r="GF20" s="81"/>
      <c r="GG20" s="81"/>
      <c r="GH20" s="81"/>
      <c r="GI20" s="81"/>
      <c r="GJ20" s="81"/>
      <c r="GK20" s="81"/>
      <c r="GL20" s="81"/>
      <c r="GM20" s="81"/>
      <c r="GN20" s="81"/>
      <c r="GO20" s="81"/>
      <c r="GP20" s="81"/>
      <c r="GQ20" s="81"/>
      <c r="GR20" s="81"/>
      <c r="GS20" s="81"/>
      <c r="GT20" s="81"/>
      <c r="GU20" s="81"/>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1"/>
      <c r="HT20" s="81"/>
      <c r="HU20" s="81"/>
      <c r="HV20" s="81"/>
      <c r="HW20" s="81"/>
      <c r="HX20" s="81"/>
      <c r="HY20" s="81"/>
      <c r="HZ20" s="81"/>
      <c r="IA20" s="81"/>
      <c r="IB20" s="81"/>
      <c r="IC20" s="81"/>
      <c r="ID20" s="81"/>
      <c r="IE20" s="81"/>
      <c r="IF20" s="81"/>
      <c r="IG20" s="81"/>
      <c r="IH20" s="81"/>
    </row>
    <row r="21" spans="1:242" x14ac:dyDescent="0.45">
      <c r="A21" s="895" t="s">
        <v>289</v>
      </c>
      <c r="B21" s="896"/>
      <c r="C21" s="81">
        <f>('Income Stmt'!C37*CST_DEFERRED_PCT)</f>
        <v>128865.17991749609</v>
      </c>
      <c r="D21" s="81">
        <f>('Income Stmt'!D37*CST_DEFERRED_PCT)</f>
        <v>71490.179917496091</v>
      </c>
      <c r="E21" s="81">
        <f>('Income Stmt'!E37*CST_DEFERRED_PCT)</f>
        <v>71490.179917496091</v>
      </c>
      <c r="F21" s="81">
        <f>('Income Stmt'!F37*CST_DEFERRED_PCT)</f>
        <v>71490.179917496091</v>
      </c>
      <c r="G21" s="81">
        <f>('Income Stmt'!G37*CST_DEFERRED_PCT)</f>
        <v>71490.179917496091</v>
      </c>
      <c r="H21" s="81">
        <f>('Income Stmt'!H37*CST_DEFERRED_PCT)</f>
        <v>71490.179917496091</v>
      </c>
      <c r="I21" s="81">
        <f>('Income Stmt'!I37*CST_DEFERRED_PCT)</f>
        <v>71490.179917496091</v>
      </c>
      <c r="J21" s="81">
        <f>('Income Stmt'!J37*CST_DEFERRED_PCT)</f>
        <v>71490.179917496091</v>
      </c>
      <c r="K21" s="81">
        <f>('Income Stmt'!K37*CST_DEFERRED_PCT)</f>
        <v>71490.179917496091</v>
      </c>
      <c r="L21" s="81">
        <f>('Income Stmt'!L37*CST_DEFERRED_PCT)</f>
        <v>71490.179917496091</v>
      </c>
      <c r="M21" s="81">
        <f>('Income Stmt'!M37*CST_DEFERRED_PCT)</f>
        <v>71490.179917496091</v>
      </c>
      <c r="N21" s="81">
        <f>('Income Stmt'!N37*CST_DEFERRED_PCT)</f>
        <v>71490.179917496091</v>
      </c>
      <c r="O21" s="81">
        <f>('Income Stmt'!O37*CST_DEFERRED_PCT)</f>
        <v>92490.179917496091</v>
      </c>
      <c r="P21" s="81">
        <f>('Income Stmt'!P37*CST_DEFERRED_PCT)</f>
        <v>71490.179917496091</v>
      </c>
      <c r="Q21" s="81">
        <f>('Income Stmt'!Q37*CST_DEFERRED_PCT)</f>
        <v>71490.179917496091</v>
      </c>
      <c r="R21" s="81">
        <f>('Income Stmt'!R37*CST_DEFERRED_PCT)</f>
        <v>71490.179917496091</v>
      </c>
      <c r="S21" s="81">
        <f>('Income Stmt'!S37*CST_DEFERRED_PCT)</f>
        <v>71490.179917496091</v>
      </c>
      <c r="T21" s="81">
        <f>('Income Stmt'!T37*CST_DEFERRED_PCT)</f>
        <v>71490.179917496091</v>
      </c>
      <c r="U21" s="81">
        <f>('Income Stmt'!U37*CST_DEFERRED_PCT)</f>
        <v>71490.179917496091</v>
      </c>
      <c r="V21" s="81">
        <f>('Income Stmt'!V37*CST_DEFERRED_PCT)</f>
        <v>71490.179917496091</v>
      </c>
      <c r="W21" s="81">
        <f>('Income Stmt'!W37*CST_DEFERRED_PCT)</f>
        <v>71490.179917496091</v>
      </c>
      <c r="X21" s="81">
        <f>('Income Stmt'!X37*CST_DEFERRED_PCT)</f>
        <v>71490.179917496091</v>
      </c>
      <c r="Y21" s="81">
        <f>('Income Stmt'!Y37*CST_DEFERRED_PCT)</f>
        <v>71490.179917496091</v>
      </c>
      <c r="Z21" s="81">
        <f>('Income Stmt'!Z37*CST_DEFERRED_PCT)</f>
        <v>71490.179917496091</v>
      </c>
      <c r="AA21" s="81">
        <f>('Income Stmt'!AA37*CST_DEFERRED_PCT)</f>
        <v>177720.53975248829</v>
      </c>
      <c r="AB21" s="81">
        <f>('Income Stmt'!AB37*CST_DEFERRED_PCT)</f>
        <v>177720.53975248829</v>
      </c>
      <c r="AC21" s="81">
        <f>('Income Stmt'!AC37*CST_DEFERRED_PCT)</f>
        <v>177720.53975248829</v>
      </c>
      <c r="AD21" s="81">
        <f>('Income Stmt'!AD37*CST_DEFERRED_PCT)</f>
        <v>177720.53975248829</v>
      </c>
      <c r="AE21" s="81">
        <f>('Income Stmt'!AE37*CST_DEFERRED_PCT)</f>
        <v>177720.53975248829</v>
      </c>
      <c r="AF21" s="81">
        <f>('Income Stmt'!AF37*CST_DEFERRED_PCT)</f>
        <v>177720.53975248829</v>
      </c>
      <c r="AG21" s="81">
        <f>('Income Stmt'!AG37*CST_DEFERRED_PCT)</f>
        <v>177720.53975248829</v>
      </c>
      <c r="AH21" s="81">
        <f>('Income Stmt'!AH37*CST_DEFERRED_PCT)</f>
        <v>177720.53975248829</v>
      </c>
      <c r="AI21" s="81">
        <f>('Income Stmt'!AI37*CST_DEFERRED_PCT)</f>
        <v>177720.53975248829</v>
      </c>
      <c r="AJ21" s="81">
        <f>('Income Stmt'!AJ37*CST_DEFERRED_PCT)</f>
        <v>177720.53975248829</v>
      </c>
      <c r="AK21" s="81">
        <f>('Income Stmt'!AK37*CST_DEFERRED_PCT)</f>
        <v>177720.53975248829</v>
      </c>
      <c r="AL21" s="81">
        <f>('Income Stmt'!AL37*CST_DEFERRED_PCT)</f>
        <v>177720.53975248829</v>
      </c>
      <c r="AM21" s="81">
        <f>('Income Stmt'!AM37*CST_DEFERRED_PCT)</f>
        <v>177720.53975248829</v>
      </c>
      <c r="AN21" s="81">
        <f>('Income Stmt'!AN37*CST_DEFERRED_PCT)</f>
        <v>177720.53975248829</v>
      </c>
      <c r="AO21" s="81">
        <f>('Income Stmt'!AO37*CST_DEFERRED_PCT)</f>
        <v>177720.53975248829</v>
      </c>
      <c r="AP21" s="81">
        <f>('Income Stmt'!AP37*CST_DEFERRED_PCT)</f>
        <v>177720.53975248829</v>
      </c>
      <c r="AQ21" s="81">
        <f>('Income Stmt'!AQ37*CST_DEFERRED_PCT)</f>
        <v>177720.53975248829</v>
      </c>
      <c r="AR21" s="81">
        <f>('Income Stmt'!AR37*CST_DEFERRED_PCT)</f>
        <v>177720.53975248829</v>
      </c>
      <c r="AS21" s="81">
        <f>('Income Stmt'!AS37*CST_DEFERRED_PCT)</f>
        <v>177720.53975248829</v>
      </c>
      <c r="AT21" s="81">
        <f>('Income Stmt'!AT37*CST_DEFERRED_PCT)</f>
        <v>177720.53975248829</v>
      </c>
      <c r="AU21" s="81">
        <f>('Income Stmt'!AU37*CST_DEFERRED_PCT)</f>
        <v>177720.53975248829</v>
      </c>
      <c r="AV21" s="81">
        <f>('Income Stmt'!AV37*CST_DEFERRED_PCT)</f>
        <v>177720.53975248829</v>
      </c>
      <c r="AW21" s="81">
        <f>('Income Stmt'!AW37*CST_DEFERRED_PCT)</f>
        <v>177720.53975248829</v>
      </c>
      <c r="AX21" s="81">
        <f>('Income Stmt'!AX37*CST_DEFERRED_PCT)</f>
        <v>177720.53975248829</v>
      </c>
      <c r="AY21" s="81">
        <f>('Income Stmt'!AY37*CST_DEFERRED_PCT)</f>
        <v>177720.53975248829</v>
      </c>
      <c r="AZ21" s="81">
        <f>('Income Stmt'!AZ37*CST_DEFERRED_PCT)</f>
        <v>177720.53975248829</v>
      </c>
      <c r="BA21" s="81">
        <f>('Income Stmt'!BA37*CST_DEFERRED_PCT)</f>
        <v>177720.53975248829</v>
      </c>
      <c r="BB21" s="81">
        <f>('Income Stmt'!BB37*CST_DEFERRED_PCT)</f>
        <v>177720.53975248829</v>
      </c>
      <c r="BC21" s="81">
        <f>('Income Stmt'!BC37*CST_DEFERRED_PCT)</f>
        <v>177720.53975248829</v>
      </c>
      <c r="BD21" s="81">
        <f>('Income Stmt'!BD37*CST_DEFERRED_PCT)</f>
        <v>177720.53975248829</v>
      </c>
      <c r="BE21" s="81">
        <f>('Income Stmt'!BE37*CST_DEFERRED_PCT)</f>
        <v>177720.53975248829</v>
      </c>
      <c r="BF21" s="81">
        <f>('Income Stmt'!BF37*CST_DEFERRED_PCT)</f>
        <v>177720.53975248829</v>
      </c>
      <c r="BG21" s="81">
        <f>('Income Stmt'!BG37*CST_DEFERRED_PCT)</f>
        <v>177720.53975248829</v>
      </c>
      <c r="BH21" s="81">
        <f>('Income Stmt'!BH37*CST_DEFERRED_PCT)</f>
        <v>177720.53975248829</v>
      </c>
      <c r="BI21" s="81">
        <f>('Income Stmt'!BI37*CST_DEFERRED_PCT)</f>
        <v>177720.53975248829</v>
      </c>
      <c r="BJ21" s="81">
        <f>('Income Stmt'!BJ37*CST_DEFERRED_PCT)</f>
        <v>177720.53975248829</v>
      </c>
      <c r="BK21" s="81">
        <f>('Income Stmt'!BK37*CST_DEFERRED_PCT)</f>
        <v>177720.53975248829</v>
      </c>
      <c r="BL21" s="81">
        <f>('Income Stmt'!BL37*CST_DEFERRED_PCT)</f>
        <v>177720.53975248829</v>
      </c>
      <c r="BM21" s="81">
        <f>('Income Stmt'!BM37*CST_DEFERRED_PCT)</f>
        <v>177720.53975248829</v>
      </c>
      <c r="BN21" s="81">
        <f>('Income Stmt'!BN37*CST_DEFERRED_PCT)</f>
        <v>177720.53975248829</v>
      </c>
      <c r="BO21" s="81">
        <f>('Income Stmt'!BO37*CST_DEFERRED_PCT)</f>
        <v>177720.53975248829</v>
      </c>
      <c r="BP21" s="81">
        <f>('Income Stmt'!BP37*CST_DEFERRED_PCT)</f>
        <v>177720.53975248829</v>
      </c>
      <c r="BQ21" s="81">
        <f>('Income Stmt'!BQ37*CST_DEFERRED_PCT)</f>
        <v>177720.53975248829</v>
      </c>
      <c r="BR21" s="81">
        <f>('Income Stmt'!BR37*CST_DEFERRED_PCT)</f>
        <v>177720.53975248829</v>
      </c>
      <c r="BS21" s="81">
        <f>('Income Stmt'!BS37*CST_DEFERRED_PCT)</f>
        <v>177720.53975248829</v>
      </c>
      <c r="BT21" s="81">
        <f>('Income Stmt'!BT37*CST_DEFERRED_PCT)</f>
        <v>177720.53975248829</v>
      </c>
      <c r="BU21" s="81">
        <f>('Income Stmt'!BU37*CST_DEFERRED_PCT)</f>
        <v>177720.53975248829</v>
      </c>
      <c r="BV21" s="81">
        <f>('Income Stmt'!BV37*CST_DEFERRED_PCT)</f>
        <v>177720.53975248829</v>
      </c>
      <c r="BW21" s="81">
        <f>('Income Stmt'!BW37*CST_DEFERRED_PCT)</f>
        <v>236460.71966998439</v>
      </c>
      <c r="BX21" s="81">
        <f>('Income Stmt'!BX37*CST_DEFERRED_PCT)</f>
        <v>236460.71966998439</v>
      </c>
      <c r="BY21" s="81">
        <f>('Income Stmt'!BY37*CST_DEFERRED_PCT)</f>
        <v>236460.71966998439</v>
      </c>
      <c r="BZ21" s="81">
        <f>('Income Stmt'!BZ37*CST_DEFERRED_PCT)</f>
        <v>236460.71966998439</v>
      </c>
      <c r="CA21" s="81">
        <f>('Income Stmt'!CA37*CST_DEFERRED_PCT)</f>
        <v>236460.71966998439</v>
      </c>
      <c r="CB21" s="81">
        <f>('Income Stmt'!CB37*CST_DEFERRED_PCT)</f>
        <v>236460.71966998439</v>
      </c>
      <c r="CC21" s="81">
        <f>('Income Stmt'!CC37*CST_DEFERRED_PCT)</f>
        <v>236460.71966998439</v>
      </c>
      <c r="CD21" s="81">
        <f>('Income Stmt'!CD37*CST_DEFERRED_PCT)</f>
        <v>236460.71966998439</v>
      </c>
      <c r="CE21" s="81">
        <f>('Income Stmt'!CE37*CST_DEFERRED_PCT)</f>
        <v>236460.71966998439</v>
      </c>
      <c r="CF21" s="81">
        <f>('Income Stmt'!CF37*CST_DEFERRED_PCT)</f>
        <v>236460.71966998439</v>
      </c>
      <c r="CG21" s="81">
        <f>('Income Stmt'!CG37*CST_DEFERRED_PCT)</f>
        <v>236460.71966998439</v>
      </c>
      <c r="CH21" s="81">
        <f>('Income Stmt'!CH37*CST_DEFERRED_PCT)</f>
        <v>236460.71966998439</v>
      </c>
      <c r="CI21" s="81">
        <f>('Income Stmt'!CI37*CST_DEFERRED_PCT)</f>
        <v>236460.71966998439</v>
      </c>
      <c r="CJ21" s="81">
        <f>('Income Stmt'!CJ37*CST_DEFERRED_PCT)</f>
        <v>236460.71966998439</v>
      </c>
      <c r="CK21" s="81">
        <f>('Income Stmt'!CK37*CST_DEFERRED_PCT)</f>
        <v>236460.71966998439</v>
      </c>
      <c r="CL21" s="81">
        <f>('Income Stmt'!CL37*CST_DEFERRED_PCT)</f>
        <v>236460.71966998439</v>
      </c>
      <c r="CM21" s="81">
        <f>('Income Stmt'!CM37*CST_DEFERRED_PCT)</f>
        <v>236460.71966998439</v>
      </c>
      <c r="CN21" s="81">
        <f>('Income Stmt'!CN37*CST_DEFERRED_PCT)</f>
        <v>243509.5412600839</v>
      </c>
      <c r="CO21" s="81">
        <f>('Income Stmt'!CO37*CST_DEFERRED_PCT)</f>
        <v>243509.5412600839</v>
      </c>
      <c r="CP21" s="81">
        <f>('Income Stmt'!CP37*CST_DEFERRED_PCT)</f>
        <v>243509.5412600839</v>
      </c>
      <c r="CQ21" s="81">
        <f>('Income Stmt'!CQ37*CST_DEFERRED_PCT)</f>
        <v>243509.5412600839</v>
      </c>
      <c r="CR21" s="81">
        <f>('Income Stmt'!CR37*CST_DEFERRED_PCT)</f>
        <v>243509.5412600839</v>
      </c>
      <c r="CS21" s="81">
        <f>('Income Stmt'!CS37*CST_DEFERRED_PCT)</f>
        <v>243509.5412600839</v>
      </c>
      <c r="CT21" s="81">
        <f>('Income Stmt'!CT37*CST_DEFERRED_PCT)</f>
        <v>243509.5412600839</v>
      </c>
      <c r="CU21" s="81">
        <f>('Income Stmt'!CU37*CST_DEFERRED_PCT)</f>
        <v>250558.36285018345</v>
      </c>
      <c r="CV21" s="81">
        <f>('Income Stmt'!CV37*CST_DEFERRED_PCT)</f>
        <v>250558.36285018345</v>
      </c>
      <c r="CW21" s="81">
        <f>('Income Stmt'!CW37*CST_DEFERRED_PCT)</f>
        <v>250558.36285018345</v>
      </c>
      <c r="CX21" s="81">
        <f>('Income Stmt'!CX37*CST_DEFERRED_PCT)</f>
        <v>250558.36285018345</v>
      </c>
      <c r="CY21" s="81">
        <f>('Income Stmt'!CY37*CST_DEFERRED_PCT)</f>
        <v>250558.36285018345</v>
      </c>
      <c r="CZ21" s="81">
        <f>('Income Stmt'!CZ37*CST_DEFERRED_PCT)</f>
        <v>250558.36285018345</v>
      </c>
      <c r="DA21" s="81">
        <f>('Income Stmt'!DA37*CST_DEFERRED_PCT)</f>
        <v>250558.36285018345</v>
      </c>
      <c r="DB21" s="81">
        <f>('Income Stmt'!DB37*CST_DEFERRED_PCT)</f>
        <v>250558.36285018345</v>
      </c>
      <c r="DC21" s="81">
        <f>('Income Stmt'!DC37*CST_DEFERRED_PCT)</f>
        <v>250558.36285018345</v>
      </c>
      <c r="DD21" s="81">
        <f>('Income Stmt'!DD37*CST_DEFERRED_PCT)</f>
        <v>250558.36285018345</v>
      </c>
      <c r="DE21" s="81">
        <f>('Income Stmt'!DE37*CST_DEFERRED_PCT)</f>
        <v>250558.36285018345</v>
      </c>
      <c r="DF21" s="81">
        <f>('Income Stmt'!DF37*CST_DEFERRED_PCT)</f>
        <v>250558.36285018345</v>
      </c>
      <c r="DG21" s="81">
        <f>('Income Stmt'!DG37*CST_DEFERRED_PCT)</f>
        <v>257607.18444028293</v>
      </c>
      <c r="DH21" s="81">
        <f>('Income Stmt'!DH37*CST_DEFERRED_PCT)</f>
        <v>257607.18444028293</v>
      </c>
      <c r="DI21" s="81">
        <f>('Income Stmt'!DI37*CST_DEFERRED_PCT)</f>
        <v>257607.18444028293</v>
      </c>
      <c r="DJ21" s="81">
        <f>('Income Stmt'!DJ37*CST_DEFERRED_PCT)</f>
        <v>257607.18444028293</v>
      </c>
      <c r="DK21" s="81">
        <f>('Income Stmt'!DK37*CST_DEFERRED_PCT)</f>
        <v>257607.18444028293</v>
      </c>
      <c r="DL21" s="81">
        <f>('Income Stmt'!DL37*CST_DEFERRED_PCT)</f>
        <v>257607.18444028293</v>
      </c>
      <c r="DM21" s="81">
        <f>('Income Stmt'!DM37*CST_DEFERRED_PCT)</f>
        <v>257607.18444028293</v>
      </c>
      <c r="DN21" s="81">
        <f>('Income Stmt'!DN37*CST_DEFERRED_PCT)</f>
        <v>257607.18444028293</v>
      </c>
      <c r="DO21" s="81">
        <f>('Income Stmt'!DO37*CST_DEFERRED_PCT)</f>
        <v>257607.18444028293</v>
      </c>
      <c r="DP21" s="81">
        <f>('Income Stmt'!DP37*CST_DEFERRED_PCT)</f>
        <v>257607.18444028293</v>
      </c>
      <c r="DQ21" s="81">
        <f>('Income Stmt'!DQ37*CST_DEFERRED_PCT)</f>
        <v>257607.18444028293</v>
      </c>
      <c r="DR21" s="81">
        <f>('Income Stmt'!DR37*CST_DEFERRED_PCT)</f>
        <v>257607.18444028293</v>
      </c>
      <c r="DS21" s="81">
        <f>('Income Stmt'!DS37*CST_DEFERRED_PCT)</f>
        <v>264656.00603038253</v>
      </c>
      <c r="DT21" s="81">
        <f>('Income Stmt'!DT37*CST_DEFERRED_PCT)</f>
        <v>264656.00603038253</v>
      </c>
      <c r="DU21" s="81">
        <f>('Income Stmt'!DU37*CST_DEFERRED_PCT)</f>
        <v>264656.00603038253</v>
      </c>
      <c r="DV21" s="81">
        <f>('Income Stmt'!DV37*CST_DEFERRED_PCT)</f>
        <v>264656.00603038253</v>
      </c>
      <c r="DW21" s="81">
        <f>('Income Stmt'!DW37*CST_DEFERRED_PCT)</f>
        <v>264656.00603038253</v>
      </c>
      <c r="DX21" s="81">
        <f>('Income Stmt'!DX37*CST_DEFERRED_PCT)</f>
        <v>264656.00603038253</v>
      </c>
      <c r="DY21" s="81">
        <f>('Income Stmt'!DY37*CST_DEFERRED_PCT)</f>
        <v>264656.00603038253</v>
      </c>
      <c r="DZ21" s="81">
        <f>('Income Stmt'!DZ37*CST_DEFERRED_PCT)</f>
        <v>264656.00603038253</v>
      </c>
      <c r="EA21" s="81">
        <f>('Income Stmt'!EA37*CST_DEFERRED_PCT)</f>
        <v>264656.00603038253</v>
      </c>
      <c r="EB21" s="81">
        <f>('Income Stmt'!EB37*CST_DEFERRED_PCT)</f>
        <v>264656.00603038253</v>
      </c>
      <c r="EC21" s="81">
        <f>('Income Stmt'!EC37*CST_DEFERRED_PCT)</f>
        <v>264656.00603038253</v>
      </c>
      <c r="ED21" s="81">
        <f>('Income Stmt'!ED37*CST_DEFERRED_PCT)</f>
        <v>264656.00603038253</v>
      </c>
      <c r="EE21" s="81">
        <f>('Income Stmt'!EE37*CST_DEFERRED_PCT)</f>
        <v>271704.82762048207</v>
      </c>
      <c r="EF21" s="81">
        <f>('Income Stmt'!EF37*CST_DEFERRED_PCT)</f>
        <v>271704.82762048207</v>
      </c>
      <c r="EG21" s="81">
        <f>('Income Stmt'!EG37*CST_DEFERRED_PCT)</f>
        <v>271704.82762048207</v>
      </c>
      <c r="EH21" s="81">
        <f>('Income Stmt'!EH37*CST_DEFERRED_PCT)</f>
        <v>271704.82762048207</v>
      </c>
      <c r="EI21" s="81">
        <f>('Income Stmt'!EI37*CST_DEFERRED_PCT)</f>
        <v>271704.82762048207</v>
      </c>
      <c r="EJ21" s="81">
        <f>('Income Stmt'!EJ37*CST_DEFERRED_PCT)</f>
        <v>271704.82762048207</v>
      </c>
      <c r="EK21" s="81">
        <f>('Income Stmt'!EK37*CST_DEFERRED_PCT)</f>
        <v>271704.82762048207</v>
      </c>
      <c r="EL21" s="81">
        <f>('Income Stmt'!EL37*CST_DEFERRED_PCT)</f>
        <v>271704.82762048207</v>
      </c>
      <c r="EM21" s="81">
        <f>('Income Stmt'!EM37*CST_DEFERRED_PCT)</f>
        <v>271704.82762048207</v>
      </c>
      <c r="EN21" s="81">
        <f>('Income Stmt'!EN37*CST_DEFERRED_PCT)</f>
        <v>271704.82762048207</v>
      </c>
      <c r="EO21" s="81">
        <f>('Income Stmt'!EO37*CST_DEFERRED_PCT)</f>
        <v>271704.82762048207</v>
      </c>
      <c r="EP21" s="81">
        <f>('Income Stmt'!EP37*CST_DEFERRED_PCT)</f>
        <v>271704.82762048207</v>
      </c>
      <c r="EQ21" s="81">
        <f>('Income Stmt'!EQ37*CST_DEFERRED_PCT)</f>
        <v>278753.64921058161</v>
      </c>
      <c r="ER21" s="81">
        <f>('Income Stmt'!ER37*CST_DEFERRED_PCT)</f>
        <v>278753.64921058161</v>
      </c>
      <c r="ES21" s="81">
        <f>('Income Stmt'!ES37*CST_DEFERRED_PCT)</f>
        <v>278753.64921058161</v>
      </c>
      <c r="ET21" s="81">
        <f>('Income Stmt'!ET37*CST_DEFERRED_PCT)</f>
        <v>278753.64921058161</v>
      </c>
      <c r="EU21" s="81">
        <f>('Income Stmt'!EU37*CST_DEFERRED_PCT)</f>
        <v>278753.64921058161</v>
      </c>
      <c r="EV21" s="81">
        <f>('Income Stmt'!EV37*CST_DEFERRED_PCT)</f>
        <v>278753.64921058161</v>
      </c>
      <c r="EW21" s="81">
        <f>('Income Stmt'!EW37*CST_DEFERRED_PCT)</f>
        <v>278753.64921058161</v>
      </c>
      <c r="EX21" s="81">
        <f>('Income Stmt'!EX37*CST_DEFERRED_PCT)</f>
        <v>278753.64921058161</v>
      </c>
      <c r="EY21" s="81">
        <f>('Income Stmt'!EY37*CST_DEFERRED_PCT)</f>
        <v>278753.64921058161</v>
      </c>
      <c r="EZ21" s="81">
        <f>('Income Stmt'!EZ37*CST_DEFERRED_PCT)</f>
        <v>278753.64921058161</v>
      </c>
      <c r="FA21" s="81">
        <f>('Income Stmt'!FA37*CST_DEFERRED_PCT)</f>
        <v>278753.64921058161</v>
      </c>
      <c r="FB21" s="81">
        <f>('Income Stmt'!FB37*CST_DEFERRED_PCT)</f>
        <v>278753.64921058161</v>
      </c>
      <c r="FC21" s="81">
        <f>('Income Stmt'!FC37*CST_DEFERRED_PCT)</f>
        <v>285802.4708006811</v>
      </c>
      <c r="FD21" s="81">
        <f>('Income Stmt'!FD37*CST_DEFERRED_PCT)</f>
        <v>285802.4708006811</v>
      </c>
      <c r="FE21" s="81">
        <f>('Income Stmt'!FE37*CST_DEFERRED_PCT)</f>
        <v>285802.4708006811</v>
      </c>
      <c r="FF21" s="81">
        <f>('Income Stmt'!FF37*CST_DEFERRED_PCT)</f>
        <v>285802.4708006811</v>
      </c>
      <c r="FG21" s="81">
        <f>('Income Stmt'!FG37*CST_DEFERRED_PCT)</f>
        <v>285802.4708006811</v>
      </c>
      <c r="FH21" s="81">
        <f>('Income Stmt'!FH37*CST_DEFERRED_PCT)</f>
        <v>285802.4708006811</v>
      </c>
      <c r="FI21" s="81">
        <f>('Income Stmt'!FI37*CST_DEFERRED_PCT)</f>
        <v>285802.4708006811</v>
      </c>
      <c r="FJ21" s="81">
        <f>('Income Stmt'!FJ37*CST_DEFERRED_PCT)</f>
        <v>285802.4708006811</v>
      </c>
      <c r="FK21" s="81">
        <f>('Income Stmt'!FK37*CST_DEFERRED_PCT)</f>
        <v>285802.4708006811</v>
      </c>
      <c r="FL21" s="81">
        <f>('Income Stmt'!FL37*CST_DEFERRED_PCT)</f>
        <v>285802.4708006811</v>
      </c>
      <c r="FM21" s="81">
        <f>('Income Stmt'!FM37*CST_DEFERRED_PCT)</f>
        <v>285802.4708006811</v>
      </c>
      <c r="FN21" s="81">
        <f>('Income Stmt'!FN37*CST_DEFERRED_PCT)</f>
        <v>285802.4708006811</v>
      </c>
      <c r="FO21" s="81">
        <f>('Income Stmt'!FO37*CST_DEFERRED_PCT)</f>
        <v>292851.29239078064</v>
      </c>
      <c r="FP21" s="81">
        <f>('Income Stmt'!FP37*CST_DEFERRED_PCT)</f>
        <v>292851.29239078064</v>
      </c>
      <c r="FQ21" s="81">
        <f>('Income Stmt'!FQ37*CST_DEFERRED_PCT)</f>
        <v>292851.29239078064</v>
      </c>
      <c r="FR21" s="81">
        <f>('Income Stmt'!FR37*CST_DEFERRED_PCT)</f>
        <v>292851.29239078064</v>
      </c>
      <c r="FS21" s="81">
        <f>('Income Stmt'!FS37*CST_DEFERRED_PCT)</f>
        <v>292851.29239078064</v>
      </c>
      <c r="FT21" s="81">
        <f>('Income Stmt'!FT37*CST_DEFERRED_PCT)</f>
        <v>292851.29239078064</v>
      </c>
      <c r="FU21" s="81">
        <f>('Income Stmt'!FU37*CST_DEFERRED_PCT)</f>
        <v>292851.29239078064</v>
      </c>
      <c r="FV21" s="81">
        <f>('Income Stmt'!FV37*CST_DEFERRED_PCT)</f>
        <v>292851.29239078064</v>
      </c>
      <c r="FW21" s="81">
        <f>('Income Stmt'!FW37*CST_DEFERRED_PCT)</f>
        <v>292851.29239078064</v>
      </c>
      <c r="FX21" s="81">
        <f>('Income Stmt'!FX37*CST_DEFERRED_PCT)</f>
        <v>292851.29239078064</v>
      </c>
      <c r="FY21" s="81">
        <f>('Income Stmt'!FY37*CST_DEFERRED_PCT)</f>
        <v>292851.29239078064</v>
      </c>
      <c r="FZ21" s="81">
        <f>('Income Stmt'!FZ37*CST_DEFERRED_PCT)</f>
        <v>292851.29239078064</v>
      </c>
      <c r="GA21" s="81">
        <f>('Income Stmt'!GA37*CST_DEFERRED_PCT)</f>
        <v>299900.11398088018</v>
      </c>
      <c r="GB21" s="81">
        <f>('Income Stmt'!GB37*CST_DEFERRED_PCT)</f>
        <v>299900.11398088018</v>
      </c>
      <c r="GC21" s="81">
        <f>('Income Stmt'!GC37*CST_DEFERRED_PCT)</f>
        <v>299900.11398088018</v>
      </c>
      <c r="GD21" s="81">
        <f>('Income Stmt'!GD37*CST_DEFERRED_PCT)</f>
        <v>299900.11398088018</v>
      </c>
      <c r="GE21" s="81">
        <f>('Income Stmt'!GE37*CST_DEFERRED_PCT)</f>
        <v>299900.11398088018</v>
      </c>
      <c r="GF21" s="81">
        <f>('Income Stmt'!GF37*CST_DEFERRED_PCT)</f>
        <v>299900.11398088018</v>
      </c>
      <c r="GG21" s="81">
        <f>('Income Stmt'!GG37*CST_DEFERRED_PCT)</f>
        <v>299900.11398088018</v>
      </c>
      <c r="GH21" s="81">
        <f>('Income Stmt'!GH37*CST_DEFERRED_PCT)</f>
        <v>299900.11398088018</v>
      </c>
      <c r="GI21" s="81">
        <f>('Income Stmt'!GI37*CST_DEFERRED_PCT)</f>
        <v>299900.11398088018</v>
      </c>
      <c r="GJ21" s="81">
        <f>('Income Stmt'!GJ37*CST_DEFERRED_PCT)</f>
        <v>299900.11398088018</v>
      </c>
      <c r="GK21" s="81">
        <f>('Income Stmt'!GK37*CST_DEFERRED_PCT)</f>
        <v>299900.11398088018</v>
      </c>
      <c r="GL21" s="81">
        <f>('Income Stmt'!GL37*CST_DEFERRED_PCT)</f>
        <v>299900.11398088018</v>
      </c>
      <c r="GM21" s="81">
        <f>('Income Stmt'!GM37*CST_DEFERRED_PCT)</f>
        <v>306948.93557097972</v>
      </c>
      <c r="GN21" s="81">
        <f>('Income Stmt'!GN37*CST_DEFERRED_PCT)</f>
        <v>306948.93557097972</v>
      </c>
      <c r="GO21" s="81">
        <f>('Income Stmt'!GO37*CST_DEFERRED_PCT)</f>
        <v>306948.93557097972</v>
      </c>
      <c r="GP21" s="81">
        <f>('Income Stmt'!GP37*CST_DEFERRED_PCT)</f>
        <v>306948.93557097972</v>
      </c>
      <c r="GQ21" s="81">
        <f>('Income Stmt'!GQ37*CST_DEFERRED_PCT)</f>
        <v>306948.93557097972</v>
      </c>
      <c r="GR21" s="81">
        <f>('Income Stmt'!GR37*CST_DEFERRED_PCT)</f>
        <v>306948.93557097972</v>
      </c>
      <c r="GS21" s="81">
        <f>('Income Stmt'!GS37*CST_DEFERRED_PCT)</f>
        <v>306948.93557097972</v>
      </c>
      <c r="GT21" s="81">
        <f>('Income Stmt'!GT37*CST_DEFERRED_PCT)</f>
        <v>306948.93557097972</v>
      </c>
      <c r="GU21" s="81">
        <f>('Income Stmt'!GU37*CST_DEFERRED_PCT)</f>
        <v>306948.93557097972</v>
      </c>
      <c r="GV21" s="81">
        <f>('Income Stmt'!GV37*CST_DEFERRED_PCT)</f>
        <v>306948.93557097972</v>
      </c>
      <c r="GW21" s="81">
        <f>('Income Stmt'!GW37*CST_DEFERRED_PCT)</f>
        <v>306948.93557097972</v>
      </c>
      <c r="GX21" s="81">
        <f>('Income Stmt'!GX37*CST_DEFERRED_PCT)</f>
        <v>306948.93557097972</v>
      </c>
      <c r="GY21" s="81">
        <f>('Income Stmt'!GY37*CST_DEFERRED_PCT)</f>
        <v>313997.75716107927</v>
      </c>
      <c r="GZ21" s="81">
        <f>('Income Stmt'!GZ37*CST_DEFERRED_PCT)</f>
        <v>313997.75716107927</v>
      </c>
      <c r="HA21" s="81">
        <f>('Income Stmt'!HA37*CST_DEFERRED_PCT)</f>
        <v>313997.75716107927</v>
      </c>
      <c r="HB21" s="81">
        <f>('Income Stmt'!HB37*CST_DEFERRED_PCT)</f>
        <v>313997.75716107927</v>
      </c>
      <c r="HC21" s="81">
        <f>('Income Stmt'!HC37*CST_DEFERRED_PCT)</f>
        <v>313997.75716107927</v>
      </c>
      <c r="HD21" s="81">
        <f>('Income Stmt'!HD37*CST_DEFERRED_PCT)</f>
        <v>313997.75716107927</v>
      </c>
      <c r="HE21" s="81">
        <f>('Income Stmt'!HE37*CST_DEFERRED_PCT)</f>
        <v>313997.75716107927</v>
      </c>
      <c r="HF21" s="81">
        <f>('Income Stmt'!HF37*CST_DEFERRED_PCT)</f>
        <v>313997.75716107927</v>
      </c>
      <c r="HG21" s="81">
        <f>('Income Stmt'!HG37*CST_DEFERRED_PCT)</f>
        <v>313997.75716107927</v>
      </c>
      <c r="HH21" s="81">
        <f>('Income Stmt'!HH37*CST_DEFERRED_PCT)</f>
        <v>313997.75716107927</v>
      </c>
      <c r="HI21" s="81">
        <f>('Income Stmt'!HI37*CST_DEFERRED_PCT)</f>
        <v>313997.75716107927</v>
      </c>
      <c r="HJ21" s="81">
        <f>('Income Stmt'!HJ37*CST_DEFERRED_PCT)</f>
        <v>313997.75716107927</v>
      </c>
      <c r="HK21" s="81">
        <f>('Income Stmt'!HK37*CST_DEFERRED_PCT)</f>
        <v>313997.75716107927</v>
      </c>
      <c r="HL21" s="81">
        <f>('Income Stmt'!HL37*CST_DEFERRED_PCT)</f>
        <v>313997.75716107927</v>
      </c>
      <c r="HM21" s="81">
        <f>('Income Stmt'!HM37*CST_DEFERRED_PCT)</f>
        <v>313997.75716107927</v>
      </c>
      <c r="HN21" s="81">
        <f>('Income Stmt'!HN37*CST_DEFERRED_PCT)</f>
        <v>313997.75716107927</v>
      </c>
      <c r="HO21" s="81">
        <f>('Income Stmt'!HO37*CST_DEFERRED_PCT)</f>
        <v>313997.75716107927</v>
      </c>
      <c r="HP21" s="81">
        <f>('Income Stmt'!HP37*CST_DEFERRED_PCT)</f>
        <v>313997.75716107927</v>
      </c>
      <c r="HQ21" s="81">
        <f>('Income Stmt'!HQ37*CST_DEFERRED_PCT)</f>
        <v>313997.75716107927</v>
      </c>
      <c r="HR21" s="81">
        <f>('Income Stmt'!HR37*CST_DEFERRED_PCT)</f>
        <v>313997.75716107927</v>
      </c>
      <c r="HS21" s="81">
        <f>('Income Stmt'!HS37*CST_DEFERRED_PCT)</f>
        <v>313997.75716107927</v>
      </c>
      <c r="HT21" s="81">
        <f>('Income Stmt'!HT37*CST_DEFERRED_PCT)</f>
        <v>313997.75716107927</v>
      </c>
      <c r="HU21" s="81">
        <f>('Income Stmt'!HU37*CST_DEFERRED_PCT)</f>
        <v>313997.75716107927</v>
      </c>
      <c r="HV21" s="81">
        <f>('Income Stmt'!HV37*CST_DEFERRED_PCT)</f>
        <v>313997.75716107927</v>
      </c>
      <c r="HW21" s="81">
        <f>('Income Stmt'!HW37*CST_DEFERRED_PCT)</f>
        <v>313997.75716107927</v>
      </c>
      <c r="HX21" s="81">
        <f>('Income Stmt'!HX37*CST_DEFERRED_PCT)</f>
        <v>313997.75716107927</v>
      </c>
      <c r="HY21" s="81">
        <f>('Income Stmt'!HY37*CST_DEFERRED_PCT)</f>
        <v>313997.75716107927</v>
      </c>
      <c r="HZ21" s="81">
        <f>('Income Stmt'!HZ37*CST_DEFERRED_PCT)</f>
        <v>313997.75716107927</v>
      </c>
      <c r="IA21" s="81">
        <f>('Income Stmt'!IA37*CST_DEFERRED_PCT)</f>
        <v>313997.75716107927</v>
      </c>
      <c r="IB21" s="81">
        <f>('Income Stmt'!IB37*CST_DEFERRED_PCT)</f>
        <v>313997.75716107927</v>
      </c>
      <c r="IC21" s="81">
        <f>('Income Stmt'!IC37*CST_DEFERRED_PCT)</f>
        <v>313997.75716107927</v>
      </c>
      <c r="ID21" s="81">
        <f>('Income Stmt'!ID37*CST_DEFERRED_PCT)</f>
        <v>313997.75716107927</v>
      </c>
      <c r="IE21" s="81">
        <f>('Income Stmt'!IE37*CST_DEFERRED_PCT)</f>
        <v>313997.75716107927</v>
      </c>
      <c r="IF21" s="81">
        <f>('Income Stmt'!IF37*CST_DEFERRED_PCT)</f>
        <v>313997.75716107927</v>
      </c>
      <c r="IG21" s="81">
        <f>('Income Stmt'!IG37*CST_DEFERRED_PCT)</f>
        <v>313997.75716107927</v>
      </c>
      <c r="IH21" s="81">
        <f>('Income Stmt'!IH37*CST_DEFERRED_PCT)</f>
        <v>313997.75716107927</v>
      </c>
    </row>
    <row r="22" spans="1:242" ht="14.65" thickBot="1" x14ac:dyDescent="0.5">
      <c r="A22" s="105" t="s">
        <v>290</v>
      </c>
      <c r="B22" s="106"/>
      <c r="C22" s="111">
        <f>LTD!C8</f>
        <v>9407647.3473562002</v>
      </c>
      <c r="D22" s="111">
        <f>LTD!D8+C22</f>
        <v>18815294.6947124</v>
      </c>
      <c r="E22" s="111">
        <f>LTD!E8+D22</f>
        <v>28222942.042068601</v>
      </c>
      <c r="F22" s="111">
        <f>LTD!F8+E22</f>
        <v>37630589.389424801</v>
      </c>
      <c r="G22" s="111">
        <f>LTD!G8+F22</f>
        <v>47038236.736781001</v>
      </c>
      <c r="H22" s="111">
        <f>LTD!H8+G22</f>
        <v>56445884.084137201</v>
      </c>
      <c r="I22" s="111">
        <f>LTD!I8+H22</f>
        <v>65853531.431493402</v>
      </c>
      <c r="J22" s="111">
        <f>LTD!J8+I22</f>
        <v>75261178.778849602</v>
      </c>
      <c r="K22" s="111">
        <f>LTD!K8+J22</f>
        <v>84668826.126205802</v>
      </c>
      <c r="L22" s="111">
        <f>LTD!L8+K22</f>
        <v>94076473.473562002</v>
      </c>
      <c r="M22" s="111">
        <f>LTD!M8+L22</f>
        <v>103484120.8209182</v>
      </c>
      <c r="N22" s="111">
        <f>LTD!N8+M22</f>
        <v>112891768.1682744</v>
      </c>
      <c r="O22" s="111">
        <f>LTD!O8+N22</f>
        <v>122299415.5156306</v>
      </c>
      <c r="P22" s="111">
        <f>LTD!P8+O22</f>
        <v>131707062.8629868</v>
      </c>
      <c r="Q22" s="111">
        <f>LTD!Q8+P22</f>
        <v>141114710.210343</v>
      </c>
      <c r="R22" s="111">
        <f>LTD!R8+Q22</f>
        <v>150522357.5576992</v>
      </c>
      <c r="S22" s="111">
        <f>LTD!S8+R22</f>
        <v>159930004.9050554</v>
      </c>
      <c r="T22" s="111">
        <f>LTD!T8+S22</f>
        <v>169337652.2524116</v>
      </c>
      <c r="U22" s="111">
        <f>LTD!U8+T22</f>
        <v>178745299.5997678</v>
      </c>
      <c r="V22" s="111">
        <f>LTD!V8+U22</f>
        <v>188152946.947124</v>
      </c>
      <c r="W22" s="111">
        <f>LTD!W8+V22</f>
        <v>197560594.2944802</v>
      </c>
      <c r="X22" s="111">
        <f>LTD!X8+W22</f>
        <v>206968241.6418364</v>
      </c>
      <c r="Y22" s="111">
        <f>LTD!Y8+X22</f>
        <v>216375888.98919261</v>
      </c>
      <c r="Z22" s="111">
        <f>LTD!Z8+Y22</f>
        <v>225783536.33654881</v>
      </c>
      <c r="AA22" s="111">
        <f>LTD!AA8+Z22</f>
        <v>235191183.68390501</v>
      </c>
      <c r="AB22" s="111">
        <f>LTD!AB8+AA22</f>
        <v>244598831.03126121</v>
      </c>
      <c r="AC22" s="111">
        <f>LTD!AC8+AB22</f>
        <v>254006478.37861741</v>
      </c>
      <c r="AD22" s="111">
        <f>LTD!AD8+AC22</f>
        <v>263414125.72597361</v>
      </c>
      <c r="AE22" s="111">
        <f>LTD!AE8+AD22</f>
        <v>272821773.07332981</v>
      </c>
      <c r="AF22" s="111">
        <f>LTD!AF8+AE22</f>
        <v>282229420.42068601</v>
      </c>
      <c r="AG22" s="111">
        <f>LTD!AG8+AF22</f>
        <v>291637067.76804221</v>
      </c>
      <c r="AH22" s="111">
        <f>LTD!AH8+AG22</f>
        <v>301044715.11539841</v>
      </c>
      <c r="AI22" s="111">
        <f>LTD!AI8+AH22</f>
        <v>310452362.46275461</v>
      </c>
      <c r="AJ22" s="111">
        <f>LTD!AJ8+AI22</f>
        <v>319860009.81011081</v>
      </c>
      <c r="AK22" s="111">
        <f>LTD!AK8+AJ22</f>
        <v>329267657.15746701</v>
      </c>
      <c r="AL22" s="111">
        <f>LTD!AL8+AK22</f>
        <v>338675304.50482321</v>
      </c>
      <c r="AM22" s="111">
        <f>LTD!AM8+AL22</f>
        <v>348082951.85217941</v>
      </c>
      <c r="AN22" s="111">
        <f>LTD!AN8+AM22</f>
        <v>357490599.19953561</v>
      </c>
      <c r="AO22" s="111">
        <f>LTD!AO8+AN22</f>
        <v>366898246.54689181</v>
      </c>
      <c r="AP22" s="111">
        <f>LTD!AP8+AO22</f>
        <v>376305893.89424801</v>
      </c>
      <c r="AQ22" s="111">
        <f>LTD!AQ8+AP22</f>
        <v>385713541.24160421</v>
      </c>
      <c r="AR22" s="111">
        <f>LTD!AR8+AQ22</f>
        <v>395121188.58896041</v>
      </c>
      <c r="AS22" s="111">
        <f>LTD!AS8+AR22</f>
        <v>404528835.93631661</v>
      </c>
      <c r="AT22" s="111">
        <f>LTD!AT8+AS22</f>
        <v>413936483.28367281</v>
      </c>
      <c r="AU22" s="111">
        <f>LTD!AU8+AT22</f>
        <v>423344130.63102901</v>
      </c>
      <c r="AV22" s="111">
        <f>LTD!AV8+AU22</f>
        <v>432751777.97838521</v>
      </c>
      <c r="AW22" s="111">
        <f>LTD!AW8+AV22</f>
        <v>442159425.32574141</v>
      </c>
      <c r="AX22" s="111">
        <f>LTD!AX8+AW22</f>
        <v>451567072.67309761</v>
      </c>
      <c r="AY22" s="111">
        <f>LTD!AY8+AX22</f>
        <v>460974720.02045381</v>
      </c>
      <c r="AZ22" s="111">
        <f>LTD!AZ8+AY22</f>
        <v>470382367.36781001</v>
      </c>
      <c r="BA22" s="111">
        <f>LTD!BA8+AZ22</f>
        <v>479790014.71516621</v>
      </c>
      <c r="BB22" s="111">
        <f>LTD!BB8+BA22</f>
        <v>489197662.06252241</v>
      </c>
      <c r="BC22" s="111">
        <f>LTD!BC8+BB22</f>
        <v>498605309.40987861</v>
      </c>
      <c r="BD22" s="111">
        <f>LTD!BD8+BC22</f>
        <v>508012956.75723481</v>
      </c>
      <c r="BE22" s="111">
        <f>LTD!BE8+BD22</f>
        <v>517420604.10459101</v>
      </c>
      <c r="BF22" s="111">
        <f>LTD!BF8+BE22</f>
        <v>526828251.45194721</v>
      </c>
      <c r="BG22" s="111">
        <f>LTD!BG8+BF22</f>
        <v>536235898.79930341</v>
      </c>
      <c r="BH22" s="111">
        <f>LTD!BH8+BG22</f>
        <v>545643546.14665961</v>
      </c>
      <c r="BI22" s="111">
        <f>LTD!BI8+BH22</f>
        <v>555051193.49401581</v>
      </c>
      <c r="BJ22" s="111">
        <f>LTD!BJ8+BI22</f>
        <v>564458840.84137201</v>
      </c>
      <c r="BK22" s="111">
        <f>LTD!BK8+BJ22</f>
        <v>573866488.18872821</v>
      </c>
      <c r="BL22" s="111">
        <f>LTD!BL8+BK22</f>
        <v>583274135.53608441</v>
      </c>
      <c r="BM22" s="111">
        <f>LTD!BM8+BL22</f>
        <v>592681782.88344061</v>
      </c>
      <c r="BN22" s="111">
        <f>LTD!BN8+BM22</f>
        <v>602089430.23079681</v>
      </c>
      <c r="BO22" s="111">
        <f>LTD!BO8+BN22</f>
        <v>611497077.57815301</v>
      </c>
      <c r="BP22" s="111">
        <f>LTD!BP8+BO22</f>
        <v>620904724.92550921</v>
      </c>
      <c r="BQ22" s="111">
        <f>LTD!BQ8+BP22</f>
        <v>630312372.27286541</v>
      </c>
      <c r="BR22" s="111">
        <f>LTD!BR8+BQ22</f>
        <v>639720019.62022161</v>
      </c>
      <c r="BS22" s="111">
        <f>LTD!BS8+BR22</f>
        <v>649127666.96757782</v>
      </c>
      <c r="BT22" s="111">
        <f>LTD!BT8+BS22</f>
        <v>658535314.31493402</v>
      </c>
      <c r="BU22" s="111">
        <f>LTD!BU8+BT22</f>
        <v>667942961.66229022</v>
      </c>
      <c r="BV22" s="111">
        <f>LTD!BV8+BU22</f>
        <v>677350609.00964642</v>
      </c>
      <c r="BW22" s="111">
        <f>LTD!BW8+BV22</f>
        <v>686758256.35700262</v>
      </c>
      <c r="BX22" s="111">
        <f>LTD!BX8+BW22</f>
        <v>696165903.70435882</v>
      </c>
      <c r="BY22" s="111">
        <f>LTD!BY8+BX22</f>
        <v>705573551.05171502</v>
      </c>
      <c r="BZ22" s="111">
        <f>LTD!BZ8+BY22</f>
        <v>714981198.39907122</v>
      </c>
      <c r="CA22" s="111">
        <f>LTD!CA8+BZ22</f>
        <v>724388845.74642742</v>
      </c>
      <c r="CB22" s="111">
        <f>LTD!CB8+CA22</f>
        <v>733796493.09378362</v>
      </c>
      <c r="CC22" s="111">
        <f>LTD!CC8+CB22</f>
        <v>743204140.44113982</v>
      </c>
      <c r="CD22" s="111">
        <f>LTD!CD8+CC22</f>
        <v>752611787.78849602</v>
      </c>
      <c r="CE22" s="111">
        <f>LTD!CE8+CD22</f>
        <v>762019435.13585222</v>
      </c>
      <c r="CF22" s="111">
        <f>LTD!CF8+CE22</f>
        <v>771427082.48320842</v>
      </c>
      <c r="CG22" s="111">
        <f>LTD!CG8+CF22</f>
        <v>780834729.83056462</v>
      </c>
      <c r="CH22" s="111">
        <f>LTD!CH8+CG22</f>
        <v>790242377.17792082</v>
      </c>
      <c r="CI22" s="111">
        <f>LTD!CI8+CH22</f>
        <v>799650024.52527702</v>
      </c>
      <c r="CJ22" s="111">
        <f>LTD!CJ8+CI22</f>
        <v>809057671.87263322</v>
      </c>
      <c r="CK22" s="111">
        <f>LTD!CK8+CJ22</f>
        <v>818465319.21998942</v>
      </c>
      <c r="CL22" s="111">
        <f>LTD!CL8+CK22</f>
        <v>827872966.56734562</v>
      </c>
      <c r="CM22" s="111">
        <f>LTD!CM8+CL22</f>
        <v>837280613.91470182</v>
      </c>
      <c r="CN22" s="111">
        <f>LTD!CN8+CM22</f>
        <v>846688261.26205802</v>
      </c>
      <c r="CO22" s="111">
        <f>LTD!CO8+CN22</f>
        <v>856095908.60941422</v>
      </c>
      <c r="CP22" s="111">
        <f>LTD!CP8+CO22</f>
        <v>865503555.95677042</v>
      </c>
      <c r="CQ22" s="111">
        <f>LTD!CQ8+CP22</f>
        <v>874911203.30412662</v>
      </c>
      <c r="CR22" s="111">
        <f>LTD!CR8+CQ22</f>
        <v>884318850.65148282</v>
      </c>
      <c r="CS22" s="111">
        <f>LTD!CS8+CR22</f>
        <v>893726497.99883902</v>
      </c>
      <c r="CT22" s="111">
        <f>LTD!CT8+CS22</f>
        <v>903134145.34619522</v>
      </c>
      <c r="CU22" s="111">
        <f>LTD!CU8+CT22</f>
        <v>912541792.69355142</v>
      </c>
      <c r="CV22" s="111">
        <f>LTD!CV8+CU22</f>
        <v>921949440.04090762</v>
      </c>
      <c r="CW22" s="111">
        <f>LTD!CW8+CV22</f>
        <v>931357087.38826382</v>
      </c>
      <c r="CX22" s="111">
        <f>LTD!CX8+CW22</f>
        <v>940764734.73562002</v>
      </c>
      <c r="CY22" s="111">
        <f>LTD!CY8+CX22</f>
        <v>950172382.08297622</v>
      </c>
      <c r="CZ22" s="111">
        <f>LTD!CZ8+CY22</f>
        <v>959580029.43033242</v>
      </c>
      <c r="DA22" s="111">
        <f>LTD!DA8+CZ22</f>
        <v>968987676.77768862</v>
      </c>
      <c r="DB22" s="111">
        <f>LTD!DB8+DA22</f>
        <v>978395324.12504482</v>
      </c>
      <c r="DC22" s="111">
        <f>LTD!DC8+DB22</f>
        <v>987802971.47240102</v>
      </c>
      <c r="DD22" s="111">
        <f>LTD!DD8+DC22</f>
        <v>997210618.81975722</v>
      </c>
      <c r="DE22" s="111">
        <f>LTD!DE8+DD22</f>
        <v>1006618266.1671134</v>
      </c>
      <c r="DF22" s="111">
        <f>LTD!DF8+DE22</f>
        <v>1016025913.5144696</v>
      </c>
      <c r="DG22" s="111">
        <f>LTD!DG8+DF22</f>
        <v>1025433560.8618258</v>
      </c>
      <c r="DH22" s="111">
        <f>LTD!DH8+DG22</f>
        <v>1034841208.209182</v>
      </c>
      <c r="DI22" s="111">
        <f>LTD!DI8+DH22</f>
        <v>1044248855.5565382</v>
      </c>
      <c r="DJ22" s="111">
        <f>LTD!DJ8+DI22</f>
        <v>1053656502.9038944</v>
      </c>
      <c r="DK22" s="111">
        <f>LTD!DK8+DJ22</f>
        <v>1063064150.2512506</v>
      </c>
      <c r="DL22" s="111">
        <f>LTD!DL8+DK22</f>
        <v>1072471797.5986068</v>
      </c>
      <c r="DM22" s="111">
        <f>LTD!DM8+DL22</f>
        <v>1081879444.9459631</v>
      </c>
      <c r="DN22" s="111">
        <f>LTD!DN8+DM22</f>
        <v>1091287092.2933192</v>
      </c>
      <c r="DO22" s="111">
        <f>LTD!DO8+DN22</f>
        <v>1100694739.6406755</v>
      </c>
      <c r="DP22" s="111">
        <f>LTD!DP8+DO22</f>
        <v>1110102386.9880319</v>
      </c>
      <c r="DQ22" s="111">
        <f>LTD!DQ8+DP22</f>
        <v>1119510034.3353882</v>
      </c>
      <c r="DR22" s="111">
        <f>LTD!DR8+DQ22</f>
        <v>1128917681.6827445</v>
      </c>
      <c r="DS22" s="111">
        <f>LTD!DS8+DR22</f>
        <v>1128917681.6827445</v>
      </c>
      <c r="DT22" s="111">
        <f>LTD!DT8+DS22</f>
        <v>1128917681.6827445</v>
      </c>
      <c r="DU22" s="111">
        <f>LTD!DU8+DT22</f>
        <v>1128917681.6827445</v>
      </c>
      <c r="DV22" s="111">
        <f>LTD!DV8+DU22</f>
        <v>1128917681.6827445</v>
      </c>
      <c r="DW22" s="111">
        <f>LTD!DW8+DV22</f>
        <v>1128917681.6827445</v>
      </c>
      <c r="DX22" s="111">
        <f>LTD!DX8+DW22</f>
        <v>1128917681.6827445</v>
      </c>
      <c r="DY22" s="111">
        <f>LTD!DY8+DX22</f>
        <v>1128917681.6827445</v>
      </c>
      <c r="DZ22" s="111">
        <f>LTD!DZ8+DY22</f>
        <v>1128917681.6827445</v>
      </c>
      <c r="EA22" s="111">
        <f>LTD!EA8+DZ22</f>
        <v>1128917681.6827445</v>
      </c>
      <c r="EB22" s="111">
        <f>LTD!EB8+EA22</f>
        <v>1128917681.6827445</v>
      </c>
      <c r="EC22" s="111">
        <f>LTD!EC8+EB22</f>
        <v>1128917681.6827445</v>
      </c>
      <c r="ED22" s="111">
        <f>LTD!ED8+EC22</f>
        <v>1128917681.6827445</v>
      </c>
      <c r="EE22" s="111">
        <f>LTD!EE8+ED22</f>
        <v>1128917681.6827445</v>
      </c>
      <c r="EF22" s="111">
        <f>LTD!EF8+EE22</f>
        <v>1128917681.6827445</v>
      </c>
      <c r="EG22" s="111">
        <f>LTD!EG8+EF22</f>
        <v>1128917681.6827445</v>
      </c>
      <c r="EH22" s="111">
        <f>LTD!EH8+EG22</f>
        <v>1128917681.6827445</v>
      </c>
      <c r="EI22" s="111">
        <f>LTD!EI8+EH22</f>
        <v>1128917681.6827445</v>
      </c>
      <c r="EJ22" s="111">
        <f>LTD!EJ8+EI22</f>
        <v>1128917681.6827445</v>
      </c>
      <c r="EK22" s="111">
        <f>LTD!EK8+EJ22</f>
        <v>1128917681.6827445</v>
      </c>
      <c r="EL22" s="111">
        <f>LTD!EL8+EK22</f>
        <v>1128917681.6827445</v>
      </c>
      <c r="EM22" s="111">
        <f>LTD!EM8+EL22</f>
        <v>1128917681.6827445</v>
      </c>
      <c r="EN22" s="111">
        <f>LTD!EN8+EM22</f>
        <v>1128917681.6827445</v>
      </c>
      <c r="EO22" s="111">
        <f>LTD!EO8+EN22</f>
        <v>1128917681.6827445</v>
      </c>
      <c r="EP22" s="111">
        <f>LTD!EP8+EO22</f>
        <v>1128917681.6827445</v>
      </c>
      <c r="EQ22" s="111">
        <f>LTD!EQ8+EP22</f>
        <v>1128917681.6827445</v>
      </c>
      <c r="ER22" s="111">
        <f>LTD!ER8+EQ22</f>
        <v>1128917681.6827445</v>
      </c>
      <c r="ES22" s="111">
        <f>LTD!ES8+ER22</f>
        <v>1128917681.6827445</v>
      </c>
      <c r="ET22" s="111">
        <f>LTD!ET8+ES22</f>
        <v>1128917681.6827445</v>
      </c>
      <c r="EU22" s="111">
        <f>LTD!EU8+ET22</f>
        <v>1128917681.6827445</v>
      </c>
      <c r="EV22" s="111">
        <f>LTD!EV8+EU22</f>
        <v>1128917681.6827445</v>
      </c>
      <c r="EW22" s="111">
        <f>LTD!EW8+EV22</f>
        <v>1128917681.6827445</v>
      </c>
      <c r="EX22" s="111">
        <f>LTD!EX8+EW22</f>
        <v>1128917681.6827445</v>
      </c>
      <c r="EY22" s="111">
        <f>LTD!EY8+EX22</f>
        <v>1128917681.6827445</v>
      </c>
      <c r="EZ22" s="111">
        <f>LTD!EZ8+EY22</f>
        <v>1128917681.6827445</v>
      </c>
      <c r="FA22" s="111">
        <f>LTD!FA8+EZ22</f>
        <v>1128917681.6827445</v>
      </c>
      <c r="FB22" s="111">
        <f>LTD!FB8+FA22</f>
        <v>1128917681.6827445</v>
      </c>
      <c r="FC22" s="111">
        <f>LTD!FC8+FB22</f>
        <v>1128917681.6827445</v>
      </c>
      <c r="FD22" s="111">
        <f>LTD!FD8+FC22</f>
        <v>1128917681.6827445</v>
      </c>
      <c r="FE22" s="111">
        <f>LTD!FE8+FD22</f>
        <v>1128917681.6827445</v>
      </c>
      <c r="FF22" s="111">
        <f>LTD!FF8+FE22</f>
        <v>1128917681.6827445</v>
      </c>
      <c r="FG22" s="111">
        <f>LTD!FG8+FF22</f>
        <v>1128917681.6827445</v>
      </c>
      <c r="FH22" s="111">
        <f>LTD!FH8+FG22</f>
        <v>1128917681.6827445</v>
      </c>
      <c r="FI22" s="111">
        <f>LTD!FI8+FH22</f>
        <v>1128917681.6827445</v>
      </c>
      <c r="FJ22" s="111">
        <f>LTD!FJ8+FI22</f>
        <v>1128917681.6827445</v>
      </c>
      <c r="FK22" s="111">
        <f>LTD!FK8+FJ22</f>
        <v>1128917681.6827445</v>
      </c>
      <c r="FL22" s="111">
        <f>LTD!FL8+FK22</f>
        <v>1128917681.6827445</v>
      </c>
      <c r="FM22" s="111">
        <f>LTD!FM8+FL22</f>
        <v>1128917681.6827445</v>
      </c>
      <c r="FN22" s="111">
        <f>LTD!FN8+FM22</f>
        <v>1128917681.6827445</v>
      </c>
      <c r="FO22" s="111">
        <f>LTD!FO8+FN22</f>
        <v>1128917681.6827445</v>
      </c>
      <c r="FP22" s="111">
        <f>LTD!FP8+FO22</f>
        <v>1128917681.6827445</v>
      </c>
      <c r="FQ22" s="111">
        <f>LTD!FQ8+FP22</f>
        <v>1128917681.6827445</v>
      </c>
      <c r="FR22" s="111">
        <f>LTD!FR8+FQ22</f>
        <v>1128917681.6827445</v>
      </c>
      <c r="FS22" s="111">
        <f>LTD!FS8+FR22</f>
        <v>1128917681.6827445</v>
      </c>
      <c r="FT22" s="111">
        <f>LTD!FT8+FS22</f>
        <v>1128917681.6827445</v>
      </c>
      <c r="FU22" s="111">
        <f>LTD!FU8+FT22</f>
        <v>1128917681.6827445</v>
      </c>
      <c r="FV22" s="111">
        <f>LTD!FV8+FU22</f>
        <v>1128917681.6827445</v>
      </c>
      <c r="FW22" s="111">
        <f>LTD!FW8+FV22</f>
        <v>1128917681.6827445</v>
      </c>
      <c r="FX22" s="111">
        <f>LTD!FX8+FW22</f>
        <v>1128917681.6827445</v>
      </c>
      <c r="FY22" s="111">
        <f>LTD!FY8+FX22</f>
        <v>1128917681.6827445</v>
      </c>
      <c r="FZ22" s="111">
        <f>LTD!FZ8+FY22</f>
        <v>1128917681.6827445</v>
      </c>
      <c r="GA22" s="111">
        <f>LTD!GA8+FZ22</f>
        <v>1128917681.6827445</v>
      </c>
      <c r="GB22" s="111">
        <f>LTD!GB8+GA22</f>
        <v>1128917681.6827445</v>
      </c>
      <c r="GC22" s="111">
        <f>LTD!GC8+GB22</f>
        <v>1128917681.6827445</v>
      </c>
      <c r="GD22" s="111">
        <f>LTD!GD8+GC22</f>
        <v>1128917681.6827445</v>
      </c>
      <c r="GE22" s="111">
        <f>LTD!GE8+GD22</f>
        <v>1128917681.6827445</v>
      </c>
      <c r="GF22" s="111">
        <f>LTD!GF8+GE22</f>
        <v>1128917681.6827445</v>
      </c>
      <c r="GG22" s="111">
        <f>LTD!GG8+GF22</f>
        <v>1128917681.6827445</v>
      </c>
      <c r="GH22" s="111">
        <f>LTD!GH8+GG22</f>
        <v>1128917681.6827445</v>
      </c>
      <c r="GI22" s="111">
        <f>LTD!GI8+GH22</f>
        <v>1128917681.6827445</v>
      </c>
      <c r="GJ22" s="111">
        <f>LTD!GJ8+GI22</f>
        <v>1128917681.6827445</v>
      </c>
      <c r="GK22" s="111">
        <f>LTD!GK8+GJ22</f>
        <v>1128917681.6827445</v>
      </c>
      <c r="GL22" s="111">
        <f>LTD!GL8+GK22</f>
        <v>1128917681.6827445</v>
      </c>
      <c r="GM22" s="111">
        <f>LTD!GM8+GL22</f>
        <v>1128917681.6827445</v>
      </c>
      <c r="GN22" s="111">
        <f>LTD!GN8+GM22</f>
        <v>1128917681.6827445</v>
      </c>
      <c r="GO22" s="111">
        <f>LTD!GO8+GN22</f>
        <v>1128917681.6827445</v>
      </c>
      <c r="GP22" s="111">
        <f>LTD!GP8+GO22</f>
        <v>1128917681.6827445</v>
      </c>
      <c r="GQ22" s="111">
        <f>LTD!GQ8+GP22</f>
        <v>1128917681.6827445</v>
      </c>
      <c r="GR22" s="111">
        <f>LTD!GR8+GQ22</f>
        <v>1128917681.6827445</v>
      </c>
      <c r="GS22" s="111">
        <f>LTD!GS8+GR22</f>
        <v>1128917681.6827445</v>
      </c>
      <c r="GT22" s="111">
        <f>LTD!GT8+GS22</f>
        <v>1128917681.6827445</v>
      </c>
      <c r="GU22" s="111">
        <f>LTD!GU8+GT22</f>
        <v>1128917681.6827445</v>
      </c>
      <c r="GV22" s="111">
        <f>LTD!GV8+GU22</f>
        <v>1128917681.6827445</v>
      </c>
      <c r="GW22" s="111">
        <f>LTD!GW8+GV22</f>
        <v>1128917681.6827445</v>
      </c>
      <c r="GX22" s="111">
        <f>LTD!GX8+GW22</f>
        <v>1128917681.6827445</v>
      </c>
      <c r="GY22" s="111">
        <f>LTD!GY8+GX22</f>
        <v>1128917681.6827445</v>
      </c>
      <c r="GZ22" s="111">
        <f>LTD!GZ8+GY22</f>
        <v>1128917681.6827445</v>
      </c>
      <c r="HA22" s="111">
        <f>LTD!HA8+GZ22</f>
        <v>1128917681.6827445</v>
      </c>
      <c r="HB22" s="111">
        <f>LTD!HB8+HA22</f>
        <v>1128917681.6827445</v>
      </c>
      <c r="HC22" s="111">
        <f>LTD!HC8+HB22</f>
        <v>1128917681.6827445</v>
      </c>
      <c r="HD22" s="111">
        <f>LTD!HD8+HC22</f>
        <v>1128917681.6827445</v>
      </c>
      <c r="HE22" s="111">
        <f>LTD!HE8+HD22</f>
        <v>1128917681.6827445</v>
      </c>
      <c r="HF22" s="111">
        <f>LTD!HF8+HE22</f>
        <v>1128917681.6827445</v>
      </c>
      <c r="HG22" s="111">
        <f>LTD!HG8+HF22</f>
        <v>1128917681.6827445</v>
      </c>
      <c r="HH22" s="111">
        <f>LTD!HH8+HG22</f>
        <v>1128917681.6827445</v>
      </c>
      <c r="HI22" s="111">
        <f>LTD!HI8+HH22</f>
        <v>1128917681.6827445</v>
      </c>
      <c r="HJ22" s="111">
        <f>LTD!HJ8+HI22</f>
        <v>1128917681.6827445</v>
      </c>
      <c r="HK22" s="111">
        <f>LTD!HK8+HJ22</f>
        <v>1128917681.6827445</v>
      </c>
      <c r="HL22" s="111">
        <f>LTD!HL8+HK22</f>
        <v>1128917681.6827445</v>
      </c>
      <c r="HM22" s="111">
        <f>LTD!HM8+HL22</f>
        <v>1128917681.6827445</v>
      </c>
      <c r="HN22" s="111">
        <f>LTD!HN8+HM22</f>
        <v>1128917681.6827445</v>
      </c>
      <c r="HO22" s="111">
        <f>LTD!HO8+HN22</f>
        <v>1128917681.6827445</v>
      </c>
      <c r="HP22" s="111">
        <f>LTD!HP8+HO22</f>
        <v>1128917681.6827445</v>
      </c>
      <c r="HQ22" s="111">
        <f>LTD!HQ8+HP22</f>
        <v>1128917681.6827445</v>
      </c>
      <c r="HR22" s="111">
        <f>LTD!HR8+HQ22</f>
        <v>1128917681.6827445</v>
      </c>
      <c r="HS22" s="111">
        <f>LTD!HS8+HR22</f>
        <v>1128917681.6827445</v>
      </c>
      <c r="HT22" s="111">
        <f>LTD!HT8+HS22</f>
        <v>1128917681.6827445</v>
      </c>
      <c r="HU22" s="111">
        <f>LTD!HU8+HT22</f>
        <v>1128917681.6827445</v>
      </c>
      <c r="HV22" s="111">
        <f>LTD!HV8+HU22</f>
        <v>1128917681.6827445</v>
      </c>
      <c r="HW22" s="111">
        <f>LTD!HW8+HV22</f>
        <v>1128917681.6827445</v>
      </c>
      <c r="HX22" s="111">
        <f>LTD!HX8+HW22</f>
        <v>1128917681.6827445</v>
      </c>
      <c r="HY22" s="111">
        <f>LTD!HY8+HX22</f>
        <v>1128917681.6827445</v>
      </c>
      <c r="HZ22" s="111">
        <f>LTD!HZ8+HY22</f>
        <v>1128917681.6827445</v>
      </c>
      <c r="IA22" s="111">
        <f>LTD!IA8+HZ22</f>
        <v>1128917681.6827445</v>
      </c>
      <c r="IB22" s="111">
        <f>LTD!IB8+IA22</f>
        <v>1128917681.6827445</v>
      </c>
      <c r="IC22" s="111">
        <f>LTD!IC8+IB22</f>
        <v>1128917681.6827445</v>
      </c>
      <c r="ID22" s="111">
        <f>LTD!ID8+IC22</f>
        <v>1128917681.6827445</v>
      </c>
      <c r="IE22" s="111">
        <f>LTD!IE8+ID22</f>
        <v>1128917681.6827445</v>
      </c>
      <c r="IF22" s="111">
        <f>LTD!IF8+IE22</f>
        <v>1128917681.6827445</v>
      </c>
      <c r="IG22" s="111">
        <f>LTD!IG8+IF22</f>
        <v>1128917681.6827445</v>
      </c>
      <c r="IH22" s="111">
        <f>LTD!IH8+IG22</f>
        <v>1128917681.6827445</v>
      </c>
    </row>
    <row r="23" spans="1:242" ht="14.65" thickTop="1" x14ac:dyDescent="0.45">
      <c r="A23" s="895"/>
      <c r="B23" s="896"/>
      <c r="C23" s="85">
        <f>SUM(C19:C22)</f>
        <v>10395613.726723671</v>
      </c>
      <c r="D23" s="85">
        <f t="shared" ref="D23:BO23" si="249">SUM(D19:D22)</f>
        <v>19363386.074079871</v>
      </c>
      <c r="E23" s="85">
        <f t="shared" si="249"/>
        <v>28771033.421436071</v>
      </c>
      <c r="F23" s="85">
        <f t="shared" si="249"/>
        <v>38178680.768792272</v>
      </c>
      <c r="G23" s="85">
        <f t="shared" si="249"/>
        <v>47586328.116148472</v>
      </c>
      <c r="H23" s="85">
        <f t="shared" si="249"/>
        <v>56993975.463504672</v>
      </c>
      <c r="I23" s="85">
        <f t="shared" si="249"/>
        <v>66401622.810860872</v>
      </c>
      <c r="J23" s="85">
        <f t="shared" si="249"/>
        <v>75809270.158217072</v>
      </c>
      <c r="K23" s="85">
        <f t="shared" si="249"/>
        <v>85216917.505573273</v>
      </c>
      <c r="L23" s="85">
        <f t="shared" si="249"/>
        <v>94624564.852929473</v>
      </c>
      <c r="M23" s="85">
        <f t="shared" si="249"/>
        <v>104032212.20028567</v>
      </c>
      <c r="N23" s="85">
        <f t="shared" si="249"/>
        <v>113439859.54764187</v>
      </c>
      <c r="O23" s="85">
        <f t="shared" si="249"/>
        <v>123051621.56166475</v>
      </c>
      <c r="P23" s="85">
        <f t="shared" si="249"/>
        <v>132298268.90902095</v>
      </c>
      <c r="Q23" s="85">
        <f t="shared" si="249"/>
        <v>141705916.25637713</v>
      </c>
      <c r="R23" s="85">
        <f t="shared" si="249"/>
        <v>151113563.60373333</v>
      </c>
      <c r="S23" s="85">
        <f t="shared" si="249"/>
        <v>160521210.95108953</v>
      </c>
      <c r="T23" s="85">
        <f t="shared" si="249"/>
        <v>169928858.29844573</v>
      </c>
      <c r="U23" s="85">
        <f t="shared" si="249"/>
        <v>179336505.64580193</v>
      </c>
      <c r="V23" s="85">
        <f t="shared" si="249"/>
        <v>188744152.99315813</v>
      </c>
      <c r="W23" s="85">
        <f t="shared" si="249"/>
        <v>198151800.34051433</v>
      </c>
      <c r="X23" s="85">
        <f t="shared" si="249"/>
        <v>207559447.68787053</v>
      </c>
      <c r="Y23" s="85">
        <f t="shared" si="249"/>
        <v>216967095.03522673</v>
      </c>
      <c r="Z23" s="85">
        <f t="shared" si="249"/>
        <v>226374742.38258293</v>
      </c>
      <c r="AA23" s="85">
        <f t="shared" si="249"/>
        <v>236787710.29434815</v>
      </c>
      <c r="AB23" s="85">
        <f t="shared" si="249"/>
        <v>246195357.64170435</v>
      </c>
      <c r="AC23" s="85">
        <f t="shared" si="249"/>
        <v>255603004.98906055</v>
      </c>
      <c r="AD23" s="85">
        <f t="shared" si="249"/>
        <v>265010652.33641675</v>
      </c>
      <c r="AE23" s="85">
        <f t="shared" si="249"/>
        <v>274418299.68377292</v>
      </c>
      <c r="AF23" s="85">
        <f t="shared" si="249"/>
        <v>283825947.03112912</v>
      </c>
      <c r="AG23" s="85">
        <f t="shared" si="249"/>
        <v>293233594.37848532</v>
      </c>
      <c r="AH23" s="85">
        <f t="shared" si="249"/>
        <v>302641241.72584152</v>
      </c>
      <c r="AI23" s="85">
        <f t="shared" si="249"/>
        <v>312048889.07319772</v>
      </c>
      <c r="AJ23" s="85">
        <f t="shared" si="249"/>
        <v>321456536.42055392</v>
      </c>
      <c r="AK23" s="85">
        <f t="shared" si="249"/>
        <v>330864183.76791012</v>
      </c>
      <c r="AL23" s="85">
        <f t="shared" si="249"/>
        <v>340271831.11526632</v>
      </c>
      <c r="AM23" s="85">
        <f t="shared" si="249"/>
        <v>349791351.66640526</v>
      </c>
      <c r="AN23" s="85">
        <f t="shared" si="249"/>
        <v>359198999.01376146</v>
      </c>
      <c r="AO23" s="85">
        <f t="shared" si="249"/>
        <v>368606646.36111766</v>
      </c>
      <c r="AP23" s="85">
        <f t="shared" si="249"/>
        <v>378014293.70847386</v>
      </c>
      <c r="AQ23" s="85">
        <f t="shared" si="249"/>
        <v>387421941.05583006</v>
      </c>
      <c r="AR23" s="85">
        <f t="shared" si="249"/>
        <v>396829588.40318626</v>
      </c>
      <c r="AS23" s="85">
        <f t="shared" si="249"/>
        <v>406237235.75054246</v>
      </c>
      <c r="AT23" s="85">
        <f t="shared" si="249"/>
        <v>415644883.09789866</v>
      </c>
      <c r="AU23" s="85">
        <f t="shared" si="249"/>
        <v>425052530.44525486</v>
      </c>
      <c r="AV23" s="85">
        <f t="shared" si="249"/>
        <v>434460177.79261106</v>
      </c>
      <c r="AW23" s="85">
        <f t="shared" si="249"/>
        <v>443867825.13996726</v>
      </c>
      <c r="AX23" s="85">
        <f t="shared" si="249"/>
        <v>453275472.48732346</v>
      </c>
      <c r="AY23" s="85">
        <f t="shared" si="249"/>
        <v>462814724.74912435</v>
      </c>
      <c r="AZ23" s="85">
        <f t="shared" si="249"/>
        <v>472222372.09648055</v>
      </c>
      <c r="BA23" s="85">
        <f t="shared" si="249"/>
        <v>481630019.44383675</v>
      </c>
      <c r="BB23" s="85">
        <f t="shared" si="249"/>
        <v>491037666.79119295</v>
      </c>
      <c r="BC23" s="85">
        <f t="shared" si="249"/>
        <v>500445314.13854915</v>
      </c>
      <c r="BD23" s="85">
        <f t="shared" si="249"/>
        <v>509852961.48590535</v>
      </c>
      <c r="BE23" s="85">
        <f t="shared" si="249"/>
        <v>519260608.83326155</v>
      </c>
      <c r="BF23" s="85">
        <f t="shared" si="249"/>
        <v>528668256.18061775</v>
      </c>
      <c r="BG23" s="85">
        <f t="shared" si="249"/>
        <v>538075903.52797389</v>
      </c>
      <c r="BH23" s="85">
        <f t="shared" si="249"/>
        <v>547483550.87533009</v>
      </c>
      <c r="BI23" s="85">
        <f t="shared" si="249"/>
        <v>556891198.22268629</v>
      </c>
      <c r="BJ23" s="85">
        <f t="shared" si="249"/>
        <v>566298845.57004249</v>
      </c>
      <c r="BK23" s="85">
        <f t="shared" si="249"/>
        <v>575794593.06537759</v>
      </c>
      <c r="BL23" s="85">
        <f t="shared" si="249"/>
        <v>585202240.41273379</v>
      </c>
      <c r="BM23" s="85">
        <f t="shared" si="249"/>
        <v>594609887.76008999</v>
      </c>
      <c r="BN23" s="85">
        <f t="shared" si="249"/>
        <v>604017535.10744619</v>
      </c>
      <c r="BO23" s="85">
        <f t="shared" si="249"/>
        <v>613425182.45480239</v>
      </c>
      <c r="BP23" s="85">
        <f t="shared" ref="BP23:EA23" si="250">SUM(BP19:BP22)</f>
        <v>622832829.80215859</v>
      </c>
      <c r="BQ23" s="85">
        <f t="shared" si="250"/>
        <v>632240477.14951479</v>
      </c>
      <c r="BR23" s="85">
        <f t="shared" si="250"/>
        <v>641648124.49687099</v>
      </c>
      <c r="BS23" s="85">
        <f t="shared" si="250"/>
        <v>651055771.84422719</v>
      </c>
      <c r="BT23" s="85">
        <f t="shared" si="250"/>
        <v>660463419.1915834</v>
      </c>
      <c r="BU23" s="85">
        <f t="shared" si="250"/>
        <v>669871066.5389396</v>
      </c>
      <c r="BV23" s="85">
        <f t="shared" si="250"/>
        <v>679278713.8862958</v>
      </c>
      <c r="BW23" s="85">
        <f t="shared" si="250"/>
        <v>689160629.56882334</v>
      </c>
      <c r="BX23" s="85">
        <f t="shared" si="250"/>
        <v>698568276.91617954</v>
      </c>
      <c r="BY23" s="85">
        <f t="shared" si="250"/>
        <v>707975924.26353574</v>
      </c>
      <c r="BZ23" s="85">
        <f t="shared" si="250"/>
        <v>717383571.61089194</v>
      </c>
      <c r="CA23" s="85">
        <f t="shared" si="250"/>
        <v>726791218.95824814</v>
      </c>
      <c r="CB23" s="85">
        <f t="shared" si="250"/>
        <v>736198866.30560434</v>
      </c>
      <c r="CC23" s="85">
        <f t="shared" si="250"/>
        <v>745606513.65296054</v>
      </c>
      <c r="CD23" s="85">
        <f t="shared" si="250"/>
        <v>755014161.00031674</v>
      </c>
      <c r="CE23" s="85">
        <f t="shared" si="250"/>
        <v>764421808.34767294</v>
      </c>
      <c r="CF23" s="85">
        <f t="shared" si="250"/>
        <v>773829455.69502914</v>
      </c>
      <c r="CG23" s="85">
        <f t="shared" si="250"/>
        <v>783237103.04238534</v>
      </c>
      <c r="CH23" s="85">
        <f t="shared" si="250"/>
        <v>792644750.38974154</v>
      </c>
      <c r="CI23" s="85">
        <f t="shared" si="250"/>
        <v>802052397.73709774</v>
      </c>
      <c r="CJ23" s="85">
        <f t="shared" si="250"/>
        <v>811460045.08445394</v>
      </c>
      <c r="CK23" s="85">
        <f t="shared" si="250"/>
        <v>820867692.43181014</v>
      </c>
      <c r="CL23" s="85">
        <f t="shared" si="250"/>
        <v>830275339.77916634</v>
      </c>
      <c r="CM23" s="85">
        <f t="shared" si="250"/>
        <v>839682987.12652254</v>
      </c>
      <c r="CN23" s="85">
        <f t="shared" si="250"/>
        <v>849144675.43940282</v>
      </c>
      <c r="CO23" s="85">
        <f t="shared" si="250"/>
        <v>858552322.78675902</v>
      </c>
      <c r="CP23" s="85">
        <f t="shared" si="250"/>
        <v>867959970.13411522</v>
      </c>
      <c r="CQ23" s="85">
        <f t="shared" si="250"/>
        <v>877367617.48147142</v>
      </c>
      <c r="CR23" s="85">
        <f t="shared" si="250"/>
        <v>886775264.82882762</v>
      </c>
      <c r="CS23" s="85">
        <f t="shared" si="250"/>
        <v>896182912.17618382</v>
      </c>
      <c r="CT23" s="85">
        <f t="shared" si="250"/>
        <v>905590559.52354002</v>
      </c>
      <c r="CU23" s="85">
        <f t="shared" si="250"/>
        <v>915076174.79222417</v>
      </c>
      <c r="CV23" s="85">
        <f t="shared" si="250"/>
        <v>924483822.13958037</v>
      </c>
      <c r="CW23" s="85">
        <f t="shared" si="250"/>
        <v>933891469.48693657</v>
      </c>
      <c r="CX23" s="85">
        <f t="shared" si="250"/>
        <v>943299116.83429277</v>
      </c>
      <c r="CY23" s="85">
        <f t="shared" si="250"/>
        <v>952706764.18164897</v>
      </c>
      <c r="CZ23" s="85">
        <f t="shared" si="250"/>
        <v>962114411.52900517</v>
      </c>
      <c r="DA23" s="85">
        <f t="shared" si="250"/>
        <v>971522058.87636137</v>
      </c>
      <c r="DB23" s="85">
        <f t="shared" si="250"/>
        <v>980929706.22371757</v>
      </c>
      <c r="DC23" s="85">
        <f t="shared" si="250"/>
        <v>990337353.57107377</v>
      </c>
      <c r="DD23" s="85">
        <f t="shared" si="250"/>
        <v>999745000.91842997</v>
      </c>
      <c r="DE23" s="85">
        <f t="shared" si="250"/>
        <v>1009152648.2657862</v>
      </c>
      <c r="DF23" s="85">
        <f t="shared" si="250"/>
        <v>1018560295.6131424</v>
      </c>
      <c r="DG23" s="85">
        <f t="shared" si="250"/>
        <v>1028021983.9260226</v>
      </c>
      <c r="DH23" s="85">
        <f t="shared" si="250"/>
        <v>1037429631.2733788</v>
      </c>
      <c r="DI23" s="85">
        <f t="shared" si="250"/>
        <v>1046837278.620735</v>
      </c>
      <c r="DJ23" s="85">
        <f t="shared" si="250"/>
        <v>1056244925.9680912</v>
      </c>
      <c r="DK23" s="85">
        <f t="shared" si="250"/>
        <v>1065652573.3154474</v>
      </c>
      <c r="DL23" s="85">
        <f t="shared" si="250"/>
        <v>1075060220.6628036</v>
      </c>
      <c r="DM23" s="85">
        <f t="shared" si="250"/>
        <v>1084467868.01016</v>
      </c>
      <c r="DN23" s="85">
        <f t="shared" si="250"/>
        <v>1093875515.3575161</v>
      </c>
      <c r="DO23" s="85">
        <f t="shared" si="250"/>
        <v>1103283162.7048724</v>
      </c>
      <c r="DP23" s="85">
        <f t="shared" si="250"/>
        <v>1112690810.0522287</v>
      </c>
      <c r="DQ23" s="85">
        <f t="shared" si="250"/>
        <v>1122098457.399585</v>
      </c>
      <c r="DR23" s="85">
        <f t="shared" si="250"/>
        <v>1131506104.7469413</v>
      </c>
      <c r="DS23" s="85">
        <f t="shared" si="250"/>
        <v>1131584072.6682692</v>
      </c>
      <c r="DT23" s="85">
        <f t="shared" si="250"/>
        <v>1131584072.6682692</v>
      </c>
      <c r="DU23" s="85">
        <f t="shared" si="250"/>
        <v>1131584072.6682692</v>
      </c>
      <c r="DV23" s="85">
        <f t="shared" si="250"/>
        <v>1131584072.6682692</v>
      </c>
      <c r="DW23" s="85">
        <f t="shared" si="250"/>
        <v>1131584072.6682692</v>
      </c>
      <c r="DX23" s="85">
        <f t="shared" si="250"/>
        <v>1131584072.6682692</v>
      </c>
      <c r="DY23" s="85">
        <f t="shared" si="250"/>
        <v>1131584072.6682692</v>
      </c>
      <c r="DZ23" s="85">
        <f t="shared" si="250"/>
        <v>1131584072.6682692</v>
      </c>
      <c r="EA23" s="85">
        <f t="shared" si="250"/>
        <v>1131584072.6682692</v>
      </c>
      <c r="EB23" s="85">
        <f t="shared" ref="EB23:GI23" si="251">SUM(EB19:EB22)</f>
        <v>1131584072.6682692</v>
      </c>
      <c r="EC23" s="85">
        <f t="shared" si="251"/>
        <v>1131584072.6682692</v>
      </c>
      <c r="ED23" s="85">
        <f t="shared" si="251"/>
        <v>1131584072.6682692</v>
      </c>
      <c r="EE23" s="85">
        <f t="shared" si="251"/>
        <v>1131638113.6337934</v>
      </c>
      <c r="EF23" s="85">
        <f t="shared" si="251"/>
        <v>1131638113.6337934</v>
      </c>
      <c r="EG23" s="85">
        <f t="shared" si="251"/>
        <v>1131638113.6337934</v>
      </c>
      <c r="EH23" s="85">
        <f t="shared" si="251"/>
        <v>1131638113.6337934</v>
      </c>
      <c r="EI23" s="85">
        <f t="shared" si="251"/>
        <v>1131638113.6337934</v>
      </c>
      <c r="EJ23" s="85">
        <f t="shared" si="251"/>
        <v>1131638113.6337934</v>
      </c>
      <c r="EK23" s="85">
        <f t="shared" si="251"/>
        <v>1131638113.6337934</v>
      </c>
      <c r="EL23" s="85">
        <f t="shared" si="251"/>
        <v>1131638113.6337934</v>
      </c>
      <c r="EM23" s="85">
        <f t="shared" si="251"/>
        <v>1131638113.6337934</v>
      </c>
      <c r="EN23" s="85">
        <f t="shared" si="251"/>
        <v>1131638113.6337934</v>
      </c>
      <c r="EO23" s="85">
        <f t="shared" si="251"/>
        <v>1131638113.6337934</v>
      </c>
      <c r="EP23" s="85">
        <f t="shared" si="251"/>
        <v>1131638113.6337934</v>
      </c>
      <c r="EQ23" s="85">
        <f t="shared" si="251"/>
        <v>1131716081.5551212</v>
      </c>
      <c r="ER23" s="85">
        <f t="shared" si="251"/>
        <v>1131716081.5551212</v>
      </c>
      <c r="ES23" s="85">
        <f t="shared" si="251"/>
        <v>1131716081.5551212</v>
      </c>
      <c r="ET23" s="85">
        <f t="shared" si="251"/>
        <v>1131716081.5551212</v>
      </c>
      <c r="EU23" s="85">
        <f t="shared" si="251"/>
        <v>1131716081.5551212</v>
      </c>
      <c r="EV23" s="85">
        <f t="shared" si="251"/>
        <v>1131716081.5551212</v>
      </c>
      <c r="EW23" s="85">
        <f t="shared" si="251"/>
        <v>1131716081.5551212</v>
      </c>
      <c r="EX23" s="85">
        <f t="shared" si="251"/>
        <v>1131716081.5551212</v>
      </c>
      <c r="EY23" s="85">
        <f t="shared" si="251"/>
        <v>1131716081.5551212</v>
      </c>
      <c r="EZ23" s="85">
        <f t="shared" si="251"/>
        <v>1131716081.5551212</v>
      </c>
      <c r="FA23" s="85">
        <f t="shared" si="251"/>
        <v>1131716081.5551212</v>
      </c>
      <c r="FB23" s="85">
        <f t="shared" si="251"/>
        <v>1131716081.5551212</v>
      </c>
      <c r="FC23" s="85">
        <f t="shared" si="251"/>
        <v>1131770122.5206454</v>
      </c>
      <c r="FD23" s="85">
        <f t="shared" si="251"/>
        <v>1131770122.5206454</v>
      </c>
      <c r="FE23" s="85">
        <f t="shared" si="251"/>
        <v>1131770122.5206454</v>
      </c>
      <c r="FF23" s="85">
        <f t="shared" si="251"/>
        <v>1131770122.5206454</v>
      </c>
      <c r="FG23" s="85">
        <f t="shared" si="251"/>
        <v>1131770122.5206454</v>
      </c>
      <c r="FH23" s="85">
        <f t="shared" si="251"/>
        <v>1131770122.5206454</v>
      </c>
      <c r="FI23" s="85">
        <f t="shared" si="251"/>
        <v>1131770122.5206454</v>
      </c>
      <c r="FJ23" s="85">
        <f t="shared" si="251"/>
        <v>1131770122.5206454</v>
      </c>
      <c r="FK23" s="85">
        <f t="shared" si="251"/>
        <v>1131770122.5206454</v>
      </c>
      <c r="FL23" s="85">
        <f t="shared" si="251"/>
        <v>1131770122.5206454</v>
      </c>
      <c r="FM23" s="85">
        <f t="shared" si="251"/>
        <v>1131770122.5206454</v>
      </c>
      <c r="FN23" s="85">
        <f t="shared" si="251"/>
        <v>1131770122.5206454</v>
      </c>
      <c r="FO23" s="85">
        <f t="shared" si="251"/>
        <v>1131848090.4419732</v>
      </c>
      <c r="FP23" s="85">
        <f t="shared" si="251"/>
        <v>1131848090.4419732</v>
      </c>
      <c r="FQ23" s="85">
        <f t="shared" si="251"/>
        <v>1131848090.4419732</v>
      </c>
      <c r="FR23" s="85">
        <f t="shared" si="251"/>
        <v>1131848090.4419732</v>
      </c>
      <c r="FS23" s="85">
        <f t="shared" si="251"/>
        <v>1131848090.4419732</v>
      </c>
      <c r="FT23" s="85">
        <f t="shared" si="251"/>
        <v>1131848090.4419732</v>
      </c>
      <c r="FU23" s="85">
        <f t="shared" si="251"/>
        <v>1131848090.4419732</v>
      </c>
      <c r="FV23" s="85">
        <f t="shared" si="251"/>
        <v>1131848090.4419732</v>
      </c>
      <c r="FW23" s="85">
        <f t="shared" si="251"/>
        <v>1131848090.4419732</v>
      </c>
      <c r="FX23" s="85">
        <f t="shared" si="251"/>
        <v>1131848090.4419732</v>
      </c>
      <c r="FY23" s="85">
        <f t="shared" si="251"/>
        <v>1131848090.4419732</v>
      </c>
      <c r="FZ23" s="85">
        <f t="shared" si="251"/>
        <v>1131848090.4419732</v>
      </c>
      <c r="GA23" s="85">
        <f t="shared" si="251"/>
        <v>1131902131.4074974</v>
      </c>
      <c r="GB23" s="85">
        <f t="shared" si="251"/>
        <v>1131902131.4074974</v>
      </c>
      <c r="GC23" s="85">
        <f t="shared" si="251"/>
        <v>1131902131.4074974</v>
      </c>
      <c r="GD23" s="85">
        <f t="shared" si="251"/>
        <v>1131902131.4074974</v>
      </c>
      <c r="GE23" s="85">
        <f t="shared" si="251"/>
        <v>1131902131.4074974</v>
      </c>
      <c r="GF23" s="85">
        <f t="shared" si="251"/>
        <v>1131902131.4074974</v>
      </c>
      <c r="GG23" s="85">
        <f t="shared" si="251"/>
        <v>1131902131.4074974</v>
      </c>
      <c r="GH23" s="85">
        <f t="shared" si="251"/>
        <v>1131902131.4074974</v>
      </c>
      <c r="GI23" s="85">
        <f t="shared" si="251"/>
        <v>1131902131.4074974</v>
      </c>
      <c r="GJ23" s="85">
        <f t="shared" ref="GJ23:IH23" si="252">SUM(GJ19:GJ22)</f>
        <v>1131902131.4074974</v>
      </c>
      <c r="GK23" s="85">
        <f t="shared" si="252"/>
        <v>1131902131.4074974</v>
      </c>
      <c r="GL23" s="85">
        <f t="shared" si="252"/>
        <v>1131902131.4074974</v>
      </c>
      <c r="GM23" s="85">
        <f t="shared" si="252"/>
        <v>1131980099.3288252</v>
      </c>
      <c r="GN23" s="85">
        <f t="shared" si="252"/>
        <v>1131980099.3288252</v>
      </c>
      <c r="GO23" s="85">
        <f t="shared" si="252"/>
        <v>1131980099.3288252</v>
      </c>
      <c r="GP23" s="85">
        <f t="shared" si="252"/>
        <v>1131980099.3288252</v>
      </c>
      <c r="GQ23" s="85">
        <f t="shared" si="252"/>
        <v>1131980099.3288252</v>
      </c>
      <c r="GR23" s="85">
        <f t="shared" si="252"/>
        <v>1131980099.3288252</v>
      </c>
      <c r="GS23" s="85">
        <f t="shared" si="252"/>
        <v>1131980099.3288252</v>
      </c>
      <c r="GT23" s="85">
        <f t="shared" si="252"/>
        <v>1131980099.3288252</v>
      </c>
      <c r="GU23" s="85">
        <f t="shared" si="252"/>
        <v>1131980099.3288252</v>
      </c>
      <c r="GV23" s="85">
        <f t="shared" si="252"/>
        <v>1131980099.3288252</v>
      </c>
      <c r="GW23" s="85">
        <f t="shared" si="252"/>
        <v>1131980099.3288252</v>
      </c>
      <c r="GX23" s="85">
        <f t="shared" si="252"/>
        <v>1131980099.3288252</v>
      </c>
      <c r="GY23" s="85">
        <f t="shared" si="252"/>
        <v>1132034140.2943494</v>
      </c>
      <c r="GZ23" s="85">
        <f t="shared" si="252"/>
        <v>1132034140.2943494</v>
      </c>
      <c r="HA23" s="85">
        <f t="shared" si="252"/>
        <v>1132034140.2943494</v>
      </c>
      <c r="HB23" s="85">
        <f t="shared" si="252"/>
        <v>1132034140.2943494</v>
      </c>
      <c r="HC23" s="85">
        <f t="shared" si="252"/>
        <v>1132034140.2943494</v>
      </c>
      <c r="HD23" s="85">
        <f t="shared" si="252"/>
        <v>1132034140.2943494</v>
      </c>
      <c r="HE23" s="85">
        <f t="shared" si="252"/>
        <v>1132034140.2943494</v>
      </c>
      <c r="HF23" s="85">
        <f t="shared" si="252"/>
        <v>1132034140.2943494</v>
      </c>
      <c r="HG23" s="85">
        <f t="shared" si="252"/>
        <v>1132034140.2943494</v>
      </c>
      <c r="HH23" s="85">
        <f t="shared" si="252"/>
        <v>1132034140.2943494</v>
      </c>
      <c r="HI23" s="85">
        <f t="shared" si="252"/>
        <v>1132034140.2943494</v>
      </c>
      <c r="HJ23" s="85">
        <f t="shared" si="252"/>
        <v>1132034140.2943494</v>
      </c>
      <c r="HK23" s="85">
        <f t="shared" si="252"/>
        <v>1132058067.2501533</v>
      </c>
      <c r="HL23" s="85">
        <f t="shared" si="252"/>
        <v>1132058067.2501533</v>
      </c>
      <c r="HM23" s="85">
        <f t="shared" si="252"/>
        <v>1132058067.2501533</v>
      </c>
      <c r="HN23" s="85">
        <f t="shared" si="252"/>
        <v>1132058067.2501533</v>
      </c>
      <c r="HO23" s="85">
        <f t="shared" si="252"/>
        <v>1132058067.2501533</v>
      </c>
      <c r="HP23" s="85">
        <f t="shared" si="252"/>
        <v>1132058067.2501533</v>
      </c>
      <c r="HQ23" s="85">
        <f t="shared" si="252"/>
        <v>1132058067.2501533</v>
      </c>
      <c r="HR23" s="85">
        <f t="shared" si="252"/>
        <v>1132058067.2501533</v>
      </c>
      <c r="HS23" s="85">
        <f t="shared" si="252"/>
        <v>1132058067.2501533</v>
      </c>
      <c r="HT23" s="85">
        <f t="shared" si="252"/>
        <v>1132058067.2501533</v>
      </c>
      <c r="HU23" s="85">
        <f t="shared" si="252"/>
        <v>1132058067.2501533</v>
      </c>
      <c r="HV23" s="85">
        <f t="shared" si="252"/>
        <v>1132058067.2501533</v>
      </c>
      <c r="HW23" s="85">
        <f t="shared" si="252"/>
        <v>1132058067.2501533</v>
      </c>
      <c r="HX23" s="85">
        <f t="shared" si="252"/>
        <v>1132058067.2501533</v>
      </c>
      <c r="HY23" s="85">
        <f t="shared" si="252"/>
        <v>1132058067.2501533</v>
      </c>
      <c r="HZ23" s="85">
        <f t="shared" si="252"/>
        <v>1132058067.2501533</v>
      </c>
      <c r="IA23" s="85">
        <f t="shared" si="252"/>
        <v>1132058067.2501533</v>
      </c>
      <c r="IB23" s="85">
        <f t="shared" si="252"/>
        <v>1132058067.2501533</v>
      </c>
      <c r="IC23" s="85">
        <f t="shared" si="252"/>
        <v>1132058067.2501533</v>
      </c>
      <c r="ID23" s="85">
        <f t="shared" si="252"/>
        <v>1132058067.2501533</v>
      </c>
      <c r="IE23" s="85">
        <f t="shared" si="252"/>
        <v>1132058067.2501533</v>
      </c>
      <c r="IF23" s="85">
        <f t="shared" si="252"/>
        <v>1132058067.2501533</v>
      </c>
      <c r="IG23" s="85">
        <f t="shared" si="252"/>
        <v>1132058067.2501533</v>
      </c>
      <c r="IH23" s="85">
        <f t="shared" si="252"/>
        <v>1132058067.2501533</v>
      </c>
    </row>
    <row r="24" spans="1:242" x14ac:dyDescent="0.45">
      <c r="A24" s="77"/>
      <c r="B24" s="78"/>
    </row>
    <row r="25" spans="1:242" x14ac:dyDescent="0.45">
      <c r="A25" s="888" t="s">
        <v>291</v>
      </c>
      <c r="B25" s="889"/>
    </row>
    <row r="26" spans="1:242" x14ac:dyDescent="0.45">
      <c r="A26" s="895" t="s">
        <v>292</v>
      </c>
      <c r="B26" s="896"/>
      <c r="C26" s="81">
        <f>LTD!C9</f>
        <v>823597542.94556284</v>
      </c>
      <c r="D26" s="81">
        <f>LTD!D9</f>
        <v>818651048.95582843</v>
      </c>
      <c r="E26" s="81">
        <f>LTD!E9</f>
        <v>813677761.45698297</v>
      </c>
      <c r="F26" s="81">
        <f>LTD!F9</f>
        <v>808677535.31751871</v>
      </c>
      <c r="G26" s="81">
        <f>LTD!G9</f>
        <v>803650224.61979902</v>
      </c>
      <c r="H26" s="81">
        <f>LTD!H9</f>
        <v>798595682.6558001</v>
      </c>
      <c r="I26" s="81">
        <f>LTD!I9</f>
        <v>793513761.92282951</v>
      </c>
      <c r="J26" s="81">
        <f>LTD!J9</f>
        <v>788404314.11922193</v>
      </c>
      <c r="K26" s="81">
        <f>LTD!K9</f>
        <v>783267190.14001155</v>
      </c>
      <c r="L26" s="81">
        <f>LTD!L9</f>
        <v>778102240.07258046</v>
      </c>
      <c r="M26" s="81">
        <f>LTD!M9</f>
        <v>772909313.19228411</v>
      </c>
      <c r="N26" s="81">
        <f>LTD!N9</f>
        <v>767688257.95805275</v>
      </c>
      <c r="O26" s="81">
        <f>LTD!O9</f>
        <v>762438922.00796938</v>
      </c>
      <c r="P26" s="81">
        <f>LTD!P9</f>
        <v>757161152.15482306</v>
      </c>
      <c r="Q26" s="81">
        <f>LTD!Q9</f>
        <v>751854794.38163877</v>
      </c>
      <c r="R26" s="81">
        <f>LTD!R9</f>
        <v>746519693.83718312</v>
      </c>
      <c r="S26" s="81">
        <f>LTD!S9</f>
        <v>741155694.83144498</v>
      </c>
      <c r="T26" s="81">
        <f>LTD!T9</f>
        <v>735762640.83109248</v>
      </c>
      <c r="U26" s="81">
        <f>LTD!U9</f>
        <v>730340374.45490468</v>
      </c>
      <c r="V26" s="81">
        <f>LTD!V9</f>
        <v>724888737.46917915</v>
      </c>
      <c r="W26" s="81">
        <f>LTD!W9</f>
        <v>719407570.78311431</v>
      </c>
      <c r="X26" s="81">
        <f>LTD!X9</f>
        <v>713896714.44416666</v>
      </c>
      <c r="Y26" s="81">
        <f>LTD!Y9</f>
        <v>708356007.63338304</v>
      </c>
      <c r="Z26" s="81">
        <f>LTD!Z9</f>
        <v>702785288.66070771</v>
      </c>
      <c r="AA26" s="81">
        <f>LTD!AA9</f>
        <v>697184394.96026373</v>
      </c>
      <c r="AB26" s="81">
        <f>LTD!AB9</f>
        <v>691553163.08560896</v>
      </c>
      <c r="AC26" s="81">
        <f>LTD!AC9</f>
        <v>685891428.70496643</v>
      </c>
      <c r="AD26" s="81">
        <f>LTD!AD9</f>
        <v>680199026.59642875</v>
      </c>
      <c r="AE26" s="81">
        <f>LTD!AE9</f>
        <v>674475790.6431365</v>
      </c>
      <c r="AF26" s="81">
        <f>LTD!AF9</f>
        <v>668721553.82843065</v>
      </c>
      <c r="AG26" s="81">
        <f>LTD!AG9</f>
        <v>662936148.23097849</v>
      </c>
      <c r="AH26" s="81">
        <f>LTD!AH9</f>
        <v>657119405.01987338</v>
      </c>
      <c r="AI26" s="81">
        <f>LTD!AI9</f>
        <v>651271154.4497081</v>
      </c>
      <c r="AJ26" s="81">
        <f>LTD!AJ9</f>
        <v>645391225.8556211</v>
      </c>
      <c r="AK26" s="81">
        <f>LTD!AK9</f>
        <v>639479447.64831614</v>
      </c>
      <c r="AL26" s="81">
        <f>LTD!AL9</f>
        <v>633535647.30905497</v>
      </c>
      <c r="AM26" s="81">
        <f>LTD!AM9</f>
        <v>627559651.38462281</v>
      </c>
      <c r="AN26" s="81">
        <f>LTD!AN9</f>
        <v>621551285.48226666</v>
      </c>
      <c r="AO26" s="81">
        <f>LTD!AO9</f>
        <v>615510374.26460612</v>
      </c>
      <c r="AP26" s="81">
        <f>LTD!AP9</f>
        <v>609436741.44451654</v>
      </c>
      <c r="AQ26" s="81">
        <f>LTD!AQ9</f>
        <v>603330209.77998483</v>
      </c>
      <c r="AR26" s="81">
        <f>LTD!AR9</f>
        <v>597190601.06893682</v>
      </c>
      <c r="AS26" s="81">
        <f>LTD!AS9</f>
        <v>591017736.14403737</v>
      </c>
      <c r="AT26" s="81">
        <f>LTD!AT9</f>
        <v>584811434.86746132</v>
      </c>
      <c r="AU26" s="81">
        <f>LTD!AU9</f>
        <v>578571516.12563717</v>
      </c>
      <c r="AV26" s="81">
        <f>LTD!AV9</f>
        <v>572297797.8239615</v>
      </c>
      <c r="AW26" s="81">
        <f>LTD!AW9</f>
        <v>565990096.8814851</v>
      </c>
      <c r="AX26" s="81">
        <f>LTD!AX9</f>
        <v>559648229.22557032</v>
      </c>
      <c r="AY26" s="81">
        <f>LTD!AY9</f>
        <v>553272009.78651929</v>
      </c>
      <c r="AZ26" s="81">
        <f>LTD!AZ9</f>
        <v>546861252.49217343</v>
      </c>
      <c r="BA26" s="81">
        <f>LTD!BA9</f>
        <v>540415770.26248312</v>
      </c>
      <c r="BB26" s="81">
        <f>LTD!BB9</f>
        <v>533935375.00404871</v>
      </c>
      <c r="BC26" s="81">
        <f>LTD!BC9</f>
        <v>527419877.60463113</v>
      </c>
      <c r="BD26" s="81">
        <f>LTD!BD9</f>
        <v>520869087.92763335</v>
      </c>
      <c r="BE26" s="81">
        <f>LTD!BE9</f>
        <v>514282814.80655181</v>
      </c>
      <c r="BF26" s="81">
        <f>LTD!BF9</f>
        <v>507660866.03939778</v>
      </c>
      <c r="BG26" s="81">
        <f>LTD!BG9</f>
        <v>501003048.38308829</v>
      </c>
      <c r="BH26" s="81">
        <f>LTD!BH9</f>
        <v>494309167.54780716</v>
      </c>
      <c r="BI26" s="81">
        <f>LTD!BI9</f>
        <v>487579028.1913349</v>
      </c>
      <c r="BJ26" s="81">
        <f>LTD!BJ9</f>
        <v>480812433.91334844</v>
      </c>
      <c r="BK26" s="81">
        <f>LTD!BK9</f>
        <v>474009187.24968952</v>
      </c>
      <c r="BL26" s="81">
        <f>LTD!BL9</f>
        <v>467169089.66660249</v>
      </c>
      <c r="BM26" s="81">
        <f>LTD!BM9</f>
        <v>460291941.5549404</v>
      </c>
      <c r="BN26" s="81">
        <f>LTD!BN9</f>
        <v>453377542.22434014</v>
      </c>
      <c r="BO26" s="81">
        <f>LTD!BO9</f>
        <v>446425689.89736581</v>
      </c>
      <c r="BP26" s="81">
        <f>LTD!BP9</f>
        <v>439436181.70362031</v>
      </c>
      <c r="BQ26" s="81">
        <f>LTD!BQ9</f>
        <v>432408813.67382538</v>
      </c>
      <c r="BR26" s="81">
        <f>LTD!BR9</f>
        <v>425343380.73386908</v>
      </c>
      <c r="BS26" s="81">
        <f>LTD!BS9</f>
        <v>418239676.69882131</v>
      </c>
      <c r="BT26" s="81">
        <f>LTD!BT9</f>
        <v>411097494.26691705</v>
      </c>
      <c r="BU26" s="81">
        <f>LTD!BU9</f>
        <v>403916625.01350665</v>
      </c>
      <c r="BV26" s="81">
        <f>LTD!BV9</f>
        <v>396696859.38497359</v>
      </c>
      <c r="BW26" s="81">
        <f>LTD!BW9</f>
        <v>389437986.69261932</v>
      </c>
      <c r="BX26" s="81">
        <f>LTD!BX9</f>
        <v>382139795.10651481</v>
      </c>
      <c r="BY26" s="81">
        <f>LTD!BY9</f>
        <v>374802071.64931887</v>
      </c>
      <c r="BZ26" s="81">
        <f>LTD!BZ9</f>
        <v>367424602.19006318</v>
      </c>
      <c r="CA26" s="81">
        <f>LTD!CA9</f>
        <v>360007171.43790317</v>
      </c>
      <c r="CB26" s="81">
        <f>LTD!CB9</f>
        <v>352549562.9358356</v>
      </c>
      <c r="CC26" s="81">
        <f>LTD!CC9</f>
        <v>345051559.05438185</v>
      </c>
      <c r="CD26" s="81">
        <f>LTD!CD9</f>
        <v>337512940.98523688</v>
      </c>
      <c r="CE26" s="81">
        <f>LTD!CE9</f>
        <v>329933488.73488402</v>
      </c>
      <c r="CF26" s="81">
        <f>LTD!CF9</f>
        <v>322312981.11817509</v>
      </c>
      <c r="CG26" s="81">
        <f>LTD!CG9</f>
        <v>314651195.7518757</v>
      </c>
      <c r="CH26" s="81">
        <f>LTD!CH9</f>
        <v>306947909.04817551</v>
      </c>
      <c r="CI26" s="81">
        <f>LTD!CI9</f>
        <v>299202896.20816362</v>
      </c>
      <c r="CJ26" s="81">
        <f>LTD!CJ9</f>
        <v>291415931.21526831</v>
      </c>
      <c r="CK26" s="81">
        <f>LTD!CK9</f>
        <v>283586786.8286615</v>
      </c>
      <c r="CL26" s="81">
        <f>LTD!CL9</f>
        <v>275715234.57662719</v>
      </c>
      <c r="CM26" s="81">
        <f>LTD!CM9</f>
        <v>267801044.74989438</v>
      </c>
      <c r="CN26" s="81">
        <f>LTD!CN9</f>
        <v>259843986.39493343</v>
      </c>
      <c r="CO26" s="81">
        <f>LTD!CO9</f>
        <v>251843827.30721647</v>
      </c>
      <c r="CP26" s="81">
        <f>LTD!CP9</f>
        <v>243800334.02444103</v>
      </c>
      <c r="CQ26" s="81">
        <f>LTD!CQ9</f>
        <v>235713271.81971723</v>
      </c>
      <c r="CR26" s="81">
        <f>LTD!CR9</f>
        <v>227582404.69471782</v>
      </c>
      <c r="CS26" s="81">
        <f>LTD!CS9</f>
        <v>219407495.37279135</v>
      </c>
      <c r="CT26" s="81">
        <f>LTD!CT9</f>
        <v>211188305.29203779</v>
      </c>
      <c r="CU26" s="81">
        <f>LTD!CU9</f>
        <v>202924594.5983468</v>
      </c>
      <c r="CV26" s="81">
        <f>LTD!CV9</f>
        <v>194616122.13839832</v>
      </c>
      <c r="CW26" s="81">
        <f>LTD!CW9</f>
        <v>186262645.4526251</v>
      </c>
      <c r="CX26" s="81">
        <f>LTD!CX9</f>
        <v>177863920.76813728</v>
      </c>
      <c r="CY26" s="81">
        <f>LTD!CY9</f>
        <v>169419702.9916085</v>
      </c>
      <c r="CZ26" s="81">
        <f>LTD!CZ9</f>
        <v>160929745.70212352</v>
      </c>
      <c r="DA26" s="81">
        <f>LTD!DA9</f>
        <v>152393801.14398715</v>
      </c>
      <c r="DB26" s="81">
        <f>LTD!DB9</f>
        <v>143811620.21949422</v>
      </c>
      <c r="DC26" s="81">
        <f>LTD!DC9</f>
        <v>135182952.48166028</v>
      </c>
      <c r="DD26" s="81">
        <f>LTD!DD9</f>
        <v>126507546.12691307</v>
      </c>
      <c r="DE26" s="81">
        <f>LTD!DE9</f>
        <v>117785147.98774432</v>
      </c>
      <c r="DF26" s="81">
        <f>LTD!DF9</f>
        <v>109015503.52532174</v>
      </c>
      <c r="DG26" s="81">
        <f>LTD!DG9</f>
        <v>100198356.82206103</v>
      </c>
      <c r="DH26" s="81">
        <f>LTD!DH9</f>
        <v>91333450.574157655</v>
      </c>
      <c r="DI26" s="81">
        <f>LTD!DI9</f>
        <v>82420526.084078148</v>
      </c>
      <c r="DJ26" s="81">
        <f>LTD!DJ9</f>
        <v>73459323.253010705</v>
      </c>
      <c r="DK26" s="81">
        <f>LTD!DK9</f>
        <v>64449580.573274978</v>
      </c>
      <c r="DL26" s="81">
        <f>LTD!DL9</f>
        <v>55391035.120690681</v>
      </c>
      <c r="DM26" s="81">
        <f>LTD!DM9</f>
        <v>46283422.546904892</v>
      </c>
      <c r="DN26" s="81">
        <f>LTD!DN9</f>
        <v>37126477.071677759</v>
      </c>
      <c r="DO26" s="81">
        <f>LTD!DO9</f>
        <v>27919931.475126479</v>
      </c>
      <c r="DP26" s="81">
        <f>LTD!DP9</f>
        <v>18663517.089927215</v>
      </c>
      <c r="DQ26" s="81">
        <f>LTD!DQ9</f>
        <v>9356963.793474786</v>
      </c>
      <c r="DR26" s="81">
        <f>LTD!DR9</f>
        <v>-9.3132257461547852E-8</v>
      </c>
      <c r="DS26" s="81">
        <f>LTD!DS9</f>
        <v>-9.3132257461547852E-8</v>
      </c>
      <c r="DT26" s="81">
        <f>LTD!DT9</f>
        <v>-9.3132257461547852E-8</v>
      </c>
      <c r="DU26" s="81">
        <f>LTD!DU9</f>
        <v>-9.3132257461547852E-8</v>
      </c>
      <c r="DV26" s="81">
        <f>LTD!DV9</f>
        <v>-9.3132257461547852E-8</v>
      </c>
      <c r="DW26" s="81">
        <f>LTD!DW9</f>
        <v>-9.3132257461547852E-8</v>
      </c>
      <c r="DX26" s="81">
        <f>LTD!DX9</f>
        <v>-9.3132257461547852E-8</v>
      </c>
      <c r="DY26" s="81">
        <f>LTD!DY9</f>
        <v>-9.3132257461547852E-8</v>
      </c>
      <c r="DZ26" s="81">
        <f>LTD!DZ9</f>
        <v>-9.3132257461547852E-8</v>
      </c>
      <c r="EA26" s="81">
        <f>LTD!EA9</f>
        <v>-9.3132257461547852E-8</v>
      </c>
      <c r="EB26" s="81">
        <f>LTD!EB9</f>
        <v>-9.3132257461547852E-8</v>
      </c>
      <c r="EC26" s="81">
        <f>LTD!EC9</f>
        <v>-9.3132257461547852E-8</v>
      </c>
      <c r="ED26" s="81">
        <f>LTD!ED9</f>
        <v>-9.3132257461547852E-8</v>
      </c>
      <c r="EE26" s="81">
        <f>LTD!EE9</f>
        <v>-9.3132257461547852E-8</v>
      </c>
      <c r="EF26" s="81">
        <f>LTD!EF9</f>
        <v>-9.3132257461547852E-8</v>
      </c>
      <c r="EG26" s="81">
        <f>LTD!EG9</f>
        <v>-9.3132257461547852E-8</v>
      </c>
      <c r="EH26" s="81">
        <f>LTD!EH9</f>
        <v>-9.3132257461547852E-8</v>
      </c>
      <c r="EI26" s="81">
        <f>LTD!EI9</f>
        <v>-9.3132257461547852E-8</v>
      </c>
      <c r="EJ26" s="81">
        <f>LTD!EJ9</f>
        <v>-9.3132257461547852E-8</v>
      </c>
      <c r="EK26" s="81">
        <f>LTD!EK9</f>
        <v>-9.3132257461547852E-8</v>
      </c>
      <c r="EL26" s="81">
        <f>LTD!EL9</f>
        <v>-9.3132257461547852E-8</v>
      </c>
      <c r="EM26" s="81">
        <f>LTD!EM9</f>
        <v>-9.3132257461547852E-8</v>
      </c>
      <c r="EN26" s="81">
        <f>LTD!EN9</f>
        <v>-9.3132257461547852E-8</v>
      </c>
      <c r="EO26" s="81">
        <f>LTD!EO9</f>
        <v>-9.3132257461547852E-8</v>
      </c>
      <c r="EP26" s="81">
        <f>LTD!EP9</f>
        <v>-9.3132257461547852E-8</v>
      </c>
      <c r="EQ26" s="81">
        <f>LTD!EQ9</f>
        <v>-9.3132257461547852E-8</v>
      </c>
      <c r="ER26" s="81">
        <f>LTD!ER9</f>
        <v>-9.3132257461547852E-8</v>
      </c>
      <c r="ES26" s="81">
        <f>LTD!ES9</f>
        <v>-9.3132257461547852E-8</v>
      </c>
      <c r="ET26" s="81">
        <f>LTD!ET9</f>
        <v>-9.3132257461547852E-8</v>
      </c>
      <c r="EU26" s="81">
        <f>LTD!EU9</f>
        <v>-9.3132257461547852E-8</v>
      </c>
      <c r="EV26" s="81">
        <f>LTD!EV9</f>
        <v>-9.3132257461547852E-8</v>
      </c>
      <c r="EW26" s="81">
        <f>LTD!EW9</f>
        <v>-9.3132257461547852E-8</v>
      </c>
      <c r="EX26" s="81">
        <f>LTD!EX9</f>
        <v>-9.3132257461547852E-8</v>
      </c>
      <c r="EY26" s="81">
        <f>LTD!EY9</f>
        <v>-9.3132257461547852E-8</v>
      </c>
      <c r="EZ26" s="81">
        <f>LTD!EZ9</f>
        <v>-9.3132257461547852E-8</v>
      </c>
      <c r="FA26" s="81">
        <f>LTD!FA9</f>
        <v>-9.3132257461547852E-8</v>
      </c>
      <c r="FB26" s="81">
        <f>LTD!FB9</f>
        <v>-9.3132257461547852E-8</v>
      </c>
      <c r="FC26" s="81">
        <f>LTD!FC9</f>
        <v>-9.3132257461547852E-8</v>
      </c>
      <c r="FD26" s="81">
        <f>LTD!FD9</f>
        <v>-9.3132257461547852E-8</v>
      </c>
      <c r="FE26" s="81">
        <f>LTD!FE9</f>
        <v>-9.3132257461547852E-8</v>
      </c>
      <c r="FF26" s="81">
        <f>LTD!FF9</f>
        <v>-9.3132257461547852E-8</v>
      </c>
      <c r="FG26" s="81">
        <f>LTD!FG9</f>
        <v>-9.3132257461547852E-8</v>
      </c>
      <c r="FH26" s="81">
        <f>LTD!FH9</f>
        <v>-9.3132257461547852E-8</v>
      </c>
      <c r="FI26" s="81">
        <f>LTD!FI9</f>
        <v>-9.3132257461547852E-8</v>
      </c>
      <c r="FJ26" s="81">
        <f>LTD!FJ9</f>
        <v>-9.3132257461547852E-8</v>
      </c>
      <c r="FK26" s="81">
        <f>LTD!FK9</f>
        <v>-9.3132257461547852E-8</v>
      </c>
      <c r="FL26" s="81">
        <f>LTD!FL9</f>
        <v>-9.3132257461547852E-8</v>
      </c>
      <c r="FM26" s="81">
        <f>LTD!FM9</f>
        <v>-9.3132257461547852E-8</v>
      </c>
      <c r="FN26" s="81">
        <f>LTD!FN9</f>
        <v>-9.3132257461547852E-8</v>
      </c>
      <c r="FO26" s="81">
        <f>LTD!FO9</f>
        <v>-9.3132257461547852E-8</v>
      </c>
      <c r="FP26" s="81">
        <f>LTD!FP9</f>
        <v>-9.3132257461547852E-8</v>
      </c>
      <c r="FQ26" s="81">
        <f>LTD!FQ9</f>
        <v>-9.3132257461547852E-8</v>
      </c>
      <c r="FR26" s="81">
        <f>LTD!FR9</f>
        <v>-9.3132257461547852E-8</v>
      </c>
      <c r="FS26" s="81">
        <f>LTD!FS9</f>
        <v>-9.3132257461547852E-8</v>
      </c>
      <c r="FT26" s="81">
        <f>LTD!FT9</f>
        <v>-9.3132257461547852E-8</v>
      </c>
      <c r="FU26" s="81">
        <f>LTD!FU9</f>
        <v>-9.3132257461547852E-8</v>
      </c>
      <c r="FV26" s="81">
        <f>LTD!FV9</f>
        <v>-9.3132257461547852E-8</v>
      </c>
      <c r="FW26" s="81">
        <f>LTD!FW9</f>
        <v>-9.3132257461547852E-8</v>
      </c>
      <c r="FX26" s="81">
        <f>LTD!FX9</f>
        <v>-9.3132257461547852E-8</v>
      </c>
      <c r="FY26" s="81">
        <f>LTD!FY9</f>
        <v>-9.3132257461547852E-8</v>
      </c>
      <c r="FZ26" s="81">
        <f>LTD!FZ9</f>
        <v>-9.3132257461547852E-8</v>
      </c>
      <c r="GA26" s="81">
        <f>LTD!GA9</f>
        <v>-9.3132257461547852E-8</v>
      </c>
      <c r="GB26" s="81">
        <f>LTD!GB9</f>
        <v>-9.3132257461547852E-8</v>
      </c>
      <c r="GC26" s="81">
        <f>LTD!GC9</f>
        <v>-9.3132257461547852E-8</v>
      </c>
      <c r="GD26" s="81">
        <f>LTD!GD9</f>
        <v>-9.3132257461547852E-8</v>
      </c>
      <c r="GE26" s="81">
        <f>LTD!GE9</f>
        <v>-9.3132257461547852E-8</v>
      </c>
      <c r="GF26" s="81">
        <f>LTD!GF9</f>
        <v>-9.3132257461547852E-8</v>
      </c>
      <c r="GG26" s="81">
        <f>LTD!GG9</f>
        <v>-9.3132257461547852E-8</v>
      </c>
      <c r="GH26" s="81">
        <f>LTD!GH9</f>
        <v>-9.3132257461547852E-8</v>
      </c>
      <c r="GI26" s="81">
        <f>LTD!GI9</f>
        <v>-9.3132257461547852E-8</v>
      </c>
      <c r="GJ26" s="81">
        <f>LTD!GJ9</f>
        <v>-9.3132257461547852E-8</v>
      </c>
      <c r="GK26" s="81">
        <f>LTD!GK9</f>
        <v>-9.3132257461547852E-8</v>
      </c>
      <c r="GL26" s="81">
        <f>LTD!GL9</f>
        <v>-9.3132257461547852E-8</v>
      </c>
      <c r="GM26" s="81">
        <f>LTD!GM9</f>
        <v>-9.3132257461547852E-8</v>
      </c>
      <c r="GN26" s="81">
        <f>LTD!GN9</f>
        <v>-9.3132257461547852E-8</v>
      </c>
      <c r="GO26" s="81">
        <f>LTD!GO9</f>
        <v>-9.3132257461547852E-8</v>
      </c>
      <c r="GP26" s="81">
        <f>LTD!GP9</f>
        <v>-9.3132257461547852E-8</v>
      </c>
      <c r="GQ26" s="81">
        <f>LTD!GQ9</f>
        <v>-9.3132257461547852E-8</v>
      </c>
      <c r="GR26" s="81">
        <f>LTD!GR9</f>
        <v>-9.3132257461547852E-8</v>
      </c>
      <c r="GS26" s="81">
        <f>LTD!GS9</f>
        <v>-9.3132257461547852E-8</v>
      </c>
      <c r="GT26" s="81">
        <f>LTD!GT9</f>
        <v>-9.3132257461547852E-8</v>
      </c>
      <c r="GU26" s="81">
        <f>LTD!GU9</f>
        <v>-9.3132257461547852E-8</v>
      </c>
      <c r="GV26" s="81">
        <f>LTD!GV9</f>
        <v>-9.3132257461547852E-8</v>
      </c>
      <c r="GW26" s="81">
        <f>LTD!GW9</f>
        <v>-9.3132257461547852E-8</v>
      </c>
      <c r="GX26" s="81">
        <f>LTD!GX9</f>
        <v>-9.3132257461547852E-8</v>
      </c>
      <c r="GY26" s="81">
        <f>LTD!GY9</f>
        <v>-9.3132257461547852E-8</v>
      </c>
      <c r="GZ26" s="81">
        <f>LTD!GZ9</f>
        <v>-9.3132257461547852E-8</v>
      </c>
      <c r="HA26" s="81">
        <f>LTD!HA9</f>
        <v>-9.3132257461547852E-8</v>
      </c>
      <c r="HB26" s="81">
        <f>LTD!HB9</f>
        <v>-9.3132257461547852E-8</v>
      </c>
      <c r="HC26" s="81">
        <f>LTD!HC9</f>
        <v>-9.3132257461547852E-8</v>
      </c>
      <c r="HD26" s="81">
        <f>LTD!HD9</f>
        <v>-9.3132257461547852E-8</v>
      </c>
      <c r="HE26" s="81">
        <f>LTD!HE9</f>
        <v>-9.3132257461547852E-8</v>
      </c>
      <c r="HF26" s="81">
        <f>LTD!HF9</f>
        <v>-9.3132257461547852E-8</v>
      </c>
      <c r="HG26" s="81">
        <f>LTD!HG9</f>
        <v>-9.3132257461547852E-8</v>
      </c>
      <c r="HH26" s="81">
        <f>LTD!HH9</f>
        <v>-9.3132257461547852E-8</v>
      </c>
      <c r="HI26" s="81">
        <f>LTD!HI9</f>
        <v>-9.3132257461547852E-8</v>
      </c>
      <c r="HJ26" s="81">
        <f>LTD!HJ9</f>
        <v>-9.3132257461547852E-8</v>
      </c>
      <c r="HK26" s="81">
        <f>LTD!HK9</f>
        <v>-9.3132257461547852E-8</v>
      </c>
      <c r="HL26" s="81">
        <f>LTD!HL9</f>
        <v>-9.3132257461547852E-8</v>
      </c>
      <c r="HM26" s="81">
        <f>LTD!HM9</f>
        <v>-9.3132257461547852E-8</v>
      </c>
      <c r="HN26" s="81">
        <f>LTD!HN9</f>
        <v>-9.3132257461547852E-8</v>
      </c>
      <c r="HO26" s="81">
        <f>LTD!HO9</f>
        <v>-9.3132257461547852E-8</v>
      </c>
      <c r="HP26" s="81">
        <f>LTD!HP9</f>
        <v>-9.3132257461547852E-8</v>
      </c>
      <c r="HQ26" s="81">
        <f>LTD!HQ9</f>
        <v>-9.3132257461547852E-8</v>
      </c>
      <c r="HR26" s="81">
        <f>LTD!HR9</f>
        <v>-9.3132257461547852E-8</v>
      </c>
      <c r="HS26" s="81">
        <f>LTD!HS9</f>
        <v>-9.3132257461547852E-8</v>
      </c>
      <c r="HT26" s="81">
        <f>LTD!HT9</f>
        <v>-9.3132257461547852E-8</v>
      </c>
      <c r="HU26" s="81">
        <f>LTD!HU9</f>
        <v>-9.3132257461547852E-8</v>
      </c>
      <c r="HV26" s="81">
        <f>LTD!HV9</f>
        <v>-9.3132257461547852E-8</v>
      </c>
      <c r="HW26" s="81">
        <f>LTD!HW9</f>
        <v>-9.3132257461547852E-8</v>
      </c>
      <c r="HX26" s="81">
        <f>LTD!HX9</f>
        <v>-9.3132257461547852E-8</v>
      </c>
      <c r="HY26" s="81">
        <f>LTD!HY9</f>
        <v>-9.3132257461547852E-8</v>
      </c>
      <c r="HZ26" s="81">
        <f>LTD!HZ9</f>
        <v>-9.3132257461547852E-8</v>
      </c>
      <c r="IA26" s="81">
        <f>LTD!IA9</f>
        <v>-9.3132257461547852E-8</v>
      </c>
      <c r="IB26" s="81">
        <f>LTD!IB9</f>
        <v>-9.3132257461547852E-8</v>
      </c>
      <c r="IC26" s="81">
        <f>LTD!IC9</f>
        <v>-9.3132257461547852E-8</v>
      </c>
      <c r="ID26" s="81">
        <f>LTD!ID9</f>
        <v>-9.3132257461547852E-8</v>
      </c>
      <c r="IE26" s="81">
        <f>LTD!IE9</f>
        <v>-9.3132257461547852E-8</v>
      </c>
      <c r="IF26" s="81">
        <f>LTD!IF9</f>
        <v>-9.3132257461547852E-8</v>
      </c>
      <c r="IG26" s="81">
        <f>LTD!IG9</f>
        <v>-9.3132257461547852E-8</v>
      </c>
      <c r="IH26" s="81">
        <f>LTD!IH9</f>
        <v>-9.3132257461547852E-8</v>
      </c>
    </row>
    <row r="27" spans="1:242" ht="14.65" thickBot="1" x14ac:dyDescent="0.5">
      <c r="A27" s="895"/>
      <c r="B27" s="896"/>
    </row>
    <row r="28" spans="1:242" ht="15" thickTop="1" thickBot="1" x14ac:dyDescent="0.5">
      <c r="A28" s="888" t="s">
        <v>294</v>
      </c>
      <c r="B28" s="889"/>
      <c r="C28" s="94">
        <f>C26+C23</f>
        <v>833993156.67228651</v>
      </c>
      <c r="D28" s="94">
        <f t="shared" ref="D28:BO28" si="253">D26+D23</f>
        <v>838014435.0299083</v>
      </c>
      <c r="E28" s="94">
        <f t="shared" si="253"/>
        <v>842448794.87841904</v>
      </c>
      <c r="F28" s="94">
        <f t="shared" si="253"/>
        <v>846856216.08631098</v>
      </c>
      <c r="G28" s="94">
        <f t="shared" si="253"/>
        <v>851236552.73594749</v>
      </c>
      <c r="H28" s="94">
        <f t="shared" si="253"/>
        <v>855589658.11930478</v>
      </c>
      <c r="I28" s="94">
        <f t="shared" si="253"/>
        <v>859915384.73369038</v>
      </c>
      <c r="J28" s="94">
        <f t="shared" si="253"/>
        <v>864213584.277439</v>
      </c>
      <c r="K28" s="94">
        <f t="shared" si="253"/>
        <v>868484107.64558482</v>
      </c>
      <c r="L28" s="94">
        <f t="shared" si="253"/>
        <v>872726804.92550993</v>
      </c>
      <c r="M28" s="94">
        <f t="shared" si="253"/>
        <v>876941525.39256978</v>
      </c>
      <c r="N28" s="94">
        <f t="shared" si="253"/>
        <v>881128117.50569463</v>
      </c>
      <c r="O28" s="94">
        <f t="shared" si="253"/>
        <v>885490543.56963408</v>
      </c>
      <c r="P28" s="94">
        <f t="shared" si="253"/>
        <v>889459421.06384397</v>
      </c>
      <c r="Q28" s="94">
        <f t="shared" si="253"/>
        <v>893560710.63801587</v>
      </c>
      <c r="R28" s="94">
        <f t="shared" si="253"/>
        <v>897633257.44091642</v>
      </c>
      <c r="S28" s="94">
        <f t="shared" si="253"/>
        <v>901676905.78253448</v>
      </c>
      <c r="T28" s="94">
        <f t="shared" si="253"/>
        <v>905691499.12953818</v>
      </c>
      <c r="U28" s="94">
        <f t="shared" si="253"/>
        <v>909676880.10070658</v>
      </c>
      <c r="V28" s="94">
        <f t="shared" si="253"/>
        <v>913632890.46233726</v>
      </c>
      <c r="W28" s="94">
        <f t="shared" si="253"/>
        <v>917559371.12362862</v>
      </c>
      <c r="X28" s="94">
        <f t="shared" si="253"/>
        <v>921456162.13203716</v>
      </c>
      <c r="Y28" s="94">
        <f t="shared" si="253"/>
        <v>925323102.66860974</v>
      </c>
      <c r="Z28" s="94">
        <f t="shared" si="253"/>
        <v>929160031.04329062</v>
      </c>
      <c r="AA28" s="94">
        <f t="shared" si="253"/>
        <v>933972105.25461185</v>
      </c>
      <c r="AB28" s="94">
        <f t="shared" si="253"/>
        <v>937748520.72731328</v>
      </c>
      <c r="AC28" s="94">
        <f t="shared" si="253"/>
        <v>941494433.69402695</v>
      </c>
      <c r="AD28" s="94">
        <f t="shared" si="253"/>
        <v>945209678.93284547</v>
      </c>
      <c r="AE28" s="94">
        <f t="shared" si="253"/>
        <v>948894090.32690942</v>
      </c>
      <c r="AF28" s="94">
        <f t="shared" si="253"/>
        <v>952547500.85955977</v>
      </c>
      <c r="AG28" s="94">
        <f t="shared" si="253"/>
        <v>956169742.60946381</v>
      </c>
      <c r="AH28" s="94">
        <f t="shared" si="253"/>
        <v>959760646.7457149</v>
      </c>
      <c r="AI28" s="94">
        <f t="shared" si="253"/>
        <v>963320043.52290583</v>
      </c>
      <c r="AJ28" s="94">
        <f t="shared" si="253"/>
        <v>966847762.27617502</v>
      </c>
      <c r="AK28" s="94">
        <f t="shared" si="253"/>
        <v>970343631.41622627</v>
      </c>
      <c r="AL28" s="94">
        <f t="shared" si="253"/>
        <v>973807478.42432129</v>
      </c>
      <c r="AM28" s="94">
        <f t="shared" si="253"/>
        <v>977351003.05102801</v>
      </c>
      <c r="AN28" s="94">
        <f t="shared" si="253"/>
        <v>980750284.49602818</v>
      </c>
      <c r="AO28" s="94">
        <f t="shared" si="253"/>
        <v>984117020.62572384</v>
      </c>
      <c r="AP28" s="94">
        <f t="shared" si="253"/>
        <v>987451035.15299034</v>
      </c>
      <c r="AQ28" s="94">
        <f t="shared" si="253"/>
        <v>990752150.83581495</v>
      </c>
      <c r="AR28" s="94">
        <f t="shared" si="253"/>
        <v>994020189.47212315</v>
      </c>
      <c r="AS28" s="94">
        <f t="shared" si="253"/>
        <v>997254971.89457989</v>
      </c>
      <c r="AT28" s="94">
        <f t="shared" si="253"/>
        <v>1000456317.9653599</v>
      </c>
      <c r="AU28" s="94">
        <f t="shared" si="253"/>
        <v>1003624046.5708921</v>
      </c>
      <c r="AV28" s="94">
        <f t="shared" si="253"/>
        <v>1006757975.6165726</v>
      </c>
      <c r="AW28" s="94">
        <f t="shared" si="253"/>
        <v>1009857922.0214524</v>
      </c>
      <c r="AX28" s="94">
        <f t="shared" si="253"/>
        <v>1012923701.7128937</v>
      </c>
      <c r="AY28" s="94">
        <f t="shared" si="253"/>
        <v>1016086734.5356436</v>
      </c>
      <c r="AZ28" s="94">
        <f t="shared" si="253"/>
        <v>1019083624.588654</v>
      </c>
      <c r="BA28" s="94">
        <f t="shared" si="253"/>
        <v>1022045789.7063198</v>
      </c>
      <c r="BB28" s="94">
        <f t="shared" si="253"/>
        <v>1024973041.7952416</v>
      </c>
      <c r="BC28" s="94">
        <f t="shared" si="253"/>
        <v>1027865191.7431803</v>
      </c>
      <c r="BD28" s="94">
        <f t="shared" si="253"/>
        <v>1030722049.4135387</v>
      </c>
      <c r="BE28" s="94">
        <f t="shared" si="253"/>
        <v>1033543423.6398134</v>
      </c>
      <c r="BF28" s="94">
        <f t="shared" si="253"/>
        <v>1036329122.2200155</v>
      </c>
      <c r="BG28" s="94">
        <f t="shared" si="253"/>
        <v>1039078951.9110622</v>
      </c>
      <c r="BH28" s="94">
        <f t="shared" si="253"/>
        <v>1041792718.4231372</v>
      </c>
      <c r="BI28" s="94">
        <f t="shared" si="253"/>
        <v>1044470226.4140213</v>
      </c>
      <c r="BJ28" s="94">
        <f t="shared" si="253"/>
        <v>1047111279.4833909</v>
      </c>
      <c r="BK28" s="94">
        <f t="shared" si="253"/>
        <v>1049803780.3150671</v>
      </c>
      <c r="BL28" s="94">
        <f t="shared" si="253"/>
        <v>1052371330.0793363</v>
      </c>
      <c r="BM28" s="94">
        <f t="shared" si="253"/>
        <v>1054901829.3150303</v>
      </c>
      <c r="BN28" s="94">
        <f t="shared" si="253"/>
        <v>1057395077.3317864</v>
      </c>
      <c r="BO28" s="94">
        <f t="shared" si="253"/>
        <v>1059850872.3521682</v>
      </c>
      <c r="BP28" s="94">
        <f t="shared" ref="BP28:EA28" si="254">BP26+BP23</f>
        <v>1062269011.5057789</v>
      </c>
      <c r="BQ28" s="94">
        <f t="shared" si="254"/>
        <v>1064649290.8233402</v>
      </c>
      <c r="BR28" s="94">
        <f t="shared" si="254"/>
        <v>1066991505.2307401</v>
      </c>
      <c r="BS28" s="94">
        <f t="shared" si="254"/>
        <v>1069295448.5430485</v>
      </c>
      <c r="BT28" s="94">
        <f t="shared" si="254"/>
        <v>1071560913.4585004</v>
      </c>
      <c r="BU28" s="94">
        <f t="shared" si="254"/>
        <v>1073787691.5524464</v>
      </c>
      <c r="BV28" s="94">
        <f t="shared" si="254"/>
        <v>1075975573.2712693</v>
      </c>
      <c r="BW28" s="94">
        <f t="shared" si="254"/>
        <v>1078598616.2614427</v>
      </c>
      <c r="BX28" s="94">
        <f t="shared" si="254"/>
        <v>1080708072.0226943</v>
      </c>
      <c r="BY28" s="94">
        <f t="shared" si="254"/>
        <v>1082777995.9128547</v>
      </c>
      <c r="BZ28" s="94">
        <f t="shared" si="254"/>
        <v>1084808173.8009551</v>
      </c>
      <c r="CA28" s="94">
        <f t="shared" si="254"/>
        <v>1086798390.3961513</v>
      </c>
      <c r="CB28" s="94">
        <f t="shared" si="254"/>
        <v>1088748429.2414398</v>
      </c>
      <c r="CC28" s="94">
        <f t="shared" si="254"/>
        <v>1090658072.7073424</v>
      </c>
      <c r="CD28" s="94">
        <f t="shared" si="254"/>
        <v>1092527101.9855537</v>
      </c>
      <c r="CE28" s="94">
        <f t="shared" si="254"/>
        <v>1094355297.082557</v>
      </c>
      <c r="CF28" s="94">
        <f t="shared" si="254"/>
        <v>1096142436.8132043</v>
      </c>
      <c r="CG28" s="94">
        <f t="shared" si="254"/>
        <v>1097888298.794261</v>
      </c>
      <c r="CH28" s="94">
        <f t="shared" si="254"/>
        <v>1099592659.437917</v>
      </c>
      <c r="CI28" s="94">
        <f t="shared" si="254"/>
        <v>1101255293.9452615</v>
      </c>
      <c r="CJ28" s="94">
        <f t="shared" si="254"/>
        <v>1102875976.2997222</v>
      </c>
      <c r="CK28" s="94">
        <f t="shared" si="254"/>
        <v>1104454479.2604716</v>
      </c>
      <c r="CL28" s="94">
        <f t="shared" si="254"/>
        <v>1105990574.3557935</v>
      </c>
      <c r="CM28" s="94">
        <f t="shared" si="254"/>
        <v>1107484031.8764169</v>
      </c>
      <c r="CN28" s="94">
        <f t="shared" si="254"/>
        <v>1108988661.8343363</v>
      </c>
      <c r="CO28" s="94">
        <f t="shared" si="254"/>
        <v>1110396150.0939755</v>
      </c>
      <c r="CP28" s="94">
        <f t="shared" si="254"/>
        <v>1111760304.1585562</v>
      </c>
      <c r="CQ28" s="94">
        <f t="shared" si="254"/>
        <v>1113080889.3011887</v>
      </c>
      <c r="CR28" s="94">
        <f t="shared" si="254"/>
        <v>1114357669.5235455</v>
      </c>
      <c r="CS28" s="94">
        <f t="shared" si="254"/>
        <v>1115590407.5489752</v>
      </c>
      <c r="CT28" s="94">
        <f t="shared" si="254"/>
        <v>1116778864.8155777</v>
      </c>
      <c r="CU28" s="94">
        <f t="shared" si="254"/>
        <v>1118000769.3905709</v>
      </c>
      <c r="CV28" s="94">
        <f t="shared" si="254"/>
        <v>1119099944.2779787</v>
      </c>
      <c r="CW28" s="94">
        <f t="shared" si="254"/>
        <v>1120154114.9395616</v>
      </c>
      <c r="CX28" s="94">
        <f t="shared" si="254"/>
        <v>1121163037.6024301</v>
      </c>
      <c r="CY28" s="94">
        <f t="shared" si="254"/>
        <v>1122126467.1732574</v>
      </c>
      <c r="CZ28" s="94">
        <f t="shared" si="254"/>
        <v>1123044157.2311287</v>
      </c>
      <c r="DA28" s="94">
        <f t="shared" si="254"/>
        <v>1123915860.0203485</v>
      </c>
      <c r="DB28" s="94">
        <f t="shared" si="254"/>
        <v>1124741326.4432118</v>
      </c>
      <c r="DC28" s="94">
        <f t="shared" si="254"/>
        <v>1125520306.0527341</v>
      </c>
      <c r="DD28" s="94">
        <f t="shared" si="254"/>
        <v>1126252547.0453429</v>
      </c>
      <c r="DE28" s="94">
        <f t="shared" si="254"/>
        <v>1126937796.2535305</v>
      </c>
      <c r="DF28" s="94">
        <f t="shared" si="254"/>
        <v>1127575799.1384642</v>
      </c>
      <c r="DG28" s="94">
        <f t="shared" si="254"/>
        <v>1128220340.7480836</v>
      </c>
      <c r="DH28" s="94">
        <f t="shared" si="254"/>
        <v>1128763081.8475366</v>
      </c>
      <c r="DI28" s="94">
        <f t="shared" si="254"/>
        <v>1129257804.7048132</v>
      </c>
      <c r="DJ28" s="94">
        <f t="shared" si="254"/>
        <v>1129704249.221102</v>
      </c>
      <c r="DK28" s="94">
        <f t="shared" si="254"/>
        <v>1130102153.8887224</v>
      </c>
      <c r="DL28" s="94">
        <f t="shared" si="254"/>
        <v>1130451255.7834942</v>
      </c>
      <c r="DM28" s="94">
        <f t="shared" si="254"/>
        <v>1130751290.5570648</v>
      </c>
      <c r="DN28" s="94">
        <f t="shared" si="254"/>
        <v>1131001992.4291937</v>
      </c>
      <c r="DO28" s="94">
        <f t="shared" si="254"/>
        <v>1131203094.1799989</v>
      </c>
      <c r="DP28" s="94">
        <f t="shared" si="254"/>
        <v>1131354327.1421559</v>
      </c>
      <c r="DQ28" s="94">
        <f t="shared" si="254"/>
        <v>1131455421.1930597</v>
      </c>
      <c r="DR28" s="94">
        <f t="shared" si="254"/>
        <v>1131506104.7469413</v>
      </c>
      <c r="DS28" s="94">
        <f t="shared" si="254"/>
        <v>1131584072.6682692</v>
      </c>
      <c r="DT28" s="94">
        <f t="shared" si="254"/>
        <v>1131584072.6682692</v>
      </c>
      <c r="DU28" s="94">
        <f t="shared" si="254"/>
        <v>1131584072.6682692</v>
      </c>
      <c r="DV28" s="94">
        <f t="shared" si="254"/>
        <v>1131584072.6682692</v>
      </c>
      <c r="DW28" s="94">
        <f t="shared" si="254"/>
        <v>1131584072.6682692</v>
      </c>
      <c r="DX28" s="94">
        <f t="shared" si="254"/>
        <v>1131584072.6682692</v>
      </c>
      <c r="DY28" s="94">
        <f t="shared" si="254"/>
        <v>1131584072.6682692</v>
      </c>
      <c r="DZ28" s="94">
        <f t="shared" si="254"/>
        <v>1131584072.6682692</v>
      </c>
      <c r="EA28" s="94">
        <f t="shared" si="254"/>
        <v>1131584072.6682692</v>
      </c>
      <c r="EB28" s="94">
        <f t="shared" ref="EB28:GI28" si="255">EB26+EB23</f>
        <v>1131584072.6682692</v>
      </c>
      <c r="EC28" s="94">
        <f t="shared" si="255"/>
        <v>1131584072.6682692</v>
      </c>
      <c r="ED28" s="94">
        <f t="shared" si="255"/>
        <v>1131584072.6682692</v>
      </c>
      <c r="EE28" s="94">
        <f t="shared" si="255"/>
        <v>1131638113.6337934</v>
      </c>
      <c r="EF28" s="94">
        <f t="shared" si="255"/>
        <v>1131638113.6337934</v>
      </c>
      <c r="EG28" s="94">
        <f t="shared" si="255"/>
        <v>1131638113.6337934</v>
      </c>
      <c r="EH28" s="94">
        <f t="shared" si="255"/>
        <v>1131638113.6337934</v>
      </c>
      <c r="EI28" s="94">
        <f t="shared" si="255"/>
        <v>1131638113.6337934</v>
      </c>
      <c r="EJ28" s="94">
        <f t="shared" si="255"/>
        <v>1131638113.6337934</v>
      </c>
      <c r="EK28" s="94">
        <f t="shared" si="255"/>
        <v>1131638113.6337934</v>
      </c>
      <c r="EL28" s="94">
        <f t="shared" si="255"/>
        <v>1131638113.6337934</v>
      </c>
      <c r="EM28" s="94">
        <f t="shared" si="255"/>
        <v>1131638113.6337934</v>
      </c>
      <c r="EN28" s="94">
        <f t="shared" si="255"/>
        <v>1131638113.6337934</v>
      </c>
      <c r="EO28" s="94">
        <f t="shared" si="255"/>
        <v>1131638113.6337934</v>
      </c>
      <c r="EP28" s="94">
        <f t="shared" si="255"/>
        <v>1131638113.6337934</v>
      </c>
      <c r="EQ28" s="94">
        <f t="shared" si="255"/>
        <v>1131716081.5551212</v>
      </c>
      <c r="ER28" s="94">
        <f t="shared" si="255"/>
        <v>1131716081.5551212</v>
      </c>
      <c r="ES28" s="94">
        <f t="shared" si="255"/>
        <v>1131716081.5551212</v>
      </c>
      <c r="ET28" s="94">
        <f t="shared" si="255"/>
        <v>1131716081.5551212</v>
      </c>
      <c r="EU28" s="94">
        <f t="shared" si="255"/>
        <v>1131716081.5551212</v>
      </c>
      <c r="EV28" s="94">
        <f t="shared" si="255"/>
        <v>1131716081.5551212</v>
      </c>
      <c r="EW28" s="94">
        <f t="shared" si="255"/>
        <v>1131716081.5551212</v>
      </c>
      <c r="EX28" s="94">
        <f t="shared" si="255"/>
        <v>1131716081.5551212</v>
      </c>
      <c r="EY28" s="94">
        <f t="shared" si="255"/>
        <v>1131716081.5551212</v>
      </c>
      <c r="EZ28" s="94">
        <f t="shared" si="255"/>
        <v>1131716081.5551212</v>
      </c>
      <c r="FA28" s="94">
        <f t="shared" si="255"/>
        <v>1131716081.5551212</v>
      </c>
      <c r="FB28" s="94">
        <f t="shared" si="255"/>
        <v>1131716081.5551212</v>
      </c>
      <c r="FC28" s="94">
        <f t="shared" si="255"/>
        <v>1131770122.5206454</v>
      </c>
      <c r="FD28" s="94">
        <f t="shared" si="255"/>
        <v>1131770122.5206454</v>
      </c>
      <c r="FE28" s="94">
        <f t="shared" si="255"/>
        <v>1131770122.5206454</v>
      </c>
      <c r="FF28" s="94">
        <f t="shared" si="255"/>
        <v>1131770122.5206454</v>
      </c>
      <c r="FG28" s="94">
        <f t="shared" si="255"/>
        <v>1131770122.5206454</v>
      </c>
      <c r="FH28" s="94">
        <f t="shared" si="255"/>
        <v>1131770122.5206454</v>
      </c>
      <c r="FI28" s="94">
        <f t="shared" si="255"/>
        <v>1131770122.5206454</v>
      </c>
      <c r="FJ28" s="94">
        <f t="shared" si="255"/>
        <v>1131770122.5206454</v>
      </c>
      <c r="FK28" s="94">
        <f t="shared" si="255"/>
        <v>1131770122.5206454</v>
      </c>
      <c r="FL28" s="94">
        <f t="shared" si="255"/>
        <v>1131770122.5206454</v>
      </c>
      <c r="FM28" s="94">
        <f t="shared" si="255"/>
        <v>1131770122.5206454</v>
      </c>
      <c r="FN28" s="94">
        <f t="shared" si="255"/>
        <v>1131770122.5206454</v>
      </c>
      <c r="FO28" s="94">
        <f t="shared" si="255"/>
        <v>1131848090.4419732</v>
      </c>
      <c r="FP28" s="94">
        <f t="shared" si="255"/>
        <v>1131848090.4419732</v>
      </c>
      <c r="FQ28" s="94">
        <f t="shared" si="255"/>
        <v>1131848090.4419732</v>
      </c>
      <c r="FR28" s="94">
        <f t="shared" si="255"/>
        <v>1131848090.4419732</v>
      </c>
      <c r="FS28" s="94">
        <f t="shared" si="255"/>
        <v>1131848090.4419732</v>
      </c>
      <c r="FT28" s="94">
        <f t="shared" si="255"/>
        <v>1131848090.4419732</v>
      </c>
      <c r="FU28" s="94">
        <f t="shared" si="255"/>
        <v>1131848090.4419732</v>
      </c>
      <c r="FV28" s="94">
        <f t="shared" si="255"/>
        <v>1131848090.4419732</v>
      </c>
      <c r="FW28" s="94">
        <f t="shared" si="255"/>
        <v>1131848090.4419732</v>
      </c>
      <c r="FX28" s="94">
        <f t="shared" si="255"/>
        <v>1131848090.4419732</v>
      </c>
      <c r="FY28" s="94">
        <f t="shared" si="255"/>
        <v>1131848090.4419732</v>
      </c>
      <c r="FZ28" s="94">
        <f t="shared" si="255"/>
        <v>1131848090.4419732</v>
      </c>
      <c r="GA28" s="94">
        <f t="shared" si="255"/>
        <v>1131902131.4074974</v>
      </c>
      <c r="GB28" s="94">
        <f t="shared" si="255"/>
        <v>1131902131.4074974</v>
      </c>
      <c r="GC28" s="94">
        <f t="shared" si="255"/>
        <v>1131902131.4074974</v>
      </c>
      <c r="GD28" s="94">
        <f t="shared" si="255"/>
        <v>1131902131.4074974</v>
      </c>
      <c r="GE28" s="94">
        <f t="shared" si="255"/>
        <v>1131902131.4074974</v>
      </c>
      <c r="GF28" s="94">
        <f t="shared" si="255"/>
        <v>1131902131.4074974</v>
      </c>
      <c r="GG28" s="94">
        <f t="shared" si="255"/>
        <v>1131902131.4074974</v>
      </c>
      <c r="GH28" s="94">
        <f t="shared" si="255"/>
        <v>1131902131.4074974</v>
      </c>
      <c r="GI28" s="94">
        <f t="shared" si="255"/>
        <v>1131902131.4074974</v>
      </c>
      <c r="GJ28" s="94">
        <f t="shared" ref="GJ28:IH28" si="256">GJ26+GJ23</f>
        <v>1131902131.4074974</v>
      </c>
      <c r="GK28" s="94">
        <f t="shared" si="256"/>
        <v>1131902131.4074974</v>
      </c>
      <c r="GL28" s="94">
        <f t="shared" si="256"/>
        <v>1131902131.4074974</v>
      </c>
      <c r="GM28" s="94">
        <f t="shared" si="256"/>
        <v>1131980099.3288252</v>
      </c>
      <c r="GN28" s="94">
        <f t="shared" si="256"/>
        <v>1131980099.3288252</v>
      </c>
      <c r="GO28" s="94">
        <f t="shared" si="256"/>
        <v>1131980099.3288252</v>
      </c>
      <c r="GP28" s="94">
        <f t="shared" si="256"/>
        <v>1131980099.3288252</v>
      </c>
      <c r="GQ28" s="94">
        <f t="shared" si="256"/>
        <v>1131980099.3288252</v>
      </c>
      <c r="GR28" s="94">
        <f t="shared" si="256"/>
        <v>1131980099.3288252</v>
      </c>
      <c r="GS28" s="94">
        <f t="shared" si="256"/>
        <v>1131980099.3288252</v>
      </c>
      <c r="GT28" s="94">
        <f t="shared" si="256"/>
        <v>1131980099.3288252</v>
      </c>
      <c r="GU28" s="94">
        <f t="shared" si="256"/>
        <v>1131980099.3288252</v>
      </c>
      <c r="GV28" s="94">
        <f t="shared" si="256"/>
        <v>1131980099.3288252</v>
      </c>
      <c r="GW28" s="94">
        <f t="shared" si="256"/>
        <v>1131980099.3288252</v>
      </c>
      <c r="GX28" s="94">
        <f t="shared" si="256"/>
        <v>1131980099.3288252</v>
      </c>
      <c r="GY28" s="94">
        <f t="shared" si="256"/>
        <v>1132034140.2943494</v>
      </c>
      <c r="GZ28" s="94">
        <f t="shared" si="256"/>
        <v>1132034140.2943494</v>
      </c>
      <c r="HA28" s="94">
        <f t="shared" si="256"/>
        <v>1132034140.2943494</v>
      </c>
      <c r="HB28" s="94">
        <f t="shared" si="256"/>
        <v>1132034140.2943494</v>
      </c>
      <c r="HC28" s="94">
        <f t="shared" si="256"/>
        <v>1132034140.2943494</v>
      </c>
      <c r="HD28" s="94">
        <f t="shared" si="256"/>
        <v>1132034140.2943494</v>
      </c>
      <c r="HE28" s="94">
        <f t="shared" si="256"/>
        <v>1132034140.2943494</v>
      </c>
      <c r="HF28" s="94">
        <f t="shared" si="256"/>
        <v>1132034140.2943494</v>
      </c>
      <c r="HG28" s="94">
        <f t="shared" si="256"/>
        <v>1132034140.2943494</v>
      </c>
      <c r="HH28" s="94">
        <f t="shared" si="256"/>
        <v>1132034140.2943494</v>
      </c>
      <c r="HI28" s="94">
        <f t="shared" si="256"/>
        <v>1132034140.2943494</v>
      </c>
      <c r="HJ28" s="94">
        <f t="shared" si="256"/>
        <v>1132034140.2943494</v>
      </c>
      <c r="HK28" s="94">
        <f t="shared" si="256"/>
        <v>1132058067.2501533</v>
      </c>
      <c r="HL28" s="94">
        <f t="shared" si="256"/>
        <v>1132058067.2501533</v>
      </c>
      <c r="HM28" s="94">
        <f t="shared" si="256"/>
        <v>1132058067.2501533</v>
      </c>
      <c r="HN28" s="94">
        <f t="shared" si="256"/>
        <v>1132058067.2501533</v>
      </c>
      <c r="HO28" s="94">
        <f t="shared" si="256"/>
        <v>1132058067.2501533</v>
      </c>
      <c r="HP28" s="94">
        <f t="shared" si="256"/>
        <v>1132058067.2501533</v>
      </c>
      <c r="HQ28" s="94">
        <f t="shared" si="256"/>
        <v>1132058067.2501533</v>
      </c>
      <c r="HR28" s="94">
        <f t="shared" si="256"/>
        <v>1132058067.2501533</v>
      </c>
      <c r="HS28" s="94">
        <f t="shared" si="256"/>
        <v>1132058067.2501533</v>
      </c>
      <c r="HT28" s="94">
        <f t="shared" si="256"/>
        <v>1132058067.2501533</v>
      </c>
      <c r="HU28" s="94">
        <f t="shared" si="256"/>
        <v>1132058067.2501533</v>
      </c>
      <c r="HV28" s="94">
        <f t="shared" si="256"/>
        <v>1132058067.2501533</v>
      </c>
      <c r="HW28" s="94">
        <f t="shared" si="256"/>
        <v>1132058067.2501533</v>
      </c>
      <c r="HX28" s="94">
        <f t="shared" si="256"/>
        <v>1132058067.2501533</v>
      </c>
      <c r="HY28" s="94">
        <f t="shared" si="256"/>
        <v>1132058067.2501533</v>
      </c>
      <c r="HZ28" s="94">
        <f t="shared" si="256"/>
        <v>1132058067.2501533</v>
      </c>
      <c r="IA28" s="94">
        <f t="shared" si="256"/>
        <v>1132058067.2501533</v>
      </c>
      <c r="IB28" s="94">
        <f t="shared" si="256"/>
        <v>1132058067.2501533</v>
      </c>
      <c r="IC28" s="94">
        <f t="shared" si="256"/>
        <v>1132058067.2501533</v>
      </c>
      <c r="ID28" s="94">
        <f t="shared" si="256"/>
        <v>1132058067.2501533</v>
      </c>
      <c r="IE28" s="94">
        <f t="shared" si="256"/>
        <v>1132058067.2501533</v>
      </c>
      <c r="IF28" s="94">
        <f t="shared" si="256"/>
        <v>1132058067.2501533</v>
      </c>
      <c r="IG28" s="94">
        <f t="shared" si="256"/>
        <v>1132058067.2501533</v>
      </c>
      <c r="IH28" s="94">
        <f t="shared" si="256"/>
        <v>1132058067.2501533</v>
      </c>
    </row>
    <row r="29" spans="1:242" ht="14.65" thickTop="1" x14ac:dyDescent="0.45">
      <c r="A29" s="895"/>
      <c r="B29" s="896"/>
      <c r="C29" s="84"/>
      <c r="D29" s="84"/>
      <c r="E29" s="84"/>
      <c r="F29" s="84"/>
      <c r="G29" s="84"/>
    </row>
    <row r="30" spans="1:242" x14ac:dyDescent="0.45">
      <c r="A30" s="895"/>
      <c r="B30" s="896"/>
    </row>
    <row r="31" spans="1:242" x14ac:dyDescent="0.45">
      <c r="A31" s="888" t="s">
        <v>296</v>
      </c>
      <c r="B31" s="889"/>
    </row>
    <row r="32" spans="1:242" x14ac:dyDescent="0.45">
      <c r="A32" s="895" t="s">
        <v>297</v>
      </c>
      <c r="B32" s="896"/>
      <c r="C32" s="81">
        <f>'CAPEX Schedule'!C18:IH18</f>
        <v>45203848.735987484</v>
      </c>
      <c r="D32" s="81">
        <f>'CAPEX Schedule'!D18:II18</f>
        <v>45203848.735987484</v>
      </c>
      <c r="E32" s="81">
        <f>'CAPEX Schedule'!E18:IJ18</f>
        <v>45203848.735987484</v>
      </c>
      <c r="F32" s="81">
        <f>'CAPEX Schedule'!F18:IK18</f>
        <v>45203848.735987484</v>
      </c>
      <c r="G32" s="81">
        <f>'CAPEX Schedule'!G18:IL18</f>
        <v>45203848.735987484</v>
      </c>
      <c r="H32" s="81">
        <f>'CAPEX Schedule'!H18:IM18</f>
        <v>45203848.735987484</v>
      </c>
      <c r="I32" s="81">
        <f>'CAPEX Schedule'!I18:IN18</f>
        <v>63285388.230382502</v>
      </c>
      <c r="J32" s="81">
        <f>'CAPEX Schedule'!J18:IO18</f>
        <v>72326157.977580011</v>
      </c>
      <c r="K32" s="81">
        <f>'CAPEX Schedule'!K18:IP18</f>
        <v>72326157.977580011</v>
      </c>
      <c r="L32" s="81">
        <f>'CAPEX Schedule'!L18:IQ18</f>
        <v>81366927.72477746</v>
      </c>
      <c r="M32" s="81">
        <f>'CAPEX Schedule'!M18:IR18</f>
        <v>81366927.72477746</v>
      </c>
      <c r="N32" s="81">
        <f>'CAPEX Schedule'!N18:IS18</f>
        <v>90407697.471974969</v>
      </c>
      <c r="O32" s="81">
        <f>'CAPEX Schedule'!O18:IT18</f>
        <v>135611546.20796251</v>
      </c>
      <c r="P32" s="81">
        <f>'CAPEX Schedule'!P18:IU18</f>
        <v>135611546.20796251</v>
      </c>
      <c r="Q32" s="81">
        <f>'CAPEX Schedule'!Q18:IV18</f>
        <v>135611546.20796251</v>
      </c>
      <c r="R32" s="81">
        <f>'CAPEX Schedule'!R18:IW18</f>
        <v>135611546.20796251</v>
      </c>
      <c r="S32" s="81">
        <f>'CAPEX Schedule'!S18:IX18</f>
        <v>135611546.20796251</v>
      </c>
      <c r="T32" s="81">
        <f>'CAPEX Schedule'!T18:IY18</f>
        <v>135611546.20796251</v>
      </c>
      <c r="U32" s="81">
        <f>'CAPEX Schedule'!U18:IZ18</f>
        <v>153693085.70235741</v>
      </c>
      <c r="V32" s="81">
        <f>'CAPEX Schedule'!V18:JA18</f>
        <v>153693085.70235741</v>
      </c>
      <c r="W32" s="81">
        <f>'CAPEX Schedule'!W18:JB18</f>
        <v>162733855.44955492</v>
      </c>
      <c r="X32" s="81">
        <f>'CAPEX Schedule'!X18:JC18</f>
        <v>171774625.19675243</v>
      </c>
      <c r="Y32" s="81">
        <f>'CAPEX Schedule'!Y18:JD18</f>
        <v>171774625.19675243</v>
      </c>
      <c r="Z32" s="81">
        <f>'CAPEX Schedule'!Z18:JE18</f>
        <v>180815394.94394994</v>
      </c>
      <c r="AA32" s="81">
        <f>'CAPEX Schedule'!AA18:JF18</f>
        <v>180815394.94394994</v>
      </c>
      <c r="AB32" s="81">
        <f>'CAPEX Schedule'!AB18:JG18</f>
        <v>180815394.94394994</v>
      </c>
      <c r="AC32" s="81">
        <f>'CAPEX Schedule'!AC18:JH18</f>
        <v>180815394.94394994</v>
      </c>
      <c r="AD32" s="81">
        <f>'CAPEX Schedule'!AD18:JI18</f>
        <v>180815394.94394994</v>
      </c>
      <c r="AE32" s="81">
        <f>'CAPEX Schedule'!AE18:JJ18</f>
        <v>180815394.94394994</v>
      </c>
      <c r="AF32" s="81">
        <f>'CAPEX Schedule'!AF18:JK18</f>
        <v>180815394.94394994</v>
      </c>
      <c r="AG32" s="81">
        <f>'CAPEX Schedule'!AG18:JL18</f>
        <v>180815394.94394994</v>
      </c>
      <c r="AH32" s="81">
        <f>'CAPEX Schedule'!AH18:JM18</f>
        <v>180815394.94394994</v>
      </c>
      <c r="AI32" s="81">
        <f>'CAPEX Schedule'!AI18:JN18</f>
        <v>180815394.94394994</v>
      </c>
      <c r="AJ32" s="81">
        <f>'CAPEX Schedule'!AJ18:JO18</f>
        <v>180815394.94394994</v>
      </c>
      <c r="AK32" s="81">
        <f>'CAPEX Schedule'!AK18:JP18</f>
        <v>180815394.94394994</v>
      </c>
      <c r="AL32" s="81">
        <f>'CAPEX Schedule'!AL18:JQ18</f>
        <v>180815394.94394994</v>
      </c>
      <c r="AM32" s="81">
        <f>'CAPEX Schedule'!AM18:JR18</f>
        <v>180815394.94394994</v>
      </c>
      <c r="AN32" s="81">
        <f>'CAPEX Schedule'!AN18:JS18</f>
        <v>180815394.94394994</v>
      </c>
      <c r="AO32" s="81">
        <f>'CAPEX Schedule'!AO18:JT18</f>
        <v>180815394.94394994</v>
      </c>
      <c r="AP32" s="81">
        <f>'CAPEX Schedule'!AP18:JU18</f>
        <v>180815394.94394994</v>
      </c>
      <c r="AQ32" s="81">
        <f>'CAPEX Schedule'!AQ18:JV18</f>
        <v>180815394.94394994</v>
      </c>
      <c r="AR32" s="81">
        <f>'CAPEX Schedule'!AR18:JW18</f>
        <v>180815394.94394994</v>
      </c>
      <c r="AS32" s="81">
        <f>'CAPEX Schedule'!AS18:JX18</f>
        <v>180815394.94394994</v>
      </c>
      <c r="AT32" s="81">
        <f>'CAPEX Schedule'!AT18:JY18</f>
        <v>180815394.94394994</v>
      </c>
      <c r="AU32" s="81">
        <f>'CAPEX Schedule'!AU18:JZ18</f>
        <v>180815394.94394994</v>
      </c>
      <c r="AV32" s="81">
        <f>'CAPEX Schedule'!AV18:KA18</f>
        <v>180815394.94394994</v>
      </c>
      <c r="AW32" s="81">
        <f>'CAPEX Schedule'!AW18:KB18</f>
        <v>180815394.94394994</v>
      </c>
      <c r="AX32" s="81">
        <f>'CAPEX Schedule'!AX18:KC18</f>
        <v>180815394.94394994</v>
      </c>
      <c r="AY32" s="81">
        <f>'CAPEX Schedule'!AY18:KD18</f>
        <v>180815394.94394994</v>
      </c>
      <c r="AZ32" s="81">
        <f>'CAPEX Schedule'!AZ18:KE18</f>
        <v>180815394.94394994</v>
      </c>
      <c r="BA32" s="81">
        <f>'CAPEX Schedule'!BA18:KF18</f>
        <v>180815394.94394994</v>
      </c>
      <c r="BB32" s="81">
        <f>'CAPEX Schedule'!BB18:KG18</f>
        <v>180815394.94394994</v>
      </c>
      <c r="BC32" s="81">
        <f>'CAPEX Schedule'!BC18:KH18</f>
        <v>180815394.94394994</v>
      </c>
      <c r="BD32" s="81">
        <f>'CAPEX Schedule'!BD18:KI18</f>
        <v>180815394.94394994</v>
      </c>
      <c r="BE32" s="81">
        <f>'CAPEX Schedule'!BE18:KJ18</f>
        <v>180815394.94394994</v>
      </c>
      <c r="BF32" s="81">
        <f>'CAPEX Schedule'!BF18:KK18</f>
        <v>180815394.94394994</v>
      </c>
      <c r="BG32" s="81">
        <f>'CAPEX Schedule'!BG18:KL18</f>
        <v>180815394.94394994</v>
      </c>
      <c r="BH32" s="81">
        <f>'CAPEX Schedule'!BH18:KM18</f>
        <v>180815394.94394994</v>
      </c>
      <c r="BI32" s="81">
        <f>'CAPEX Schedule'!BI18:KN18</f>
        <v>180815394.94394994</v>
      </c>
      <c r="BJ32" s="81">
        <f>'CAPEX Schedule'!BJ18:KO18</f>
        <v>180815394.94394994</v>
      </c>
      <c r="BK32" s="81">
        <f>'CAPEX Schedule'!BK18:KP18</f>
        <v>182815394.94394994</v>
      </c>
      <c r="BL32" s="81">
        <f>'CAPEX Schedule'!BL18:KQ18</f>
        <v>182815394.94394994</v>
      </c>
      <c r="BM32" s="81">
        <f>'CAPEX Schedule'!BM18:KR18</f>
        <v>182815394.94394994</v>
      </c>
      <c r="BN32" s="81">
        <f>'CAPEX Schedule'!BN18:KS18</f>
        <v>184015394.94394994</v>
      </c>
      <c r="BO32" s="81">
        <f>'CAPEX Schedule'!BO18:KT18</f>
        <v>184015394.94394994</v>
      </c>
      <c r="BP32" s="81">
        <f>'CAPEX Schedule'!BP18:KU18</f>
        <v>184015394.94394994</v>
      </c>
      <c r="BQ32" s="81">
        <f>'CAPEX Schedule'!BQ18:KV18</f>
        <v>184815394.94394994</v>
      </c>
      <c r="BR32" s="81">
        <f>'CAPEX Schedule'!BR18:KW18</f>
        <v>184815394.94394994</v>
      </c>
      <c r="BS32" s="81">
        <f>'CAPEX Schedule'!BS18:KX18</f>
        <v>184815394.94394994</v>
      </c>
      <c r="BT32" s="81">
        <f>'CAPEX Schedule'!BT18:KY18</f>
        <v>184815394.94394994</v>
      </c>
      <c r="BU32" s="81">
        <f>'CAPEX Schedule'!BU18:KZ18</f>
        <v>184815394.94394994</v>
      </c>
      <c r="BV32" s="81">
        <f>'CAPEX Schedule'!BV18:LA18</f>
        <v>184815394.94394994</v>
      </c>
      <c r="BW32" s="81">
        <f>'CAPEX Schedule'!BW18:LB18</f>
        <v>184815394.94394994</v>
      </c>
      <c r="BX32" s="81">
        <f>'CAPEX Schedule'!BX18:LC18</f>
        <v>184815394.94394994</v>
      </c>
      <c r="BY32" s="81">
        <f>'CAPEX Schedule'!BY18:LD18</f>
        <v>184815394.94394994</v>
      </c>
      <c r="BZ32" s="81">
        <f>'CAPEX Schedule'!BZ18:LE18</f>
        <v>184815394.94394994</v>
      </c>
      <c r="CA32" s="81">
        <f>'CAPEX Schedule'!CA18:LF18</f>
        <v>184815394.94394994</v>
      </c>
      <c r="CB32" s="81">
        <f>'CAPEX Schedule'!CB18:LG18</f>
        <v>184815394.94394994</v>
      </c>
      <c r="CC32" s="81">
        <f>'CAPEX Schedule'!CC18:LH18</f>
        <v>184815394.94394994</v>
      </c>
      <c r="CD32" s="81">
        <f>'CAPEX Schedule'!CD18:LI18</f>
        <v>184815394.94394994</v>
      </c>
      <c r="CE32" s="81">
        <f>'CAPEX Schedule'!CE18:LJ18</f>
        <v>184815394.94394994</v>
      </c>
      <c r="CF32" s="81">
        <f>'CAPEX Schedule'!CF18:LK18</f>
        <v>184815394.94394994</v>
      </c>
      <c r="CG32" s="81">
        <f>'CAPEX Schedule'!CG18:LL18</f>
        <v>184815394.94394994</v>
      </c>
      <c r="CH32" s="81">
        <f>'CAPEX Schedule'!CH18:LM18</f>
        <v>184815394.94394994</v>
      </c>
      <c r="CI32" s="81">
        <f>'CAPEX Schedule'!CI18:LN18</f>
        <v>184815394.94394994</v>
      </c>
      <c r="CJ32" s="81">
        <f>'CAPEX Schedule'!CJ18:LO18</f>
        <v>184815394.94394994</v>
      </c>
      <c r="CK32" s="81">
        <f>'CAPEX Schedule'!CK18:LP18</f>
        <v>184815394.94394994</v>
      </c>
      <c r="CL32" s="81">
        <f>'CAPEX Schedule'!CL18:LQ18</f>
        <v>184815394.94394994</v>
      </c>
      <c r="CM32" s="81">
        <f>'CAPEX Schedule'!CM18:LR18</f>
        <v>184815394.94394994</v>
      </c>
      <c r="CN32" s="81">
        <f>'CAPEX Schedule'!CN18:LS18</f>
        <v>184815394.94394994</v>
      </c>
      <c r="CO32" s="81">
        <f>'CAPEX Schedule'!CO18:LT18</f>
        <v>184815394.94394994</v>
      </c>
      <c r="CP32" s="81">
        <f>'CAPEX Schedule'!CP18:LU18</f>
        <v>184815394.94394994</v>
      </c>
      <c r="CQ32" s="81">
        <f>'CAPEX Schedule'!CQ18:LV18</f>
        <v>184815394.94394994</v>
      </c>
      <c r="CR32" s="81">
        <f>'CAPEX Schedule'!CR18:LW18</f>
        <v>184815394.94394994</v>
      </c>
      <c r="CS32" s="81">
        <f>'CAPEX Schedule'!CS18:LX18</f>
        <v>184815394.94394994</v>
      </c>
      <c r="CT32" s="81">
        <f>'CAPEX Schedule'!CT18:LY18</f>
        <v>184815394.94394994</v>
      </c>
      <c r="CU32" s="81">
        <f>'CAPEX Schedule'!CU18:LZ18</f>
        <v>184815394.94394994</v>
      </c>
      <c r="CV32" s="81">
        <f>'CAPEX Schedule'!CV18:MA18</f>
        <v>184815394.94394994</v>
      </c>
      <c r="CW32" s="81">
        <f>'CAPEX Schedule'!CW18:MB18</f>
        <v>184815394.94394994</v>
      </c>
      <c r="CX32" s="81">
        <f>'CAPEX Schedule'!CX18:MC18</f>
        <v>184815394.94394994</v>
      </c>
      <c r="CY32" s="81">
        <f>'CAPEX Schedule'!CY18:MD18</f>
        <v>184815394.94394994</v>
      </c>
      <c r="CZ32" s="81">
        <f>'CAPEX Schedule'!CZ18:ME18</f>
        <v>184815394.94394994</v>
      </c>
      <c r="DA32" s="81">
        <f>'CAPEX Schedule'!DA18:MF18</f>
        <v>184815394.94394994</v>
      </c>
      <c r="DB32" s="81">
        <f>'CAPEX Schedule'!DB18:MG18</f>
        <v>184815394.94394994</v>
      </c>
      <c r="DC32" s="81">
        <f>'CAPEX Schedule'!DC18:MH18</f>
        <v>184815394.94394994</v>
      </c>
      <c r="DD32" s="81">
        <f>'CAPEX Schedule'!DD18:MI18</f>
        <v>184815394.94394994</v>
      </c>
      <c r="DE32" s="81">
        <f>'CAPEX Schedule'!DE18:MJ18</f>
        <v>184815394.94394994</v>
      </c>
      <c r="DF32" s="81">
        <f>'CAPEX Schedule'!DF18:MK18</f>
        <v>184815394.94394994</v>
      </c>
      <c r="DG32" s="81">
        <f>'CAPEX Schedule'!DG18:ML18</f>
        <v>184815394.94394994</v>
      </c>
      <c r="DH32" s="81">
        <f>'CAPEX Schedule'!DH18:MM18</f>
        <v>184815394.94394994</v>
      </c>
      <c r="DI32" s="81">
        <f>'CAPEX Schedule'!DI18:MN18</f>
        <v>184815394.94394994</v>
      </c>
      <c r="DJ32" s="81">
        <f>'CAPEX Schedule'!DJ18:MO18</f>
        <v>184815394.94394994</v>
      </c>
      <c r="DK32" s="81">
        <f>'CAPEX Schedule'!DK18:MP18</f>
        <v>184815394.94394994</v>
      </c>
      <c r="DL32" s="81">
        <f>'CAPEX Schedule'!DL18:MQ18</f>
        <v>184815394.94394994</v>
      </c>
      <c r="DM32" s="81">
        <f>'CAPEX Schedule'!DM18:MR18</f>
        <v>184815394.94394994</v>
      </c>
      <c r="DN32" s="81">
        <f>'CAPEX Schedule'!DN18:MS18</f>
        <v>184815394.94394994</v>
      </c>
      <c r="DO32" s="81">
        <f>'CAPEX Schedule'!DO18:MT18</f>
        <v>184815394.94394994</v>
      </c>
      <c r="DP32" s="81">
        <f>'CAPEX Schedule'!DP18:MU18</f>
        <v>184815394.94394994</v>
      </c>
      <c r="DQ32" s="81">
        <f>'CAPEX Schedule'!DQ18:MV18</f>
        <v>184815394.94394994</v>
      </c>
      <c r="DR32" s="81">
        <f>'CAPEX Schedule'!DR18:MW18</f>
        <v>184815394.94394994</v>
      </c>
      <c r="DS32" s="81">
        <f>'CAPEX Schedule'!DS18:MX18</f>
        <v>187815394.94394994</v>
      </c>
      <c r="DT32" s="81">
        <f>'CAPEX Schedule'!DT18:MY18</f>
        <v>187815394.94394994</v>
      </c>
      <c r="DU32" s="81">
        <f>'CAPEX Schedule'!DU18:MZ18</f>
        <v>187815394.94394994</v>
      </c>
      <c r="DV32" s="81">
        <f>'CAPEX Schedule'!DV18:NA18</f>
        <v>190015394.94394994</v>
      </c>
      <c r="DW32" s="81">
        <f>'CAPEX Schedule'!DW18:NB18</f>
        <v>190015394.94394994</v>
      </c>
      <c r="DX32" s="81">
        <f>'CAPEX Schedule'!DX18:NC18</f>
        <v>190015394.94394994</v>
      </c>
      <c r="DY32" s="81">
        <f>'CAPEX Schedule'!DY18:ND18</f>
        <v>191815394.94394994</v>
      </c>
      <c r="DZ32" s="81">
        <f>'CAPEX Schedule'!DZ18:NE18</f>
        <v>191815394.94394994</v>
      </c>
      <c r="EA32" s="81">
        <f>'CAPEX Schedule'!EA18:NF18</f>
        <v>191815394.94394994</v>
      </c>
      <c r="EB32" s="81">
        <f>'CAPEX Schedule'!EB18:NG18</f>
        <v>191815394.94394994</v>
      </c>
      <c r="EC32" s="81">
        <f>'CAPEX Schedule'!EC18:NH18</f>
        <v>191815394.94394994</v>
      </c>
      <c r="ED32" s="81">
        <f>'CAPEX Schedule'!ED18:NI18</f>
        <v>191815394.94394994</v>
      </c>
      <c r="EE32" s="81">
        <f>'CAPEX Schedule'!EE18:NJ18</f>
        <v>191815394.94394994</v>
      </c>
      <c r="EF32" s="81">
        <f>'CAPEX Schedule'!EF18:NK18</f>
        <v>191815394.94394994</v>
      </c>
      <c r="EG32" s="81">
        <f>'CAPEX Schedule'!EG18:NL18</f>
        <v>191815394.94394994</v>
      </c>
      <c r="EH32" s="81">
        <f>'CAPEX Schedule'!EH18:NM18</f>
        <v>191815394.94394994</v>
      </c>
      <c r="EI32" s="81">
        <f>'CAPEX Schedule'!EI18:NN18</f>
        <v>191815394.94394994</v>
      </c>
      <c r="EJ32" s="81">
        <f>'CAPEX Schedule'!EJ18:NO18</f>
        <v>191815394.94394994</v>
      </c>
      <c r="EK32" s="81">
        <f>'CAPEX Schedule'!EK18:NP18</f>
        <v>192815394.94394994</v>
      </c>
      <c r="EL32" s="81">
        <f>'CAPEX Schedule'!EL18:NQ18</f>
        <v>192815394.94394994</v>
      </c>
      <c r="EM32" s="81">
        <f>'CAPEX Schedule'!EM18:NR18</f>
        <v>192815394.94394994</v>
      </c>
      <c r="EN32" s="81">
        <f>'CAPEX Schedule'!EN18:NS18</f>
        <v>192815394.94394994</v>
      </c>
      <c r="EO32" s="81">
        <f>'CAPEX Schedule'!EO18:NT18</f>
        <v>192815394.94394994</v>
      </c>
      <c r="EP32" s="81">
        <f>'CAPEX Schedule'!EP18:NU18</f>
        <v>194815394.94394994</v>
      </c>
      <c r="EQ32" s="81">
        <f>'CAPEX Schedule'!EQ18:NV18</f>
        <v>194815394.94394994</v>
      </c>
      <c r="ER32" s="81">
        <f>'CAPEX Schedule'!ER18:NW18</f>
        <v>194815394.94394994</v>
      </c>
      <c r="ES32" s="81">
        <f>'CAPEX Schedule'!ES18:NX18</f>
        <v>194815394.94394994</v>
      </c>
      <c r="ET32" s="81">
        <f>'CAPEX Schedule'!ET18:NY18</f>
        <v>194815394.94394994</v>
      </c>
      <c r="EU32" s="81">
        <f>'CAPEX Schedule'!EU18:NZ18</f>
        <v>194815394.94394994</v>
      </c>
      <c r="EV32" s="81">
        <f>'CAPEX Schedule'!EV18:OA18</f>
        <v>194815394.94394994</v>
      </c>
      <c r="EW32" s="81">
        <f>'CAPEX Schedule'!EW18:OB18</f>
        <v>194815394.94394994</v>
      </c>
      <c r="EX32" s="81">
        <f>'CAPEX Schedule'!EX18:OC18</f>
        <v>194815394.94394994</v>
      </c>
      <c r="EY32" s="81">
        <f>'CAPEX Schedule'!EY18:OD18</f>
        <v>194815394.94394994</v>
      </c>
      <c r="EZ32" s="81">
        <f>'CAPEX Schedule'!EZ18:OE18</f>
        <v>195815394.94394994</v>
      </c>
      <c r="FA32" s="81">
        <f>'CAPEX Schedule'!FA18:OF18</f>
        <v>195815394.94394994</v>
      </c>
      <c r="FB32" s="81">
        <f>'CAPEX Schedule'!FB18:OG18</f>
        <v>195815394.94394994</v>
      </c>
      <c r="FC32" s="81">
        <f>'CAPEX Schedule'!FC18:OH18</f>
        <v>195815394.94394994</v>
      </c>
      <c r="FD32" s="81">
        <f>'CAPEX Schedule'!FD18:OI18</f>
        <v>195815394.94394994</v>
      </c>
      <c r="FE32" s="81">
        <f>'CAPEX Schedule'!FE18:OJ18</f>
        <v>195815394.94394994</v>
      </c>
      <c r="FF32" s="81">
        <f>'CAPEX Schedule'!FF18:OK18</f>
        <v>195815394.94394994</v>
      </c>
      <c r="FG32" s="81">
        <f>'CAPEX Schedule'!FG18:OL18</f>
        <v>195815394.94394994</v>
      </c>
      <c r="FH32" s="81">
        <f>'CAPEX Schedule'!FH18:OM18</f>
        <v>197815394.94394994</v>
      </c>
      <c r="FI32" s="81">
        <f>'CAPEX Schedule'!FI18:ON18</f>
        <v>197815394.94394994</v>
      </c>
      <c r="FJ32" s="81">
        <f>'CAPEX Schedule'!FJ18:OO18</f>
        <v>197815394.94394994</v>
      </c>
      <c r="FK32" s="81">
        <f>'CAPEX Schedule'!FK18:OP18</f>
        <v>197815394.94394994</v>
      </c>
      <c r="FL32" s="81">
        <f>'CAPEX Schedule'!FL18:OQ18</f>
        <v>197815394.94394994</v>
      </c>
      <c r="FM32" s="81">
        <f>'CAPEX Schedule'!FM18:OR18</f>
        <v>197815394.94394994</v>
      </c>
      <c r="FN32" s="81">
        <f>'CAPEX Schedule'!FN18:OS18</f>
        <v>197815394.94394994</v>
      </c>
      <c r="FO32" s="81">
        <f>'CAPEX Schedule'!FO18:OT18</f>
        <v>197815394.94394994</v>
      </c>
      <c r="FP32" s="81">
        <f>'CAPEX Schedule'!FP18:OU18</f>
        <v>197815394.94394994</v>
      </c>
      <c r="FQ32" s="81">
        <f>'CAPEX Schedule'!FQ18:OV18</f>
        <v>197815394.94394994</v>
      </c>
      <c r="FR32" s="81">
        <f>'CAPEX Schedule'!FR18:OW18</f>
        <v>197815394.94394994</v>
      </c>
      <c r="FS32" s="81">
        <f>'CAPEX Schedule'!FS18:OX18</f>
        <v>197815394.94394994</v>
      </c>
      <c r="FT32" s="81">
        <f>'CAPEX Schedule'!FT18:OY18</f>
        <v>197815394.94394994</v>
      </c>
      <c r="FU32" s="81">
        <f>'CAPEX Schedule'!FU18:OZ18</f>
        <v>197815394.94394994</v>
      </c>
      <c r="FV32" s="81">
        <f>'CAPEX Schedule'!FV18:PA18</f>
        <v>197815394.94394994</v>
      </c>
      <c r="FW32" s="81">
        <f>'CAPEX Schedule'!FW18:PB18</f>
        <v>197815394.94394994</v>
      </c>
      <c r="FX32" s="81">
        <f>'CAPEX Schedule'!FX18:PC18</f>
        <v>197815394.94394994</v>
      </c>
      <c r="FY32" s="81">
        <f>'CAPEX Schedule'!FY18:PD18</f>
        <v>197815394.94394994</v>
      </c>
      <c r="FZ32" s="81">
        <f>'CAPEX Schedule'!FZ18:PE18</f>
        <v>197815394.94394994</v>
      </c>
      <c r="GA32" s="81">
        <f>'CAPEX Schedule'!GA18:PF18</f>
        <v>199815394.94394994</v>
      </c>
      <c r="GB32" s="81">
        <f>'CAPEX Schedule'!GB18:PG18</f>
        <v>199815394.94394994</v>
      </c>
      <c r="GC32" s="81">
        <f>'CAPEX Schedule'!GC18:PH18</f>
        <v>199815394.94394994</v>
      </c>
      <c r="GD32" s="81">
        <f>'CAPEX Schedule'!GD18:PI18</f>
        <v>202015394.94394994</v>
      </c>
      <c r="GE32" s="81">
        <f>'CAPEX Schedule'!GE18:PJ18</f>
        <v>202015394.94394994</v>
      </c>
      <c r="GF32" s="81">
        <f>'CAPEX Schedule'!GF18:PK18</f>
        <v>202015394.94394994</v>
      </c>
      <c r="GG32" s="81">
        <f>'CAPEX Schedule'!GG18:PL18</f>
        <v>207129346.94394994</v>
      </c>
      <c r="GH32" s="81">
        <f>'CAPEX Schedule'!GH18:PM18</f>
        <v>207129346.94394994</v>
      </c>
      <c r="GI32" s="81">
        <f>'CAPEX Schedule'!GI18:PN18</f>
        <v>207129346.94394994</v>
      </c>
      <c r="GJ32" s="81">
        <f>'CAPEX Schedule'!GJ18:PO18</f>
        <v>207129346.94394994</v>
      </c>
      <c r="GK32" s="81">
        <f>'CAPEX Schedule'!GK18:PP18</f>
        <v>207129346.94394994</v>
      </c>
      <c r="GL32" s="81">
        <f>'CAPEX Schedule'!GL18:PQ18</f>
        <v>207129346.94394994</v>
      </c>
      <c r="GM32" s="81">
        <f>'CAPEX Schedule'!GM18:PR18</f>
        <v>207129346.94394994</v>
      </c>
      <c r="GN32" s="81">
        <f>'CAPEX Schedule'!GN18:PS18</f>
        <v>207129346.94394994</v>
      </c>
      <c r="GO32" s="81">
        <f>'CAPEX Schedule'!GO18:PT18</f>
        <v>207129346.94394994</v>
      </c>
      <c r="GP32" s="81">
        <f>'CAPEX Schedule'!GP18:PU18</f>
        <v>207129346.94394994</v>
      </c>
      <c r="GQ32" s="81">
        <f>'CAPEX Schedule'!GQ18:PV18</f>
        <v>207129346.94394994</v>
      </c>
      <c r="GR32" s="81">
        <f>'CAPEX Schedule'!GR18:PW18</f>
        <v>207129346.94394994</v>
      </c>
      <c r="GS32" s="81">
        <f>'CAPEX Schedule'!GS18:PX18</f>
        <v>207129346.94394994</v>
      </c>
      <c r="GT32" s="81">
        <f>'CAPEX Schedule'!GT18:PY18</f>
        <v>207129346.94394994</v>
      </c>
      <c r="GU32" s="81">
        <f>'CAPEX Schedule'!GU18:PZ18</f>
        <v>207129346.94394994</v>
      </c>
      <c r="GV32" s="81">
        <f>'CAPEX Schedule'!GV18:QA18</f>
        <v>207129346.94394994</v>
      </c>
      <c r="GW32" s="81">
        <f>'CAPEX Schedule'!GW18:QB18</f>
        <v>207129346.94394994</v>
      </c>
      <c r="GX32" s="81">
        <f>'CAPEX Schedule'!GX18:QC18</f>
        <v>207129346.94394994</v>
      </c>
      <c r="GY32" s="81">
        <f>'CAPEX Schedule'!GY18:QD18</f>
        <v>207129346.94394994</v>
      </c>
      <c r="GZ32" s="81">
        <f>'CAPEX Schedule'!GZ18:QE18</f>
        <v>207129346.94394994</v>
      </c>
      <c r="HA32" s="81">
        <f>'CAPEX Schedule'!HA18:QF18</f>
        <v>207129346.94394994</v>
      </c>
      <c r="HB32" s="81">
        <f>'CAPEX Schedule'!HB18:QG18</f>
        <v>207129346.94394994</v>
      </c>
      <c r="HC32" s="81">
        <f>'CAPEX Schedule'!HC18:QH18</f>
        <v>207129346.94394994</v>
      </c>
      <c r="HD32" s="81">
        <f>'CAPEX Schedule'!HD18:QI18</f>
        <v>207129346.94394994</v>
      </c>
      <c r="HE32" s="81">
        <f>'CAPEX Schedule'!HE18:QJ18</f>
        <v>207129346.94394994</v>
      </c>
      <c r="HF32" s="81">
        <f>'CAPEX Schedule'!HF18:QK18</f>
        <v>207129346.94394994</v>
      </c>
      <c r="HG32" s="81">
        <f>'CAPEX Schedule'!HG18:QL18</f>
        <v>207129346.94394994</v>
      </c>
      <c r="HH32" s="81">
        <f>'CAPEX Schedule'!HH18:QM18</f>
        <v>207129346.94394994</v>
      </c>
      <c r="HI32" s="81">
        <f>'CAPEX Schedule'!HI18:QN18</f>
        <v>207129346.94394994</v>
      </c>
      <c r="HJ32" s="81">
        <f>'CAPEX Schedule'!HJ18:QO18</f>
        <v>207129346.94394994</v>
      </c>
      <c r="HK32" s="81">
        <f>'CAPEX Schedule'!HK18:QP18</f>
        <v>207129346.94394994</v>
      </c>
      <c r="HL32" s="81">
        <f>'CAPEX Schedule'!HL18:QQ18</f>
        <v>207129346.94394994</v>
      </c>
      <c r="HM32" s="81">
        <f>'CAPEX Schedule'!HM18:QR18</f>
        <v>207129346.94394994</v>
      </c>
      <c r="HN32" s="81">
        <f>'CAPEX Schedule'!HN18:QS18</f>
        <v>207129346.94394994</v>
      </c>
      <c r="HO32" s="81">
        <f>'CAPEX Schedule'!HO18:QT18</f>
        <v>207129346.94394994</v>
      </c>
      <c r="HP32" s="81">
        <f>'CAPEX Schedule'!HP18:QU18</f>
        <v>207129346.94394994</v>
      </c>
      <c r="HQ32" s="81">
        <f>'CAPEX Schedule'!HQ18:QV18</f>
        <v>207129346.94394994</v>
      </c>
      <c r="HR32" s="81">
        <f>'CAPEX Schedule'!HR18:QW18</f>
        <v>207129346.94394994</v>
      </c>
      <c r="HS32" s="81">
        <f>'CAPEX Schedule'!HS18:QX18</f>
        <v>207129346.94394994</v>
      </c>
      <c r="HT32" s="81">
        <f>'CAPEX Schedule'!HT18:QY18</f>
        <v>207129346.94394994</v>
      </c>
      <c r="HU32" s="81">
        <f>'CAPEX Schedule'!HU18:QZ18</f>
        <v>207129346.94394994</v>
      </c>
      <c r="HV32" s="81">
        <f>'CAPEX Schedule'!HV18:RA18</f>
        <v>207129346.94394994</v>
      </c>
      <c r="HW32" s="81">
        <f>'CAPEX Schedule'!HW18:RB18</f>
        <v>207129346.94394994</v>
      </c>
      <c r="HX32" s="81">
        <f>'CAPEX Schedule'!HX18:RC18</f>
        <v>207129346.94394994</v>
      </c>
      <c r="HY32" s="81">
        <f>'CAPEX Schedule'!HY18:RD18</f>
        <v>207129346.94394994</v>
      </c>
      <c r="HZ32" s="81">
        <f>'CAPEX Schedule'!HZ18:RE18</f>
        <v>207129346.94394994</v>
      </c>
      <c r="IA32" s="81">
        <f>'CAPEX Schedule'!IA18:RF18</f>
        <v>207129346.94394994</v>
      </c>
      <c r="IB32" s="81">
        <f>'CAPEX Schedule'!IB18:RG18</f>
        <v>207129346.94394994</v>
      </c>
      <c r="IC32" s="81">
        <f>'CAPEX Schedule'!IC18:RH18</f>
        <v>207129346.94394994</v>
      </c>
      <c r="ID32" s="81">
        <f>'CAPEX Schedule'!ID18:RI18</f>
        <v>207129346.94394994</v>
      </c>
      <c r="IE32" s="81">
        <f>'CAPEX Schedule'!IE18:RJ18</f>
        <v>207129346.94394994</v>
      </c>
      <c r="IF32" s="81">
        <f>'CAPEX Schedule'!IF18:RK18</f>
        <v>207129346.94394994</v>
      </c>
      <c r="IG32" s="81">
        <f>'CAPEX Schedule'!IG18:RL18</f>
        <v>207129346.94394994</v>
      </c>
      <c r="IH32" s="81">
        <f>'CAPEX Schedule'!IH18:RM18</f>
        <v>207129346.94394994</v>
      </c>
    </row>
    <row r="33" spans="1:242" x14ac:dyDescent="0.45">
      <c r="A33" s="895" t="s">
        <v>298</v>
      </c>
      <c r="B33" s="896"/>
      <c r="C33" s="81">
        <v>0</v>
      </c>
      <c r="D33" s="81">
        <f>C33+C34</f>
        <v>-5346903.7165688919</v>
      </c>
      <c r="E33" s="81">
        <f t="shared" ref="E33:BP33" si="257">D33+D34</f>
        <v>-10284658.273640666</v>
      </c>
      <c r="F33" s="81">
        <f t="shared" si="257"/>
        <v>-15195619.321601376</v>
      </c>
      <c r="G33" s="81">
        <f t="shared" si="257"/>
        <v>-20079641.72894334</v>
      </c>
      <c r="H33" s="81">
        <f t="shared" si="257"/>
        <v>-24936579.578029875</v>
      </c>
      <c r="I33" s="81">
        <f t="shared" si="257"/>
        <v>-29766286.160837095</v>
      </c>
      <c r="J33" s="81">
        <f t="shared" si="257"/>
        <v>-34568613.974672653</v>
      </c>
      <c r="K33" s="81">
        <f t="shared" si="257"/>
        <v>-39343414.717871286</v>
      </c>
      <c r="L33" s="81">
        <f t="shared" si="257"/>
        <v>-44090539.285467044</v>
      </c>
      <c r="M33" s="81">
        <f t="shared" si="257"/>
        <v>-48809837.764842078</v>
      </c>
      <c r="N33" s="81">
        <f t="shared" si="257"/>
        <v>-53501159.431351863</v>
      </c>
      <c r="O33" s="81">
        <f t="shared" si="257"/>
        <v>-58164352.743926711</v>
      </c>
      <c r="P33" s="81">
        <f t="shared" si="257"/>
        <v>-68735972.977981418</v>
      </c>
      <c r="Q33" s="81">
        <f t="shared" si="257"/>
        <v>-79139159.308973163</v>
      </c>
      <c r="R33" s="81">
        <f t="shared" si="257"/>
        <v>-89513757.719927043</v>
      </c>
      <c r="S33" s="81">
        <f t="shared" si="257"/>
        <v>-99859613.3596095</v>
      </c>
      <c r="T33" s="81">
        <f t="shared" si="257"/>
        <v>-110176570.53800949</v>
      </c>
      <c r="U33" s="81">
        <f t="shared" si="257"/>
        <v>-120464472.72179507</v>
      </c>
      <c r="V33" s="81">
        <f t="shared" si="257"/>
        <v>-130723162.5297454</v>
      </c>
      <c r="W33" s="81">
        <f t="shared" si="257"/>
        <v>-140952481.72815806</v>
      </c>
      <c r="X33" s="81">
        <f t="shared" si="257"/>
        <v>-151152271.22623137</v>
      </c>
      <c r="Y33" s="81">
        <f t="shared" si="257"/>
        <v>-161322371.07142183</v>
      </c>
      <c r="Z33" s="81">
        <f t="shared" si="257"/>
        <v>-171462620.44477633</v>
      </c>
      <c r="AA33" s="81">
        <f t="shared" si="257"/>
        <v>-181572857.65623906</v>
      </c>
      <c r="AB33" s="81">
        <f t="shared" si="257"/>
        <v>-186855750.15537202</v>
      </c>
      <c r="AC33" s="81">
        <f t="shared" si="257"/>
        <v>-192108304.48029423</v>
      </c>
      <c r="AD33" s="81">
        <f t="shared" si="257"/>
        <v>-197330356.29922873</v>
      </c>
      <c r="AE33" s="81">
        <f t="shared" si="257"/>
        <v>-202521740.39026809</v>
      </c>
      <c r="AF33" s="81">
        <f t="shared" si="257"/>
        <v>-207682290.63655287</v>
      </c>
      <c r="AG33" s="81">
        <f t="shared" si="257"/>
        <v>-212811840.021424</v>
      </c>
      <c r="AH33" s="81">
        <f t="shared" si="257"/>
        <v>-217910220.62354878</v>
      </c>
      <c r="AI33" s="81">
        <f t="shared" si="257"/>
        <v>-222977263.6120207</v>
      </c>
      <c r="AJ33" s="81">
        <f t="shared" si="257"/>
        <v>-228012799.24143246</v>
      </c>
      <c r="AK33" s="81">
        <f t="shared" si="257"/>
        <v>-233016656.84692249</v>
      </c>
      <c r="AL33" s="81">
        <f t="shared" si="257"/>
        <v>-237988664.83919457</v>
      </c>
      <c r="AM33" s="81">
        <f t="shared" si="257"/>
        <v>-242928650.6995104</v>
      </c>
      <c r="AN33" s="81">
        <f t="shared" si="257"/>
        <v>-244219207.38568118</v>
      </c>
      <c r="AO33" s="81">
        <f t="shared" si="257"/>
        <v>-245477394.09392795</v>
      </c>
      <c r="AP33" s="81">
        <f t="shared" si="257"/>
        <v>-246703035.48687029</v>
      </c>
      <c r="AQ33" s="81">
        <f t="shared" si="257"/>
        <v>-247895955.27738363</v>
      </c>
      <c r="AR33" s="81">
        <f t="shared" si="257"/>
        <v>-249055976.22345483</v>
      </c>
      <c r="AS33" s="81">
        <f t="shared" si="257"/>
        <v>-250182920.12300983</v>
      </c>
      <c r="AT33" s="81">
        <f t="shared" si="257"/>
        <v>-251276607.80871332</v>
      </c>
      <c r="AU33" s="81">
        <f t="shared" si="257"/>
        <v>-252336859.14274025</v>
      </c>
      <c r="AV33" s="81">
        <f t="shared" si="257"/>
        <v>-253363493.01151907</v>
      </c>
      <c r="AW33" s="81">
        <f t="shared" si="257"/>
        <v>-254356327.32044634</v>
      </c>
      <c r="AX33" s="81">
        <f t="shared" si="257"/>
        <v>-255315178.98857287</v>
      </c>
      <c r="AY33" s="81">
        <f t="shared" si="257"/>
        <v>-256239863.94326097</v>
      </c>
      <c r="AZ33" s="81">
        <f t="shared" si="257"/>
        <v>-253379705.40709224</v>
      </c>
      <c r="BA33" s="81">
        <f t="shared" si="257"/>
        <v>-250490189.69392291</v>
      </c>
      <c r="BB33" s="81">
        <f t="shared" si="257"/>
        <v>-247571157.78571084</v>
      </c>
      <c r="BC33" s="81">
        <f t="shared" si="257"/>
        <v>-244622449.80306625</v>
      </c>
      <c r="BD33" s="81">
        <f t="shared" si="257"/>
        <v>-241643905.00058594</v>
      </c>
      <c r="BE33" s="81">
        <f t="shared" si="257"/>
        <v>-238635361.76216248</v>
      </c>
      <c r="BF33" s="81">
        <f t="shared" si="257"/>
        <v>-235596657.59626785</v>
      </c>
      <c r="BG33" s="81">
        <f t="shared" si="257"/>
        <v>-232527629.13121158</v>
      </c>
      <c r="BH33" s="81">
        <f t="shared" si="257"/>
        <v>-229428112.1103732</v>
      </c>
      <c r="BI33" s="81">
        <f t="shared" si="257"/>
        <v>-226297941.38740888</v>
      </c>
      <c r="BJ33" s="81">
        <f t="shared" si="257"/>
        <v>-223136950.92143214</v>
      </c>
      <c r="BK33" s="81">
        <f t="shared" si="257"/>
        <v>-219944973.77216828</v>
      </c>
      <c r="BL33" s="81">
        <f t="shared" si="257"/>
        <v>-214300556.36146337</v>
      </c>
      <c r="BM33" s="81">
        <f t="shared" si="257"/>
        <v>-208624815.66924453</v>
      </c>
      <c r="BN33" s="81">
        <f t="shared" si="257"/>
        <v>-202917582.0277369</v>
      </c>
      <c r="BO33" s="81">
        <f t="shared" si="257"/>
        <v>-197178684.85013181</v>
      </c>
      <c r="BP33" s="81">
        <f t="shared" si="257"/>
        <v>-191407952.62560874</v>
      </c>
      <c r="BQ33" s="81">
        <f t="shared" ref="BQ33:EB33" si="258">BP33+BP34</f>
        <v>-185605212.91433024</v>
      </c>
      <c r="BR33" s="81">
        <f t="shared" si="258"/>
        <v>-179770292.3424097</v>
      </c>
      <c r="BS33" s="81">
        <f t="shared" si="258"/>
        <v>-173903016.59685197</v>
      </c>
      <c r="BT33" s="81">
        <f t="shared" si="258"/>
        <v>-168003210.42046654</v>
      </c>
      <c r="BU33" s="81">
        <f t="shared" si="258"/>
        <v>-162070697.60675308</v>
      </c>
      <c r="BV33" s="81">
        <f t="shared" si="258"/>
        <v>-156105300.99475938</v>
      </c>
      <c r="BW33" s="81">
        <f t="shared" si="258"/>
        <v>-150106842.46391144</v>
      </c>
      <c r="BX33" s="81">
        <f t="shared" si="258"/>
        <v>-143750411.44633952</v>
      </c>
      <c r="BY33" s="81">
        <f t="shared" si="258"/>
        <v>-137360559.36907986</v>
      </c>
      <c r="BZ33" s="81">
        <f t="shared" si="258"/>
        <v>-130937105.20139252</v>
      </c>
      <c r="CA33" s="81">
        <f t="shared" si="258"/>
        <v>-124479866.93195434</v>
      </c>
      <c r="CB33" s="81">
        <f t="shared" si="258"/>
        <v>-117988661.56354751</v>
      </c>
      <c r="CC33" s="81">
        <f t="shared" si="258"/>
        <v>-111463305.10771927</v>
      </c>
      <c r="CD33" s="81">
        <f t="shared" si="258"/>
        <v>-104903612.57941276</v>
      </c>
      <c r="CE33" s="81">
        <f t="shared" si="258"/>
        <v>-98309397.991568729</v>
      </c>
      <c r="CF33" s="81">
        <f t="shared" si="258"/>
        <v>-91680474.349698007</v>
      </c>
      <c r="CG33" s="81">
        <f t="shared" si="258"/>
        <v>-85016653.646424621</v>
      </c>
      <c r="CH33" s="81">
        <f t="shared" si="258"/>
        <v>-78317746.855999306</v>
      </c>
      <c r="CI33" s="81">
        <f t="shared" si="258"/>
        <v>-71583563.928783312</v>
      </c>
      <c r="CJ33" s="81">
        <f t="shared" si="258"/>
        <v>-64813913.78570237</v>
      </c>
      <c r="CK33" s="81">
        <f t="shared" si="258"/>
        <v>-58008604.312670544</v>
      </c>
      <c r="CL33" s="81">
        <f t="shared" si="258"/>
        <v>-51167442.354983926</v>
      </c>
      <c r="CM33" s="81">
        <f t="shared" si="258"/>
        <v>-44290233.711683974</v>
      </c>
      <c r="CN33" s="81">
        <f t="shared" si="258"/>
        <v>-37376783.129890278</v>
      </c>
      <c r="CO33" s="81">
        <f t="shared" si="258"/>
        <v>-30466837.621446565</v>
      </c>
      <c r="CP33" s="81">
        <f t="shared" si="258"/>
        <v>-23520256.490160219</v>
      </c>
      <c r="CQ33" s="81">
        <f t="shared" si="258"/>
        <v>-16536841.293074176</v>
      </c>
      <c r="CR33" s="81">
        <f t="shared" si="258"/>
        <v>-9516392.5123320185</v>
      </c>
      <c r="CS33" s="81">
        <f t="shared" si="258"/>
        <v>-2458709.5493556131</v>
      </c>
      <c r="CT33" s="81">
        <f t="shared" si="258"/>
        <v>4636409.2810088117</v>
      </c>
      <c r="CU33" s="81">
        <f t="shared" si="258"/>
        <v>11769166.756376272</v>
      </c>
      <c r="CV33" s="81">
        <f t="shared" si="258"/>
        <v>19557415.932405077</v>
      </c>
      <c r="CW33" s="81">
        <f t="shared" si="258"/>
        <v>27383712.609752752</v>
      </c>
      <c r="CX33" s="81">
        <f t="shared" si="258"/>
        <v>35248262.879051439</v>
      </c>
      <c r="CY33" s="81">
        <f t="shared" si="258"/>
        <v>43151273.947257541</v>
      </c>
      <c r="CZ33" s="81">
        <f t="shared" si="258"/>
        <v>51092954.143698469</v>
      </c>
      <c r="DA33" s="81">
        <f t="shared" si="258"/>
        <v>59073512.92615217</v>
      </c>
      <c r="DB33" s="81">
        <f t="shared" si="258"/>
        <v>67093160.886959538</v>
      </c>
      <c r="DC33" s="81">
        <f t="shared" si="258"/>
        <v>75152109.759169996</v>
      </c>
      <c r="DD33" s="81">
        <f t="shared" si="258"/>
        <v>83250572.422720298</v>
      </c>
      <c r="DE33" s="81">
        <f t="shared" si="258"/>
        <v>91388762.910646886</v>
      </c>
      <c r="DF33" s="81">
        <f t="shared" si="258"/>
        <v>99566896.415331781</v>
      </c>
      <c r="DG33" s="81">
        <f t="shared" si="258"/>
        <v>107785189.29478244</v>
      </c>
      <c r="DH33" s="81">
        <f t="shared" si="258"/>
        <v>116003915.7566016</v>
      </c>
      <c r="DI33" s="81">
        <f t="shared" si="258"/>
        <v>124263237.83136703</v>
      </c>
      <c r="DJ33" s="81">
        <f t="shared" si="258"/>
        <v>132563375.41198218</v>
      </c>
      <c r="DK33" s="81">
        <f t="shared" si="258"/>
        <v>140904549.58243707</v>
      </c>
      <c r="DL33" s="81">
        <f t="shared" si="258"/>
        <v>149286982.62426001</v>
      </c>
      <c r="DM33" s="81">
        <f t="shared" si="258"/>
        <v>157710898.02300423</v>
      </c>
      <c r="DN33" s="81">
        <f t="shared" si="258"/>
        <v>166176520.47476971</v>
      </c>
      <c r="DO33" s="81">
        <f t="shared" si="258"/>
        <v>174684075.89276034</v>
      </c>
      <c r="DP33" s="81">
        <f t="shared" si="258"/>
        <v>183233791.41387647</v>
      </c>
      <c r="DQ33" s="81">
        <f t="shared" si="258"/>
        <v>191825895.40534341</v>
      </c>
      <c r="DR33" s="81">
        <f t="shared" si="258"/>
        <v>200460617.47137552</v>
      </c>
      <c r="DS33" s="81">
        <f t="shared" si="258"/>
        <v>209138188.45987675</v>
      </c>
      <c r="DT33" s="81">
        <f t="shared" si="258"/>
        <v>218476489.64884162</v>
      </c>
      <c r="DU33" s="81">
        <f t="shared" si="258"/>
        <v>227814790.83780649</v>
      </c>
      <c r="DV33" s="81">
        <f t="shared" si="258"/>
        <v>237153092.02677137</v>
      </c>
      <c r="DW33" s="81">
        <f t="shared" si="258"/>
        <v>246491393.21573624</v>
      </c>
      <c r="DX33" s="81">
        <f t="shared" si="258"/>
        <v>255829694.40470111</v>
      </c>
      <c r="DY33" s="81">
        <f t="shared" si="258"/>
        <v>265167995.59366599</v>
      </c>
      <c r="DZ33" s="81">
        <f t="shared" si="258"/>
        <v>274506296.78263086</v>
      </c>
      <c r="EA33" s="81">
        <f t="shared" si="258"/>
        <v>283844597.97159576</v>
      </c>
      <c r="EB33" s="81">
        <f t="shared" si="258"/>
        <v>293182899.16056067</v>
      </c>
      <c r="EC33" s="81">
        <f t="shared" ref="EC33:FZ33" si="259">EB33+EB34</f>
        <v>302521200.34952557</v>
      </c>
      <c r="ED33" s="81">
        <f t="shared" si="259"/>
        <v>311859501.53849047</v>
      </c>
      <c r="EE33" s="81">
        <f t="shared" si="259"/>
        <v>321197802.72745538</v>
      </c>
      <c r="EF33" s="81">
        <f t="shared" si="259"/>
        <v>330496160.59407634</v>
      </c>
      <c r="EG33" s="81">
        <f t="shared" si="259"/>
        <v>339794518.46069729</v>
      </c>
      <c r="EH33" s="81">
        <f t="shared" si="259"/>
        <v>349092876.32731825</v>
      </c>
      <c r="EI33" s="81">
        <f t="shared" si="259"/>
        <v>358391234.19393921</v>
      </c>
      <c r="EJ33" s="81">
        <f t="shared" si="259"/>
        <v>367689592.06056017</v>
      </c>
      <c r="EK33" s="81">
        <f t="shared" si="259"/>
        <v>376987949.92718112</v>
      </c>
      <c r="EL33" s="81">
        <f t="shared" si="259"/>
        <v>386286307.79380208</v>
      </c>
      <c r="EM33" s="81">
        <f t="shared" si="259"/>
        <v>395584665.66042304</v>
      </c>
      <c r="EN33" s="81">
        <f t="shared" si="259"/>
        <v>404883023.527044</v>
      </c>
      <c r="EO33" s="81">
        <f t="shared" si="259"/>
        <v>414181381.39366496</v>
      </c>
      <c r="EP33" s="81">
        <f t="shared" si="259"/>
        <v>423479739.26028591</v>
      </c>
      <c r="EQ33" s="81">
        <f t="shared" si="259"/>
        <v>432778097.12690687</v>
      </c>
      <c r="ER33" s="81">
        <f t="shared" si="259"/>
        <v>442694104.17319238</v>
      </c>
      <c r="ES33" s="81">
        <f t="shared" si="259"/>
        <v>452610111.21947789</v>
      </c>
      <c r="ET33" s="81">
        <f t="shared" si="259"/>
        <v>462526118.2657634</v>
      </c>
      <c r="EU33" s="81">
        <f t="shared" si="259"/>
        <v>472442125.31204891</v>
      </c>
      <c r="EV33" s="81">
        <f t="shared" si="259"/>
        <v>482358132.35833442</v>
      </c>
      <c r="EW33" s="81">
        <f t="shared" si="259"/>
        <v>492274139.40461993</v>
      </c>
      <c r="EX33" s="81">
        <f t="shared" si="259"/>
        <v>502190146.45090544</v>
      </c>
      <c r="EY33" s="81">
        <f t="shared" si="259"/>
        <v>512106153.49719095</v>
      </c>
      <c r="EZ33" s="81">
        <f t="shared" si="259"/>
        <v>522022160.54347646</v>
      </c>
      <c r="FA33" s="81">
        <f t="shared" si="259"/>
        <v>531938167.58976197</v>
      </c>
      <c r="FB33" s="81">
        <f t="shared" si="259"/>
        <v>541854174.63604748</v>
      </c>
      <c r="FC33" s="81">
        <f t="shared" si="259"/>
        <v>551770181.68233299</v>
      </c>
      <c r="FD33" s="81">
        <f t="shared" si="259"/>
        <v>561646245.40627456</v>
      </c>
      <c r="FE33" s="81">
        <f t="shared" si="259"/>
        <v>571522309.13021612</v>
      </c>
      <c r="FF33" s="81">
        <f t="shared" si="259"/>
        <v>581398372.85415769</v>
      </c>
      <c r="FG33" s="81">
        <f t="shared" si="259"/>
        <v>591274436.57809925</v>
      </c>
      <c r="FH33" s="81">
        <f t="shared" si="259"/>
        <v>601150500.30204082</v>
      </c>
      <c r="FI33" s="81">
        <f t="shared" si="259"/>
        <v>611026564.02598238</v>
      </c>
      <c r="FJ33" s="81">
        <f t="shared" si="259"/>
        <v>620902627.74992394</v>
      </c>
      <c r="FK33" s="81">
        <f t="shared" si="259"/>
        <v>630778691.47386551</v>
      </c>
      <c r="FL33" s="81">
        <f t="shared" si="259"/>
        <v>640654755.19780707</v>
      </c>
      <c r="FM33" s="81">
        <f t="shared" si="259"/>
        <v>650530818.92174864</v>
      </c>
      <c r="FN33" s="81">
        <f t="shared" si="259"/>
        <v>660406882.6456902</v>
      </c>
      <c r="FO33" s="81">
        <f t="shared" si="259"/>
        <v>670282946.36963177</v>
      </c>
      <c r="FP33" s="81">
        <f t="shared" si="259"/>
        <v>680776659.27323794</v>
      </c>
      <c r="FQ33" s="81">
        <f t="shared" si="259"/>
        <v>691270372.17684412</v>
      </c>
      <c r="FR33" s="81">
        <f t="shared" si="259"/>
        <v>701764085.0804503</v>
      </c>
      <c r="FS33" s="81">
        <f t="shared" si="259"/>
        <v>712257797.98405647</v>
      </c>
      <c r="FT33" s="81">
        <f t="shared" si="259"/>
        <v>722751510.88766265</v>
      </c>
      <c r="FU33" s="81">
        <f t="shared" si="259"/>
        <v>733245223.79126883</v>
      </c>
      <c r="FV33" s="81">
        <f t="shared" si="259"/>
        <v>743738936.694875</v>
      </c>
      <c r="FW33" s="81">
        <f t="shared" si="259"/>
        <v>754232649.59848118</v>
      </c>
      <c r="FX33" s="81">
        <f t="shared" si="259"/>
        <v>764726362.50208735</v>
      </c>
      <c r="FY33" s="81">
        <f t="shared" si="259"/>
        <v>775220075.40569353</v>
      </c>
      <c r="FZ33" s="81">
        <f t="shared" si="259"/>
        <v>785713788.30929971</v>
      </c>
      <c r="GA33" s="81">
        <f t="shared" ref="GA33" si="260">FZ33+FZ34</f>
        <v>796207501.21290588</v>
      </c>
      <c r="GB33" s="81">
        <f t="shared" ref="GB33" si="261">GA33+GA34</f>
        <v>806661270.79416811</v>
      </c>
      <c r="GC33" s="81">
        <f t="shared" ref="GC33" si="262">GB33+GB34</f>
        <v>817115040.37543035</v>
      </c>
      <c r="GD33" s="81">
        <f t="shared" ref="GD33" si="263">GC33+GC34</f>
        <v>827568809.95669258</v>
      </c>
      <c r="GE33" s="81">
        <f t="shared" ref="GE33" si="264">GD33+GD34</f>
        <v>838022579.53795481</v>
      </c>
      <c r="GF33" s="81">
        <f t="shared" ref="GF33" si="265">GE33+GE34</f>
        <v>848476349.11921704</v>
      </c>
      <c r="GG33" s="81">
        <f t="shared" ref="GG33" si="266">GF33+GF34</f>
        <v>858930118.70047927</v>
      </c>
      <c r="GH33" s="81">
        <f t="shared" ref="GH33" si="267">GG33+GG34</f>
        <v>869383888.2817415</v>
      </c>
      <c r="GI33" s="81">
        <f t="shared" ref="GI33" si="268">GH33+GH34</f>
        <v>879837657.86300373</v>
      </c>
      <c r="GJ33" s="81">
        <f t="shared" ref="GJ33" si="269">GI33+GI34</f>
        <v>890291427.44426596</v>
      </c>
      <c r="GK33" s="81">
        <f t="shared" ref="GK33" si="270">GJ33+GJ34</f>
        <v>900745197.02552819</v>
      </c>
      <c r="GL33" s="81">
        <f t="shared" ref="GL33" si="271">GK33+GK34</f>
        <v>911198966.60679042</v>
      </c>
      <c r="GM33" s="81">
        <f t="shared" ref="GM33" si="272">GL33+GL34</f>
        <v>921652736.18805265</v>
      </c>
      <c r="GN33" s="81">
        <f t="shared" ref="GN33" si="273">GM33+GM34</f>
        <v>937614708.97404492</v>
      </c>
      <c r="GO33" s="81">
        <f t="shared" ref="GO33" si="274">GN33+GN34</f>
        <v>953576681.76003718</v>
      </c>
      <c r="GP33" s="81">
        <f t="shared" ref="GP33" si="275">GO33+GO34</f>
        <v>969538654.54602945</v>
      </c>
      <c r="GQ33" s="81">
        <f t="shared" ref="GQ33" si="276">GP33+GP34</f>
        <v>985500627.33202171</v>
      </c>
      <c r="GR33" s="81">
        <f t="shared" ref="GR33" si="277">GQ33+GQ34</f>
        <v>1001462600.118014</v>
      </c>
      <c r="GS33" s="81">
        <f t="shared" ref="GS33" si="278">GR33+GR34</f>
        <v>1017424572.9040062</v>
      </c>
      <c r="GT33" s="81">
        <f t="shared" ref="GT33" si="279">GS33+GS34</f>
        <v>1033386545.6899985</v>
      </c>
      <c r="GU33" s="81">
        <f t="shared" ref="GU33" si="280">GT33+GT34</f>
        <v>1049348518.4759908</v>
      </c>
      <c r="GV33" s="81">
        <f t="shared" ref="GV33" si="281">GU33+GU34</f>
        <v>1065310491.261983</v>
      </c>
      <c r="GW33" s="81">
        <f t="shared" ref="GW33" si="282">GV33+GV34</f>
        <v>1081272464.0479753</v>
      </c>
      <c r="GX33" s="81">
        <f t="shared" ref="GX33" si="283">GW33+GW34</f>
        <v>1097234436.8339677</v>
      </c>
      <c r="GY33" s="81">
        <f t="shared" ref="GY33" si="284">GX33+GX34</f>
        <v>1113196409.6199601</v>
      </c>
      <c r="GZ33" s="81">
        <f t="shared" ref="GZ33" si="285">GY33+GY34</f>
        <v>1129118439.0836084</v>
      </c>
      <c r="HA33" s="81">
        <f t="shared" ref="HA33" si="286">GZ33+GZ34</f>
        <v>1145040468.5472567</v>
      </c>
      <c r="HB33" s="81">
        <f t="shared" ref="HB33" si="287">HA33+HA34</f>
        <v>1160962498.010905</v>
      </c>
      <c r="HC33" s="81">
        <f t="shared" ref="HC33" si="288">HB33+HB34</f>
        <v>1176884527.4745533</v>
      </c>
      <c r="HD33" s="81">
        <f t="shared" ref="HD33" si="289">HC33+HC34</f>
        <v>1192806556.9382017</v>
      </c>
      <c r="HE33" s="81">
        <f t="shared" ref="HE33" si="290">HD33+HD34</f>
        <v>1208728586.40185</v>
      </c>
      <c r="HF33" s="81">
        <f t="shared" ref="HF33" si="291">HE33+HE34</f>
        <v>1224650615.8654983</v>
      </c>
      <c r="HG33" s="81">
        <f t="shared" ref="HG33" si="292">HF33+HF34</f>
        <v>1240572645.3291466</v>
      </c>
      <c r="HH33" s="81">
        <f t="shared" ref="HH33" si="293">HG33+HG34</f>
        <v>1256494674.7927949</v>
      </c>
      <c r="HI33" s="81">
        <f t="shared" ref="HI33" si="294">HH33+HH34</f>
        <v>1272416704.2564433</v>
      </c>
      <c r="HJ33" s="81">
        <f t="shared" ref="HJ33" si="295">HI33+HI34</f>
        <v>1288338733.7200916</v>
      </c>
      <c r="HK33" s="81">
        <f t="shared" ref="HK33" si="296">HJ33+HJ34</f>
        <v>1304260763.1837399</v>
      </c>
      <c r="HL33" s="81">
        <f t="shared" ref="HL33" si="297">HK33+HK34</f>
        <v>1320840385.1493967</v>
      </c>
      <c r="HM33" s="81">
        <f t="shared" ref="HM33" si="298">HL33+HL34</f>
        <v>1337420007.1150534</v>
      </c>
      <c r="HN33" s="81">
        <f t="shared" ref="HN33" si="299">HM33+HM34</f>
        <v>1353999629.0807102</v>
      </c>
      <c r="HO33" s="81">
        <f t="shared" ref="HO33" si="300">HN33+HN34</f>
        <v>1370579251.0463669</v>
      </c>
      <c r="HP33" s="81">
        <f t="shared" ref="HP33" si="301">HO33+HO34</f>
        <v>1387158873.0120237</v>
      </c>
      <c r="HQ33" s="81">
        <f t="shared" ref="HQ33" si="302">HP33+HP34</f>
        <v>1403738494.9776804</v>
      </c>
      <c r="HR33" s="81">
        <f t="shared" ref="HR33" si="303">HQ33+HQ34</f>
        <v>1420318116.9433372</v>
      </c>
      <c r="HS33" s="81">
        <f t="shared" ref="HS33" si="304">HR33+HR34</f>
        <v>1436897738.908994</v>
      </c>
      <c r="HT33" s="81">
        <f t="shared" ref="HT33" si="305">HS33+HS34</f>
        <v>1453477360.8746507</v>
      </c>
      <c r="HU33" s="81">
        <f t="shared" ref="HU33" si="306">HT33+HT34</f>
        <v>1470056982.8403075</v>
      </c>
      <c r="HV33" s="81">
        <f t="shared" ref="HV33" si="307">HU33+HU34</f>
        <v>1486636604.8059642</v>
      </c>
      <c r="HW33" s="81">
        <f t="shared" ref="HW33" si="308">HV33+HV34</f>
        <v>1503216226.771621</v>
      </c>
      <c r="HX33" s="81">
        <f t="shared" ref="HX33" si="309">HW33+HW34</f>
        <v>1519795848.7372777</v>
      </c>
      <c r="HY33" s="81">
        <f t="shared" ref="HY33" si="310">HX33+HX34</f>
        <v>1536375470.7029345</v>
      </c>
      <c r="HZ33" s="81">
        <f t="shared" ref="HZ33" si="311">HY33+HY34</f>
        <v>1552955092.6685913</v>
      </c>
      <c r="IA33" s="81">
        <f t="shared" ref="IA33" si="312">HZ33+HZ34</f>
        <v>1569534714.634248</v>
      </c>
      <c r="IB33" s="81">
        <f t="shared" ref="IB33" si="313">IA33+IA34</f>
        <v>1586114336.5999048</v>
      </c>
      <c r="IC33" s="81">
        <f t="shared" ref="IC33" si="314">IB33+IB34</f>
        <v>1602693958.5655615</v>
      </c>
      <c r="ID33" s="81">
        <f t="shared" ref="ID33" si="315">IC33+IC34</f>
        <v>1619273580.5312183</v>
      </c>
      <c r="IE33" s="81">
        <f t="shared" ref="IE33" si="316">ID33+ID34</f>
        <v>1635853202.496875</v>
      </c>
      <c r="IF33" s="81">
        <f t="shared" ref="IF33" si="317">IE33+IE34</f>
        <v>1652432824.4625318</v>
      </c>
      <c r="IG33" s="81">
        <f t="shared" ref="IG33" si="318">IF33+IF34</f>
        <v>1669012446.4281886</v>
      </c>
      <c r="IH33" s="81">
        <f t="shared" ref="IH33" si="319">IG33+IG34</f>
        <v>1685592068.3938453</v>
      </c>
    </row>
    <row r="34" spans="1:242" ht="14.65" thickBot="1" x14ac:dyDescent="0.5">
      <c r="A34" s="895" t="s">
        <v>299</v>
      </c>
      <c r="B34" s="896"/>
      <c r="C34" s="81">
        <f>'Income Stmt'!C44</f>
        <v>-5346903.7165688919</v>
      </c>
      <c r="D34" s="81">
        <f>'Income Stmt'!D44</f>
        <v>-4937754.5570717733</v>
      </c>
      <c r="E34" s="81">
        <f>'Income Stmt'!E44</f>
        <v>-4910961.0479607107</v>
      </c>
      <c r="F34" s="81">
        <f>'Income Stmt'!F44</f>
        <v>-4884022.4073419664</v>
      </c>
      <c r="G34" s="81">
        <f>'Income Stmt'!G44</f>
        <v>-4856937.8490865342</v>
      </c>
      <c r="H34" s="81">
        <f>'Income Stmt'!H44</f>
        <v>-4829706.5828072205</v>
      </c>
      <c r="I34" s="81">
        <f>'Income Stmt'!I44</f>
        <v>-4802327.8138355594</v>
      </c>
      <c r="J34" s="81">
        <f>'Income Stmt'!J44</f>
        <v>-4774800.7431986332</v>
      </c>
      <c r="K34" s="81">
        <f>'Income Stmt'!K44</f>
        <v>-4747124.5675957594</v>
      </c>
      <c r="L34" s="81">
        <f>'Income Stmt'!L44</f>
        <v>-4719298.4793750374</v>
      </c>
      <c r="M34" s="81">
        <f>'Income Stmt'!M44</f>
        <v>-4691321.6665097848</v>
      </c>
      <c r="N34" s="81">
        <f>'Income Stmt'!N44</f>
        <v>-4663193.3125748467</v>
      </c>
      <c r="O34" s="81">
        <f>'Income Stmt'!O44</f>
        <v>-10571620.234054705</v>
      </c>
      <c r="P34" s="81">
        <f>'Income Stmt'!P44</f>
        <v>-10403186.330991752</v>
      </c>
      <c r="Q34" s="81">
        <f>'Income Stmt'!Q44</f>
        <v>-10374598.410953876</v>
      </c>
      <c r="R34" s="81">
        <f>'Income Stmt'!R44</f>
        <v>-10345855.639682462</v>
      </c>
      <c r="S34" s="81">
        <f>'Income Stmt'!S44</f>
        <v>-10316957.178399993</v>
      </c>
      <c r="T34" s="81">
        <f>'Income Stmt'!T44</f>
        <v>-10287902.183785578</v>
      </c>
      <c r="U34" s="81">
        <f>'Income Stmt'!U44</f>
        <v>-10258689.807950336</v>
      </c>
      <c r="V34" s="81">
        <f>'Income Stmt'!V44</f>
        <v>-10229319.198412651</v>
      </c>
      <c r="W34" s="81">
        <f>'Income Stmt'!W44</f>
        <v>-10199789.498073306</v>
      </c>
      <c r="X34" s="81">
        <f>'Income Stmt'!X44</f>
        <v>-10170099.845190454</v>
      </c>
      <c r="Y34" s="81">
        <f>'Income Stmt'!Y44</f>
        <v>-10140249.373354489</v>
      </c>
      <c r="Z34" s="81">
        <f>'Income Stmt'!Z44</f>
        <v>-10110237.211462744</v>
      </c>
      <c r="AA34" s="81">
        <f>'Income Stmt'!AA44</f>
        <v>-5282892.4991329536</v>
      </c>
      <c r="AB34" s="81">
        <f>'Income Stmt'!AB44</f>
        <v>-5252554.3249222152</v>
      </c>
      <c r="AC34" s="81">
        <f>'Income Stmt'!AC44</f>
        <v>-5222051.8189345021</v>
      </c>
      <c r="AD34" s="81">
        <f>'Income Stmt'!AD44</f>
        <v>-5191384.091039354</v>
      </c>
      <c r="AE34" s="81">
        <f>'Income Stmt'!AE44</f>
        <v>-5160550.2462847754</v>
      </c>
      <c r="AF34" s="81">
        <f>'Income Stmt'!AF44</f>
        <v>-5129549.3848711103</v>
      </c>
      <c r="AG34" s="81">
        <f>'Income Stmt'!AG44</f>
        <v>-5098380.602124786</v>
      </c>
      <c r="AH34" s="81">
        <f>'Income Stmt'!AH44</f>
        <v>-5067042.9884719197</v>
      </c>
      <c r="AI34" s="81">
        <f>'Income Stmt'!AI44</f>
        <v>-5035535.6294117682</v>
      </c>
      <c r="AJ34" s="81">
        <f>'Income Stmt'!AJ44</f>
        <v>-5003857.6054900391</v>
      </c>
      <c r="AK34" s="81">
        <f>'Income Stmt'!AK44</f>
        <v>-4972007.9922720678</v>
      </c>
      <c r="AL34" s="81">
        <f>'Income Stmt'!AL44</f>
        <v>-4939985.8603158332</v>
      </c>
      <c r="AM34" s="81">
        <f>'Income Stmt'!AM44</f>
        <v>-1290556.686170781</v>
      </c>
      <c r="AN34" s="81">
        <f>'Income Stmt'!AN44</f>
        <v>-1258186.7082467726</v>
      </c>
      <c r="AO34" s="81">
        <f>'Income Stmt'!AO44</f>
        <v>-1225641.3929423438</v>
      </c>
      <c r="AP34" s="81">
        <f>'Income Stmt'!AP44</f>
        <v>-1192919.7905133492</v>
      </c>
      <c r="AQ34" s="81">
        <f>'Income Stmt'!AQ44</f>
        <v>-1160020.9460711973</v>
      </c>
      <c r="AR34" s="81">
        <f>'Income Stmt'!AR44</f>
        <v>-1126943.8995549837</v>
      </c>
      <c r="AS34" s="81">
        <f>'Income Stmt'!AS44</f>
        <v>-1093687.6857034736</v>
      </c>
      <c r="AT34" s="81">
        <f>'Income Stmt'!AT44</f>
        <v>-1060251.334026935</v>
      </c>
      <c r="AU34" s="81">
        <f>'Income Stmt'!AU44</f>
        <v>-1026633.8687788155</v>
      </c>
      <c r="AV34" s="81">
        <f>'Income Stmt'!AV44</f>
        <v>-992834.30892726779</v>
      </c>
      <c r="AW34" s="81">
        <f>'Income Stmt'!AW44</f>
        <v>-958851.66812652489</v>
      </c>
      <c r="AX34" s="81">
        <f>'Income Stmt'!AX44</f>
        <v>-924684.95468811039</v>
      </c>
      <c r="AY34" s="81">
        <f>'Income Stmt'!AY44</f>
        <v>2860158.5361687187</v>
      </c>
      <c r="AZ34" s="81">
        <f>'Income Stmt'!AZ44</f>
        <v>2889515.7131693494</v>
      </c>
      <c r="BA34" s="81">
        <f>'Income Stmt'!BA44</f>
        <v>2919031.9082120662</v>
      </c>
      <c r="BB34" s="81">
        <f>'Income Stmt'!BB44</f>
        <v>2948707.9826445989</v>
      </c>
      <c r="BC34" s="81">
        <f>'Income Stmt'!BC44</f>
        <v>2978544.8024803074</v>
      </c>
      <c r="BD34" s="81">
        <f>'Income Stmt'!BD44</f>
        <v>3008543.2384234592</v>
      </c>
      <c r="BE34" s="81">
        <f>'Income Stmt'!BE44</f>
        <v>3038704.1658946369</v>
      </c>
      <c r="BF34" s="81">
        <f>'Income Stmt'!BF44</f>
        <v>3069028.4650562829</v>
      </c>
      <c r="BG34" s="81">
        <f>'Income Stmt'!BG44</f>
        <v>3099517.0208383878</v>
      </c>
      <c r="BH34" s="81">
        <f>'Income Stmt'!BH44</f>
        <v>3130170.7229643124</v>
      </c>
      <c r="BI34" s="81">
        <f>'Income Stmt'!BI44</f>
        <v>3160990.4659767528</v>
      </c>
      <c r="BJ34" s="81">
        <f>'Income Stmt'!BJ44</f>
        <v>3191977.1492638439</v>
      </c>
      <c r="BK34" s="81">
        <f>'Income Stmt'!BK44</f>
        <v>5644417.4107049126</v>
      </c>
      <c r="BL34" s="81">
        <f>'Income Stmt'!BL44</f>
        <v>5675740.692218842</v>
      </c>
      <c r="BM34" s="81">
        <f>'Income Stmt'!BM44</f>
        <v>5707233.6415076395</v>
      </c>
      <c r="BN34" s="81">
        <f>'Income Stmt'!BN44</f>
        <v>5738897.1776050823</v>
      </c>
      <c r="BO34" s="81">
        <f>'Income Stmt'!BO44</f>
        <v>5770732.2245230554</v>
      </c>
      <c r="BP34" s="81">
        <f>'Income Stmt'!BP44</f>
        <v>5802739.7112785</v>
      </c>
      <c r="BQ34" s="81">
        <f>'Income Stmt'!BQ44</f>
        <v>5834920.5719205355</v>
      </c>
      <c r="BR34" s="81">
        <f>'Income Stmt'!BR44</f>
        <v>5867275.745557717</v>
      </c>
      <c r="BS34" s="81">
        <f>'Income Stmt'!BS44</f>
        <v>5899806.1763854325</v>
      </c>
      <c r="BT34" s="81">
        <f>'Income Stmt'!BT44</f>
        <v>5932512.8137134649</v>
      </c>
      <c r="BU34" s="81">
        <f>'Income Stmt'!BU44</f>
        <v>5965396.611993691</v>
      </c>
      <c r="BV34" s="81">
        <f>'Income Stmt'!BV44</f>
        <v>5998458.530847935</v>
      </c>
      <c r="BW34" s="81">
        <f>'Income Stmt'!BW44</f>
        <v>6356431.0175719354</v>
      </c>
      <c r="BX34" s="81">
        <f>'Income Stmt'!BX44</f>
        <v>6389852.0772596486</v>
      </c>
      <c r="BY34" s="81">
        <f>'Income Stmt'!BY44</f>
        <v>6423454.1676873388</v>
      </c>
      <c r="BZ34" s="81">
        <f>'Income Stmt'!BZ44</f>
        <v>6457238.2694381783</v>
      </c>
      <c r="CA34" s="81">
        <f>'Income Stmt'!CA44</f>
        <v>6491205.368406835</v>
      </c>
      <c r="CB34" s="81">
        <f>'Income Stmt'!CB44</f>
        <v>6525356.4558282383</v>
      </c>
      <c r="CC34" s="81">
        <f>'Income Stmt'!CC44</f>
        <v>6559692.5283065075</v>
      </c>
      <c r="CD34" s="81">
        <f>'Income Stmt'!CD44</f>
        <v>6594214.5878440347</v>
      </c>
      <c r="CE34" s="81">
        <f>'Income Stmt'!CE44</f>
        <v>6628923.6418707222</v>
      </c>
      <c r="CF34" s="81">
        <f>'Income Stmt'!CF44</f>
        <v>6663820.7032733886</v>
      </c>
      <c r="CG34" s="81">
        <f>'Income Stmt'!CG44</f>
        <v>6698906.7904253192</v>
      </c>
      <c r="CH34" s="81">
        <f>'Income Stmt'!CH44</f>
        <v>6734182.9272159897</v>
      </c>
      <c r="CI34" s="81">
        <f>'Income Stmt'!CI44</f>
        <v>6769650.1430809423</v>
      </c>
      <c r="CJ34" s="81">
        <f>'Income Stmt'!CJ44</f>
        <v>6805309.47303183</v>
      </c>
      <c r="CK34" s="81">
        <f>'Income Stmt'!CK44</f>
        <v>6841161.9576866198</v>
      </c>
      <c r="CL34" s="81">
        <f>'Income Stmt'!CL44</f>
        <v>6877208.6432999549</v>
      </c>
      <c r="CM34" s="81">
        <f>'Income Stmt'!CM44</f>
        <v>6913450.5817936966</v>
      </c>
      <c r="CN34" s="81">
        <f>'Income Stmt'!CN44</f>
        <v>6909945.5084437151</v>
      </c>
      <c r="CO34" s="81">
        <f>'Income Stmt'!CO44</f>
        <v>6946581.1312863473</v>
      </c>
      <c r="CP34" s="81">
        <f>'Income Stmt'!CP44</f>
        <v>6983415.1970860446</v>
      </c>
      <c r="CQ34" s="81">
        <f>'Income Stmt'!CQ44</f>
        <v>7020448.7807421573</v>
      </c>
      <c r="CR34" s="81">
        <f>'Income Stmt'!CR44</f>
        <v>7057682.9629764054</v>
      </c>
      <c r="CS34" s="81">
        <f>'Income Stmt'!CS44</f>
        <v>7095118.8303644247</v>
      </c>
      <c r="CT34" s="81">
        <f>'Income Stmt'!CT44</f>
        <v>7132757.4753674604</v>
      </c>
      <c r="CU34" s="81">
        <f>'Income Stmt'!CU44</f>
        <v>7788249.1760288067</v>
      </c>
      <c r="CV34" s="81">
        <f>'Income Stmt'!CV44</f>
        <v>7826296.677347675</v>
      </c>
      <c r="CW34" s="81">
        <f>'Income Stmt'!CW44</f>
        <v>7864550.2692986876</v>
      </c>
      <c r="CX34" s="81">
        <f>'Income Stmt'!CX44</f>
        <v>7903011.0682061026</v>
      </c>
      <c r="CY34" s="81">
        <f>'Income Stmt'!CY44</f>
        <v>7941680.1964409314</v>
      </c>
      <c r="CZ34" s="81">
        <f>'Income Stmt'!CZ44</f>
        <v>7980558.7824537</v>
      </c>
      <c r="DA34" s="81">
        <f>'Income Stmt'!DA44</f>
        <v>8019647.96080737</v>
      </c>
      <c r="DB34" s="81">
        <f>'Income Stmt'!DB44</f>
        <v>8058948.8722104551</v>
      </c>
      <c r="DC34" s="81">
        <f>'Income Stmt'!DC44</f>
        <v>8098462.6635503089</v>
      </c>
      <c r="DD34" s="81">
        <f>'Income Stmt'!DD44</f>
        <v>8138190.4879265856</v>
      </c>
      <c r="DE34" s="81">
        <f>'Income Stmt'!DE44</f>
        <v>8178133.5046849018</v>
      </c>
      <c r="DF34" s="81">
        <f>'Income Stmt'!DF44</f>
        <v>8218292.8794506583</v>
      </c>
      <c r="DG34" s="81">
        <f>'Income Stmt'!DG44</f>
        <v>8218726.4618191645</v>
      </c>
      <c r="DH34" s="81">
        <f>'Income Stmt'!DH44</f>
        <v>8259322.074765427</v>
      </c>
      <c r="DI34" s="81">
        <f>'Income Stmt'!DI44</f>
        <v>8300137.5806151498</v>
      </c>
      <c r="DJ34" s="81">
        <f>'Income Stmt'!DJ44</f>
        <v>8341174.1704548895</v>
      </c>
      <c r="DK34" s="81">
        <f>'Income Stmt'!DK44</f>
        <v>8382433.0418229308</v>
      </c>
      <c r="DL34" s="81">
        <f>'Income Stmt'!DL44</f>
        <v>8423915.3987442125</v>
      </c>
      <c r="DM34" s="81">
        <f>'Income Stmt'!DM44</f>
        <v>8465622.4517654851</v>
      </c>
      <c r="DN34" s="81">
        <f>'Income Stmt'!DN44</f>
        <v>8507555.4179906249</v>
      </c>
      <c r="DO34" s="81">
        <f>'Income Stmt'!DO44</f>
        <v>8549715.5211161505</v>
      </c>
      <c r="DP34" s="81">
        <f>'Income Stmt'!DP44</f>
        <v>8592103.9914669376</v>
      </c>
      <c r="DQ34" s="81">
        <f>'Income Stmt'!DQ44</f>
        <v>8634722.0660321265</v>
      </c>
      <c r="DR34" s="81">
        <f>'Income Stmt'!DR44</f>
        <v>8677570.9885012098</v>
      </c>
      <c r="DS34" s="81">
        <f>'Income Stmt'!DS44</f>
        <v>9338301.1889648773</v>
      </c>
      <c r="DT34" s="81">
        <f>'Income Stmt'!DT44</f>
        <v>9338301.1889648773</v>
      </c>
      <c r="DU34" s="81">
        <f>'Income Stmt'!DU44</f>
        <v>9338301.1889648773</v>
      </c>
      <c r="DV34" s="81">
        <f>'Income Stmt'!DV44</f>
        <v>9338301.1889648773</v>
      </c>
      <c r="DW34" s="81">
        <f>'Income Stmt'!DW44</f>
        <v>9338301.1889648773</v>
      </c>
      <c r="DX34" s="81">
        <f>'Income Stmt'!DX44</f>
        <v>9338301.1889648773</v>
      </c>
      <c r="DY34" s="81">
        <f>'Income Stmt'!DY44</f>
        <v>9338301.1889648773</v>
      </c>
      <c r="DZ34" s="81">
        <f>'Income Stmt'!DZ44</f>
        <v>9338301.1889648773</v>
      </c>
      <c r="EA34" s="81">
        <f>'Income Stmt'!EA44</f>
        <v>9338301.1889648773</v>
      </c>
      <c r="EB34" s="81">
        <f>'Income Stmt'!EB44</f>
        <v>9338301.1889648773</v>
      </c>
      <c r="EC34" s="81">
        <f>'Income Stmt'!EC44</f>
        <v>9338301.1889648773</v>
      </c>
      <c r="ED34" s="81">
        <f>'Income Stmt'!ED44</f>
        <v>9338301.1889648773</v>
      </c>
      <c r="EE34" s="81">
        <f>'Income Stmt'!EE44</f>
        <v>9298357.8666209783</v>
      </c>
      <c r="EF34" s="81">
        <f>'Income Stmt'!EF44</f>
        <v>9298357.8666209783</v>
      </c>
      <c r="EG34" s="81">
        <f>'Income Stmt'!EG44</f>
        <v>9298357.8666209783</v>
      </c>
      <c r="EH34" s="81">
        <f>'Income Stmt'!EH44</f>
        <v>9298357.8666209783</v>
      </c>
      <c r="EI34" s="81">
        <f>'Income Stmt'!EI44</f>
        <v>9298357.8666209783</v>
      </c>
      <c r="EJ34" s="81">
        <f>'Income Stmt'!EJ44</f>
        <v>9298357.8666209783</v>
      </c>
      <c r="EK34" s="81">
        <f>'Income Stmt'!EK44</f>
        <v>9298357.8666209783</v>
      </c>
      <c r="EL34" s="81">
        <f>'Income Stmt'!EL44</f>
        <v>9298357.8666209783</v>
      </c>
      <c r="EM34" s="81">
        <f>'Income Stmt'!EM44</f>
        <v>9298357.8666209783</v>
      </c>
      <c r="EN34" s="81">
        <f>'Income Stmt'!EN44</f>
        <v>9298357.8666209783</v>
      </c>
      <c r="EO34" s="81">
        <f>'Income Stmt'!EO44</f>
        <v>9298357.8666209783</v>
      </c>
      <c r="EP34" s="81">
        <f>'Income Stmt'!EP44</f>
        <v>9298357.8666209783</v>
      </c>
      <c r="EQ34" s="81">
        <f>'Income Stmt'!EQ44</f>
        <v>9916007.0462855231</v>
      </c>
      <c r="ER34" s="81">
        <f>'Income Stmt'!ER44</f>
        <v>9916007.0462855231</v>
      </c>
      <c r="ES34" s="81">
        <f>'Income Stmt'!ES44</f>
        <v>9916007.0462855231</v>
      </c>
      <c r="ET34" s="81">
        <f>'Income Stmt'!ET44</f>
        <v>9916007.0462855231</v>
      </c>
      <c r="EU34" s="81">
        <f>'Income Stmt'!EU44</f>
        <v>9916007.0462855231</v>
      </c>
      <c r="EV34" s="81">
        <f>'Income Stmt'!EV44</f>
        <v>9916007.0462855231</v>
      </c>
      <c r="EW34" s="81">
        <f>'Income Stmt'!EW44</f>
        <v>9916007.0462855231</v>
      </c>
      <c r="EX34" s="81">
        <f>'Income Stmt'!EX44</f>
        <v>9916007.0462855231</v>
      </c>
      <c r="EY34" s="81">
        <f>'Income Stmt'!EY44</f>
        <v>9916007.0462855231</v>
      </c>
      <c r="EZ34" s="81">
        <f>'Income Stmt'!EZ44</f>
        <v>9916007.0462855231</v>
      </c>
      <c r="FA34" s="81">
        <f>'Income Stmt'!FA44</f>
        <v>9916007.0462855231</v>
      </c>
      <c r="FB34" s="81">
        <f>'Income Stmt'!FB44</f>
        <v>9916007.0462855231</v>
      </c>
      <c r="FC34" s="81">
        <f>'Income Stmt'!FC44</f>
        <v>9876063.7239416223</v>
      </c>
      <c r="FD34" s="81">
        <f>'Income Stmt'!FD44</f>
        <v>9876063.7239416223</v>
      </c>
      <c r="FE34" s="81">
        <f>'Income Stmt'!FE44</f>
        <v>9876063.7239416223</v>
      </c>
      <c r="FF34" s="81">
        <f>'Income Stmt'!FF44</f>
        <v>9876063.7239416223</v>
      </c>
      <c r="FG34" s="81">
        <f>'Income Stmt'!FG44</f>
        <v>9876063.7239416223</v>
      </c>
      <c r="FH34" s="81">
        <f>'Income Stmt'!FH44</f>
        <v>9876063.7239416223</v>
      </c>
      <c r="FI34" s="81">
        <f>'Income Stmt'!FI44</f>
        <v>9876063.7239416223</v>
      </c>
      <c r="FJ34" s="81">
        <f>'Income Stmt'!FJ44</f>
        <v>9876063.7239416223</v>
      </c>
      <c r="FK34" s="81">
        <f>'Income Stmt'!FK44</f>
        <v>9876063.7239416223</v>
      </c>
      <c r="FL34" s="81">
        <f>'Income Stmt'!FL44</f>
        <v>9876063.7239416223</v>
      </c>
      <c r="FM34" s="81">
        <f>'Income Stmt'!FM44</f>
        <v>9876063.7239416223</v>
      </c>
      <c r="FN34" s="81">
        <f>'Income Stmt'!FN44</f>
        <v>9876063.7239416223</v>
      </c>
      <c r="FO34" s="81">
        <f>'Income Stmt'!FO44</f>
        <v>10493712.903606161</v>
      </c>
      <c r="FP34" s="81">
        <f>'Income Stmt'!FP44</f>
        <v>10493712.903606161</v>
      </c>
      <c r="FQ34" s="81">
        <f>'Income Stmt'!FQ44</f>
        <v>10493712.903606161</v>
      </c>
      <c r="FR34" s="81">
        <f>'Income Stmt'!FR44</f>
        <v>10493712.903606161</v>
      </c>
      <c r="FS34" s="81">
        <f>'Income Stmt'!FS44</f>
        <v>10493712.903606161</v>
      </c>
      <c r="FT34" s="81">
        <f>'Income Stmt'!FT44</f>
        <v>10493712.903606161</v>
      </c>
      <c r="FU34" s="81">
        <f>'Income Stmt'!FU44</f>
        <v>10493712.903606161</v>
      </c>
      <c r="FV34" s="81">
        <f>'Income Stmt'!FV44</f>
        <v>10493712.903606161</v>
      </c>
      <c r="FW34" s="81">
        <f>'Income Stmt'!FW44</f>
        <v>10493712.903606161</v>
      </c>
      <c r="FX34" s="81">
        <f>'Income Stmt'!FX44</f>
        <v>10493712.903606161</v>
      </c>
      <c r="FY34" s="81">
        <f>'Income Stmt'!FY44</f>
        <v>10493712.903606161</v>
      </c>
      <c r="FZ34" s="81">
        <f>'Income Stmt'!FZ44</f>
        <v>10493712.903606161</v>
      </c>
      <c r="GA34" s="81">
        <f>'Income Stmt'!GA44</f>
        <v>10453769.581262264</v>
      </c>
      <c r="GB34" s="81">
        <f>'Income Stmt'!GB44</f>
        <v>10453769.581262264</v>
      </c>
      <c r="GC34" s="81">
        <f>'Income Stmt'!GC44</f>
        <v>10453769.581262264</v>
      </c>
      <c r="GD34" s="81">
        <f>'Income Stmt'!GD44</f>
        <v>10453769.581262264</v>
      </c>
      <c r="GE34" s="81">
        <f>'Income Stmt'!GE44</f>
        <v>10453769.581262264</v>
      </c>
      <c r="GF34" s="81">
        <f>'Income Stmt'!GF44</f>
        <v>10453769.581262264</v>
      </c>
      <c r="GG34" s="81">
        <f>'Income Stmt'!GG44</f>
        <v>10453769.581262264</v>
      </c>
      <c r="GH34" s="81">
        <f>'Income Stmt'!GH44</f>
        <v>10453769.581262264</v>
      </c>
      <c r="GI34" s="81">
        <f>'Income Stmt'!GI44</f>
        <v>10453769.581262264</v>
      </c>
      <c r="GJ34" s="81">
        <f>'Income Stmt'!GJ44</f>
        <v>10453769.581262264</v>
      </c>
      <c r="GK34" s="81">
        <f>'Income Stmt'!GK44</f>
        <v>10453769.581262264</v>
      </c>
      <c r="GL34" s="81">
        <f>'Income Stmt'!GL44</f>
        <v>10453769.581262264</v>
      </c>
      <c r="GM34" s="81">
        <f>'Income Stmt'!GM44</f>
        <v>15961972.785992295</v>
      </c>
      <c r="GN34" s="81">
        <f>'Income Stmt'!GN44</f>
        <v>15961972.785992295</v>
      </c>
      <c r="GO34" s="81">
        <f>'Income Stmt'!GO44</f>
        <v>15961972.785992295</v>
      </c>
      <c r="GP34" s="81">
        <f>'Income Stmt'!GP44</f>
        <v>15961972.785992295</v>
      </c>
      <c r="GQ34" s="81">
        <f>'Income Stmt'!GQ44</f>
        <v>15961972.785992295</v>
      </c>
      <c r="GR34" s="81">
        <f>'Income Stmt'!GR44</f>
        <v>15961972.785992295</v>
      </c>
      <c r="GS34" s="81">
        <f>'Income Stmt'!GS44</f>
        <v>15961972.785992295</v>
      </c>
      <c r="GT34" s="81">
        <f>'Income Stmt'!GT44</f>
        <v>15961972.785992295</v>
      </c>
      <c r="GU34" s="81">
        <f>'Income Stmt'!GU44</f>
        <v>15961972.785992295</v>
      </c>
      <c r="GV34" s="81">
        <f>'Income Stmt'!GV44</f>
        <v>15961972.785992295</v>
      </c>
      <c r="GW34" s="81">
        <f>'Income Stmt'!GW44</f>
        <v>15961972.785992295</v>
      </c>
      <c r="GX34" s="81">
        <f>'Income Stmt'!GX44</f>
        <v>15961972.785992295</v>
      </c>
      <c r="GY34" s="81">
        <f>'Income Stmt'!GY44</f>
        <v>15922029.463648397</v>
      </c>
      <c r="GZ34" s="81">
        <f>'Income Stmt'!GZ44</f>
        <v>15922029.463648397</v>
      </c>
      <c r="HA34" s="81">
        <f>'Income Stmt'!HA44</f>
        <v>15922029.463648397</v>
      </c>
      <c r="HB34" s="81">
        <f>'Income Stmt'!HB44</f>
        <v>15922029.463648397</v>
      </c>
      <c r="HC34" s="81">
        <f>'Income Stmt'!HC44</f>
        <v>15922029.463648397</v>
      </c>
      <c r="HD34" s="81">
        <f>'Income Stmt'!HD44</f>
        <v>15922029.463648397</v>
      </c>
      <c r="HE34" s="81">
        <f>'Income Stmt'!HE44</f>
        <v>15922029.463648397</v>
      </c>
      <c r="HF34" s="81">
        <f>'Income Stmt'!HF44</f>
        <v>15922029.463648397</v>
      </c>
      <c r="HG34" s="81">
        <f>'Income Stmt'!HG44</f>
        <v>15922029.463648397</v>
      </c>
      <c r="HH34" s="81">
        <f>'Income Stmt'!HH44</f>
        <v>15922029.463648397</v>
      </c>
      <c r="HI34" s="81">
        <f>'Income Stmt'!HI44</f>
        <v>15922029.463648397</v>
      </c>
      <c r="HJ34" s="81">
        <f>'Income Stmt'!HJ44</f>
        <v>15922029.463648397</v>
      </c>
      <c r="HK34" s="81">
        <f>'Income Stmt'!HK44</f>
        <v>16579621.96565683</v>
      </c>
      <c r="HL34" s="81">
        <f>'Income Stmt'!HL44</f>
        <v>16579621.96565683</v>
      </c>
      <c r="HM34" s="81">
        <f>'Income Stmt'!HM44</f>
        <v>16579621.96565683</v>
      </c>
      <c r="HN34" s="81">
        <f>'Income Stmt'!HN44</f>
        <v>16579621.96565683</v>
      </c>
      <c r="HO34" s="81">
        <f>'Income Stmt'!HO44</f>
        <v>16579621.96565683</v>
      </c>
      <c r="HP34" s="81">
        <f>'Income Stmt'!HP44</f>
        <v>16579621.96565683</v>
      </c>
      <c r="HQ34" s="81">
        <f>'Income Stmt'!HQ44</f>
        <v>16579621.96565683</v>
      </c>
      <c r="HR34" s="81">
        <f>'Income Stmt'!HR44</f>
        <v>16579621.96565683</v>
      </c>
      <c r="HS34" s="81">
        <f>'Income Stmt'!HS44</f>
        <v>16579621.96565683</v>
      </c>
      <c r="HT34" s="81">
        <f>'Income Stmt'!HT44</f>
        <v>16579621.96565683</v>
      </c>
      <c r="HU34" s="81">
        <f>'Income Stmt'!HU44</f>
        <v>16579621.96565683</v>
      </c>
      <c r="HV34" s="81">
        <f>'Income Stmt'!HV44</f>
        <v>16579621.96565683</v>
      </c>
      <c r="HW34" s="81">
        <f>'Income Stmt'!HW44</f>
        <v>16579621.96565683</v>
      </c>
      <c r="HX34" s="81">
        <f>'Income Stmt'!HX44</f>
        <v>16579621.96565683</v>
      </c>
      <c r="HY34" s="81">
        <f>'Income Stmt'!HY44</f>
        <v>16579621.96565683</v>
      </c>
      <c r="HZ34" s="81">
        <f>'Income Stmt'!HZ44</f>
        <v>16579621.96565683</v>
      </c>
      <c r="IA34" s="81">
        <f>'Income Stmt'!IA44</f>
        <v>16579621.96565683</v>
      </c>
      <c r="IB34" s="81">
        <f>'Income Stmt'!IB44</f>
        <v>16579621.96565683</v>
      </c>
      <c r="IC34" s="81">
        <f>'Income Stmt'!IC44</f>
        <v>16579621.96565683</v>
      </c>
      <c r="ID34" s="81">
        <f>'Income Stmt'!ID44</f>
        <v>16579621.96565683</v>
      </c>
      <c r="IE34" s="81">
        <f>'Income Stmt'!IE44</f>
        <v>16579621.96565683</v>
      </c>
      <c r="IF34" s="81">
        <f>'Income Stmt'!IF44</f>
        <v>16579621.96565683</v>
      </c>
      <c r="IG34" s="81">
        <f>'Income Stmt'!IG44</f>
        <v>16579621.96565683</v>
      </c>
      <c r="IH34" s="81">
        <f>'Income Stmt'!IH44</f>
        <v>16579621.96565683</v>
      </c>
    </row>
    <row r="35" spans="1:242" ht="14.65" thickTop="1" x14ac:dyDescent="0.45">
      <c r="A35" s="77"/>
      <c r="B35" s="78"/>
      <c r="C35" s="85">
        <f>SUM(C32:C34)</f>
        <v>39856945.01941859</v>
      </c>
      <c r="D35" s="85">
        <f t="shared" ref="D35:BO35" si="320">SUM(D32:D34)</f>
        <v>34919190.462346815</v>
      </c>
      <c r="E35" s="85">
        <f t="shared" si="320"/>
        <v>30008229.414386112</v>
      </c>
      <c r="F35" s="85">
        <f t="shared" si="320"/>
        <v>25124207.007044144</v>
      </c>
      <c r="G35" s="85">
        <f t="shared" si="320"/>
        <v>20267269.15795761</v>
      </c>
      <c r="H35" s="85">
        <f t="shared" si="320"/>
        <v>15437562.575150389</v>
      </c>
      <c r="I35" s="85">
        <f t="shared" si="320"/>
        <v>28716774.255709849</v>
      </c>
      <c r="J35" s="85">
        <f t="shared" si="320"/>
        <v>32982743.259708725</v>
      </c>
      <c r="K35" s="85">
        <f t="shared" si="320"/>
        <v>28235618.692112967</v>
      </c>
      <c r="L35" s="85">
        <f t="shared" si="320"/>
        <v>32557089.959935378</v>
      </c>
      <c r="M35" s="85">
        <f t="shared" si="320"/>
        <v>27865768.293425597</v>
      </c>
      <c r="N35" s="85">
        <f t="shared" si="320"/>
        <v>32243344.728048258</v>
      </c>
      <c r="O35" s="85">
        <f t="shared" si="320"/>
        <v>66875573.229981102</v>
      </c>
      <c r="P35" s="85">
        <f t="shared" si="320"/>
        <v>56472386.898989342</v>
      </c>
      <c r="Q35" s="85">
        <f t="shared" si="320"/>
        <v>46097788.48803547</v>
      </c>
      <c r="R35" s="85">
        <f t="shared" si="320"/>
        <v>35751932.848353006</v>
      </c>
      <c r="S35" s="85">
        <f t="shared" si="320"/>
        <v>25434975.669953018</v>
      </c>
      <c r="T35" s="85">
        <f t="shared" si="320"/>
        <v>15147073.48616744</v>
      </c>
      <c r="U35" s="85">
        <f t="shared" si="320"/>
        <v>22969923.172612008</v>
      </c>
      <c r="V35" s="85">
        <f t="shared" si="320"/>
        <v>12740603.97419936</v>
      </c>
      <c r="W35" s="85">
        <f t="shared" si="320"/>
        <v>11581584.223323558</v>
      </c>
      <c r="X35" s="85">
        <f t="shared" si="320"/>
        <v>10452254.125330608</v>
      </c>
      <c r="Y35" s="85">
        <f t="shared" si="320"/>
        <v>312004.75197610818</v>
      </c>
      <c r="Z35" s="85">
        <f t="shared" si="320"/>
        <v>-757462.71228913218</v>
      </c>
      <c r="AA35" s="85">
        <f t="shared" si="320"/>
        <v>-6040355.2114220783</v>
      </c>
      <c r="AB35" s="85">
        <f t="shared" si="320"/>
        <v>-11292909.536344301</v>
      </c>
      <c r="AC35" s="85">
        <f t="shared" si="320"/>
        <v>-16514961.355278792</v>
      </c>
      <c r="AD35" s="85">
        <f t="shared" si="320"/>
        <v>-21706345.446318142</v>
      </c>
      <c r="AE35" s="85">
        <f t="shared" si="320"/>
        <v>-26866895.692602925</v>
      </c>
      <c r="AF35" s="85">
        <f t="shared" si="320"/>
        <v>-31996445.077474043</v>
      </c>
      <c r="AG35" s="85">
        <f t="shared" si="320"/>
        <v>-37094825.679598846</v>
      </c>
      <c r="AH35" s="85">
        <f t="shared" si="320"/>
        <v>-42161868.668070756</v>
      </c>
      <c r="AI35" s="85">
        <f t="shared" si="320"/>
        <v>-47197404.297482535</v>
      </c>
      <c r="AJ35" s="85">
        <f t="shared" si="320"/>
        <v>-52201261.902972557</v>
      </c>
      <c r="AK35" s="85">
        <f t="shared" si="320"/>
        <v>-57173269.895244613</v>
      </c>
      <c r="AL35" s="85">
        <f t="shared" si="320"/>
        <v>-62113255.755560458</v>
      </c>
      <c r="AM35" s="85">
        <f t="shared" si="320"/>
        <v>-63403812.441731237</v>
      </c>
      <c r="AN35" s="85">
        <f t="shared" si="320"/>
        <v>-64661999.149978019</v>
      </c>
      <c r="AO35" s="85">
        <f t="shared" si="320"/>
        <v>-65887640.542920358</v>
      </c>
      <c r="AP35" s="85">
        <f t="shared" si="320"/>
        <v>-67080560.333433703</v>
      </c>
      <c r="AQ35" s="85">
        <f t="shared" si="320"/>
        <v>-68240581.27950488</v>
      </c>
      <c r="AR35" s="85">
        <f t="shared" si="320"/>
        <v>-69367525.179059878</v>
      </c>
      <c r="AS35" s="85">
        <f t="shared" si="320"/>
        <v>-70461212.864763364</v>
      </c>
      <c r="AT35" s="85">
        <f t="shared" si="320"/>
        <v>-71521464.198790312</v>
      </c>
      <c r="AU35" s="85">
        <f t="shared" si="320"/>
        <v>-72548098.067569122</v>
      </c>
      <c r="AV35" s="85">
        <f t="shared" si="320"/>
        <v>-73540932.376496404</v>
      </c>
      <c r="AW35" s="85">
        <f t="shared" si="320"/>
        <v>-74499784.044622928</v>
      </c>
      <c r="AX35" s="85">
        <f t="shared" si="320"/>
        <v>-75424468.999311045</v>
      </c>
      <c r="AY35" s="85">
        <f t="shared" si="320"/>
        <v>-72564310.463142306</v>
      </c>
      <c r="AZ35" s="85">
        <f t="shared" si="320"/>
        <v>-69674794.749972954</v>
      </c>
      <c r="BA35" s="85">
        <f t="shared" si="320"/>
        <v>-66755762.841760904</v>
      </c>
      <c r="BB35" s="85">
        <f t="shared" si="320"/>
        <v>-63807054.859116301</v>
      </c>
      <c r="BC35" s="85">
        <f t="shared" si="320"/>
        <v>-60828510.056636006</v>
      </c>
      <c r="BD35" s="85">
        <f t="shared" si="320"/>
        <v>-57819966.818212546</v>
      </c>
      <c r="BE35" s="85">
        <f t="shared" si="320"/>
        <v>-54781262.652317904</v>
      </c>
      <c r="BF35" s="85">
        <f t="shared" si="320"/>
        <v>-51712234.187261626</v>
      </c>
      <c r="BG35" s="85">
        <f t="shared" si="320"/>
        <v>-48612717.166423254</v>
      </c>
      <c r="BH35" s="85">
        <f t="shared" si="320"/>
        <v>-45482546.443458952</v>
      </c>
      <c r="BI35" s="85">
        <f t="shared" si="320"/>
        <v>-42321555.977482192</v>
      </c>
      <c r="BJ35" s="85">
        <f t="shared" si="320"/>
        <v>-39129578.828218356</v>
      </c>
      <c r="BK35" s="85">
        <f t="shared" si="320"/>
        <v>-31485161.41751343</v>
      </c>
      <c r="BL35" s="85">
        <f t="shared" si="320"/>
        <v>-25809420.72529459</v>
      </c>
      <c r="BM35" s="85">
        <f t="shared" si="320"/>
        <v>-20102187.08378695</v>
      </c>
      <c r="BN35" s="85">
        <f t="shared" si="320"/>
        <v>-13163289.906181883</v>
      </c>
      <c r="BO35" s="85">
        <f t="shared" si="320"/>
        <v>-7392557.6816588165</v>
      </c>
      <c r="BP35" s="85">
        <f t="shared" ref="BP35:EA35" si="321">SUM(BP32:BP34)</f>
        <v>-1589817.9703803044</v>
      </c>
      <c r="BQ35" s="85">
        <f t="shared" si="321"/>
        <v>5045102.6015402293</v>
      </c>
      <c r="BR35" s="85">
        <f t="shared" si="321"/>
        <v>10912378.347097956</v>
      </c>
      <c r="BS35" s="85">
        <f t="shared" si="321"/>
        <v>16812184.523483396</v>
      </c>
      <c r="BT35" s="85">
        <f t="shared" si="321"/>
        <v>22744697.33719686</v>
      </c>
      <c r="BU35" s="85">
        <f t="shared" si="321"/>
        <v>28710093.94919055</v>
      </c>
      <c r="BV35" s="85">
        <f t="shared" si="321"/>
        <v>34708552.480038494</v>
      </c>
      <c r="BW35" s="85">
        <f t="shared" si="321"/>
        <v>41064983.497610427</v>
      </c>
      <c r="BX35" s="85">
        <f t="shared" si="321"/>
        <v>47454835.574870065</v>
      </c>
      <c r="BY35" s="85">
        <f t="shared" si="321"/>
        <v>53878289.742557421</v>
      </c>
      <c r="BZ35" s="85">
        <f t="shared" si="321"/>
        <v>60335528.011995599</v>
      </c>
      <c r="CA35" s="85">
        <f t="shared" si="321"/>
        <v>66826733.380402431</v>
      </c>
      <c r="CB35" s="85">
        <f t="shared" si="321"/>
        <v>73352089.836230665</v>
      </c>
      <c r="CC35" s="85">
        <f t="shared" si="321"/>
        <v>79911782.364537179</v>
      </c>
      <c r="CD35" s="85">
        <f t="shared" si="321"/>
        <v>86505996.952381209</v>
      </c>
      <c r="CE35" s="85">
        <f t="shared" si="321"/>
        <v>93134920.594251931</v>
      </c>
      <c r="CF35" s="85">
        <f t="shared" si="321"/>
        <v>99798741.297525316</v>
      </c>
      <c r="CG35" s="85">
        <f t="shared" si="321"/>
        <v>106497648.08795063</v>
      </c>
      <c r="CH35" s="85">
        <f t="shared" si="321"/>
        <v>113231831.01516663</v>
      </c>
      <c r="CI35" s="85">
        <f t="shared" si="321"/>
        <v>120001481.15824756</v>
      </c>
      <c r="CJ35" s="85">
        <f t="shared" si="321"/>
        <v>126806790.63127939</v>
      </c>
      <c r="CK35" s="85">
        <f t="shared" si="321"/>
        <v>133647952.58896601</v>
      </c>
      <c r="CL35" s="85">
        <f t="shared" si="321"/>
        <v>140525161.23226598</v>
      </c>
      <c r="CM35" s="85">
        <f t="shared" si="321"/>
        <v>147438611.81405964</v>
      </c>
      <c r="CN35" s="85">
        <f t="shared" si="321"/>
        <v>154348557.32250339</v>
      </c>
      <c r="CO35" s="85">
        <f t="shared" si="321"/>
        <v>161295138.45378974</v>
      </c>
      <c r="CP35" s="85">
        <f t="shared" si="321"/>
        <v>168278553.65087575</v>
      </c>
      <c r="CQ35" s="85">
        <f t="shared" si="321"/>
        <v>175299002.43161792</v>
      </c>
      <c r="CR35" s="85">
        <f t="shared" si="321"/>
        <v>182356685.39459431</v>
      </c>
      <c r="CS35" s="85">
        <f t="shared" si="321"/>
        <v>189451804.22495875</v>
      </c>
      <c r="CT35" s="85">
        <f t="shared" si="321"/>
        <v>196584561.7003262</v>
      </c>
      <c r="CU35" s="85">
        <f t="shared" si="321"/>
        <v>204372810.87635502</v>
      </c>
      <c r="CV35" s="85">
        <f t="shared" si="321"/>
        <v>212199107.55370271</v>
      </c>
      <c r="CW35" s="85">
        <f t="shared" si="321"/>
        <v>220063657.82300138</v>
      </c>
      <c r="CX35" s="85">
        <f t="shared" si="321"/>
        <v>227966668.89120749</v>
      </c>
      <c r="CY35" s="85">
        <f t="shared" si="321"/>
        <v>235908349.08764842</v>
      </c>
      <c r="CZ35" s="85">
        <f t="shared" si="321"/>
        <v>243888907.87010208</v>
      </c>
      <c r="DA35" s="85">
        <f t="shared" si="321"/>
        <v>251908555.83090949</v>
      </c>
      <c r="DB35" s="85">
        <f t="shared" si="321"/>
        <v>259967504.70311993</v>
      </c>
      <c r="DC35" s="85">
        <f t="shared" si="321"/>
        <v>268065967.36667025</v>
      </c>
      <c r="DD35" s="85">
        <f t="shared" si="321"/>
        <v>276204157.85459685</v>
      </c>
      <c r="DE35" s="85">
        <f t="shared" si="321"/>
        <v>284382291.35928178</v>
      </c>
      <c r="DF35" s="85">
        <f t="shared" si="321"/>
        <v>292600584.2387324</v>
      </c>
      <c r="DG35" s="85">
        <f t="shared" si="321"/>
        <v>300819310.70055157</v>
      </c>
      <c r="DH35" s="85">
        <f t="shared" si="321"/>
        <v>309078632.77531695</v>
      </c>
      <c r="DI35" s="85">
        <f t="shared" si="321"/>
        <v>317378770.35593212</v>
      </c>
      <c r="DJ35" s="85">
        <f t="shared" si="321"/>
        <v>325719944.52638698</v>
      </c>
      <c r="DK35" s="85">
        <f t="shared" si="321"/>
        <v>334102377.56820989</v>
      </c>
      <c r="DL35" s="85">
        <f t="shared" si="321"/>
        <v>342526292.96695417</v>
      </c>
      <c r="DM35" s="85">
        <f t="shared" si="321"/>
        <v>350991915.41871965</v>
      </c>
      <c r="DN35" s="85">
        <f t="shared" si="321"/>
        <v>359499470.83671027</v>
      </c>
      <c r="DO35" s="85">
        <f t="shared" si="321"/>
        <v>368049186.35782641</v>
      </c>
      <c r="DP35" s="85">
        <f t="shared" si="321"/>
        <v>376641290.34929335</v>
      </c>
      <c r="DQ35" s="85">
        <f t="shared" si="321"/>
        <v>385276012.41532546</v>
      </c>
      <c r="DR35" s="85">
        <f t="shared" si="321"/>
        <v>393953583.40382665</v>
      </c>
      <c r="DS35" s="85">
        <f t="shared" si="321"/>
        <v>406291884.59279162</v>
      </c>
      <c r="DT35" s="85">
        <f t="shared" si="321"/>
        <v>415630185.78175646</v>
      </c>
      <c r="DU35" s="85">
        <f t="shared" si="321"/>
        <v>424968486.9707213</v>
      </c>
      <c r="DV35" s="85">
        <f t="shared" si="321"/>
        <v>436506788.15968621</v>
      </c>
      <c r="DW35" s="85">
        <f t="shared" si="321"/>
        <v>445845089.34865111</v>
      </c>
      <c r="DX35" s="85">
        <f t="shared" si="321"/>
        <v>455183390.53761595</v>
      </c>
      <c r="DY35" s="85">
        <f t="shared" si="321"/>
        <v>466321691.7265808</v>
      </c>
      <c r="DZ35" s="85">
        <f t="shared" si="321"/>
        <v>475659992.9155457</v>
      </c>
      <c r="EA35" s="85">
        <f t="shared" si="321"/>
        <v>484998294.10451061</v>
      </c>
      <c r="EB35" s="85">
        <f t="shared" ref="EB35:GI35" si="322">SUM(EB32:EB34)</f>
        <v>494336595.29347551</v>
      </c>
      <c r="EC35" s="85">
        <f t="shared" si="322"/>
        <v>503674896.48244041</v>
      </c>
      <c r="ED35" s="85">
        <f t="shared" si="322"/>
        <v>513013197.67140532</v>
      </c>
      <c r="EE35" s="85">
        <f t="shared" si="322"/>
        <v>522311555.53802627</v>
      </c>
      <c r="EF35" s="85">
        <f t="shared" si="322"/>
        <v>531609913.40464723</v>
      </c>
      <c r="EG35" s="85">
        <f t="shared" si="322"/>
        <v>540908271.27126825</v>
      </c>
      <c r="EH35" s="85">
        <f t="shared" si="322"/>
        <v>550206629.13788915</v>
      </c>
      <c r="EI35" s="85">
        <f t="shared" si="322"/>
        <v>559504987.00451016</v>
      </c>
      <c r="EJ35" s="85">
        <f t="shared" si="322"/>
        <v>568803344.87113118</v>
      </c>
      <c r="EK35" s="85">
        <f t="shared" si="322"/>
        <v>579101702.73775208</v>
      </c>
      <c r="EL35" s="85">
        <f t="shared" si="322"/>
        <v>588400060.60437298</v>
      </c>
      <c r="EM35" s="85">
        <f t="shared" si="322"/>
        <v>597698418.470994</v>
      </c>
      <c r="EN35" s="85">
        <f t="shared" si="322"/>
        <v>606996776.33761501</v>
      </c>
      <c r="EO35" s="85">
        <f t="shared" si="322"/>
        <v>616295134.20423591</v>
      </c>
      <c r="EP35" s="85">
        <f t="shared" si="322"/>
        <v>627593492.07085681</v>
      </c>
      <c r="EQ35" s="85">
        <f t="shared" si="322"/>
        <v>637509499.11714232</v>
      </c>
      <c r="ER35" s="85">
        <f t="shared" si="322"/>
        <v>647425506.16342783</v>
      </c>
      <c r="ES35" s="85">
        <f t="shared" si="322"/>
        <v>657341513.20971334</v>
      </c>
      <c r="ET35" s="85">
        <f t="shared" si="322"/>
        <v>667257520.25599885</v>
      </c>
      <c r="EU35" s="85">
        <f t="shared" si="322"/>
        <v>677173527.30228436</v>
      </c>
      <c r="EV35" s="85">
        <f t="shared" si="322"/>
        <v>687089534.34856987</v>
      </c>
      <c r="EW35" s="85">
        <f t="shared" si="322"/>
        <v>697005541.39485538</v>
      </c>
      <c r="EX35" s="85">
        <f t="shared" si="322"/>
        <v>706921548.44114089</v>
      </c>
      <c r="EY35" s="85">
        <f t="shared" si="322"/>
        <v>716837555.4874264</v>
      </c>
      <c r="EZ35" s="85">
        <f t="shared" si="322"/>
        <v>727753562.53371191</v>
      </c>
      <c r="FA35" s="85">
        <f t="shared" si="322"/>
        <v>737669569.57999742</v>
      </c>
      <c r="FB35" s="85">
        <f t="shared" si="322"/>
        <v>747585576.62628293</v>
      </c>
      <c r="FC35" s="85">
        <f t="shared" si="322"/>
        <v>757461640.35022449</v>
      </c>
      <c r="FD35" s="85">
        <f t="shared" si="322"/>
        <v>767337704.07416606</v>
      </c>
      <c r="FE35" s="85">
        <f t="shared" si="322"/>
        <v>777213767.79810762</v>
      </c>
      <c r="FF35" s="85">
        <f t="shared" si="322"/>
        <v>787089831.52204919</v>
      </c>
      <c r="FG35" s="85">
        <f t="shared" si="322"/>
        <v>796965895.24599075</v>
      </c>
      <c r="FH35" s="85">
        <f t="shared" si="322"/>
        <v>808841958.96993232</v>
      </c>
      <c r="FI35" s="85">
        <f t="shared" si="322"/>
        <v>818718022.69387388</v>
      </c>
      <c r="FJ35" s="85">
        <f t="shared" si="322"/>
        <v>828594086.41781545</v>
      </c>
      <c r="FK35" s="85">
        <f t="shared" si="322"/>
        <v>838470150.14175701</v>
      </c>
      <c r="FL35" s="85">
        <f t="shared" si="322"/>
        <v>848346213.86569858</v>
      </c>
      <c r="FM35" s="85">
        <f t="shared" si="322"/>
        <v>858222277.58964014</v>
      </c>
      <c r="FN35" s="85">
        <f t="shared" si="322"/>
        <v>868098341.31358171</v>
      </c>
      <c r="FO35" s="85">
        <f t="shared" si="322"/>
        <v>878592054.21718788</v>
      </c>
      <c r="FP35" s="85">
        <f t="shared" si="322"/>
        <v>889085767.12079406</v>
      </c>
      <c r="FQ35" s="85">
        <f t="shared" si="322"/>
        <v>899579480.02440023</v>
      </c>
      <c r="FR35" s="85">
        <f t="shared" si="322"/>
        <v>910073192.92800641</v>
      </c>
      <c r="FS35" s="85">
        <f t="shared" si="322"/>
        <v>920566905.83161259</v>
      </c>
      <c r="FT35" s="85">
        <f t="shared" si="322"/>
        <v>931060618.73521876</v>
      </c>
      <c r="FU35" s="85">
        <f t="shared" si="322"/>
        <v>941554331.63882494</v>
      </c>
      <c r="FV35" s="85">
        <f t="shared" si="322"/>
        <v>952048044.54243112</v>
      </c>
      <c r="FW35" s="85">
        <f t="shared" si="322"/>
        <v>962541757.44603729</v>
      </c>
      <c r="FX35" s="85">
        <f t="shared" si="322"/>
        <v>973035470.34964347</v>
      </c>
      <c r="FY35" s="85">
        <f t="shared" si="322"/>
        <v>983529183.25324965</v>
      </c>
      <c r="FZ35" s="85">
        <f t="shared" si="322"/>
        <v>994022896.15685582</v>
      </c>
      <c r="GA35" s="85">
        <f t="shared" si="322"/>
        <v>1006476665.7381181</v>
      </c>
      <c r="GB35" s="85">
        <f t="shared" si="322"/>
        <v>1016930435.3193803</v>
      </c>
      <c r="GC35" s="85">
        <f t="shared" si="322"/>
        <v>1027384204.9006425</v>
      </c>
      <c r="GD35" s="85">
        <f t="shared" si="322"/>
        <v>1040037974.4819047</v>
      </c>
      <c r="GE35" s="85">
        <f t="shared" si="322"/>
        <v>1050491744.063167</v>
      </c>
      <c r="GF35" s="85">
        <f t="shared" si="322"/>
        <v>1060945513.6444292</v>
      </c>
      <c r="GG35" s="85">
        <f t="shared" si="322"/>
        <v>1076513235.2256916</v>
      </c>
      <c r="GH35" s="85">
        <f t="shared" si="322"/>
        <v>1086967004.8069537</v>
      </c>
      <c r="GI35" s="85">
        <f t="shared" si="322"/>
        <v>1097420774.388216</v>
      </c>
      <c r="GJ35" s="85">
        <f t="shared" ref="GJ35:IH35" si="323">SUM(GJ32:GJ34)</f>
        <v>1107874543.9694784</v>
      </c>
      <c r="GK35" s="85">
        <f t="shared" si="323"/>
        <v>1118328313.5507405</v>
      </c>
      <c r="GL35" s="85">
        <f t="shared" si="323"/>
        <v>1128782083.1320026</v>
      </c>
      <c r="GM35" s="85">
        <f t="shared" si="323"/>
        <v>1144744055.917995</v>
      </c>
      <c r="GN35" s="85">
        <f t="shared" si="323"/>
        <v>1160706028.7039874</v>
      </c>
      <c r="GO35" s="85">
        <f t="shared" si="323"/>
        <v>1176668001.4899795</v>
      </c>
      <c r="GP35" s="85">
        <f t="shared" si="323"/>
        <v>1192629974.2759717</v>
      </c>
      <c r="GQ35" s="85">
        <f t="shared" si="323"/>
        <v>1208591947.061964</v>
      </c>
      <c r="GR35" s="85">
        <f t="shared" si="323"/>
        <v>1224553919.8479564</v>
      </c>
      <c r="GS35" s="85">
        <f t="shared" si="323"/>
        <v>1240515892.6339486</v>
      </c>
      <c r="GT35" s="85">
        <f t="shared" si="323"/>
        <v>1256477865.4199407</v>
      </c>
      <c r="GU35" s="85">
        <f t="shared" si="323"/>
        <v>1272439838.2059331</v>
      </c>
      <c r="GV35" s="85">
        <f t="shared" si="323"/>
        <v>1288401810.9919255</v>
      </c>
      <c r="GW35" s="85">
        <f t="shared" si="323"/>
        <v>1304363783.7779176</v>
      </c>
      <c r="GX35" s="85">
        <f t="shared" si="323"/>
        <v>1320325756.56391</v>
      </c>
      <c r="GY35" s="85">
        <f t="shared" si="323"/>
        <v>1336247786.0275583</v>
      </c>
      <c r="GZ35" s="85">
        <f t="shared" si="323"/>
        <v>1352169815.4912066</v>
      </c>
      <c r="HA35" s="85">
        <f t="shared" si="323"/>
        <v>1368091844.954855</v>
      </c>
      <c r="HB35" s="85">
        <f t="shared" si="323"/>
        <v>1384013874.4185033</v>
      </c>
      <c r="HC35" s="85">
        <f t="shared" si="323"/>
        <v>1399935903.8821516</v>
      </c>
      <c r="HD35" s="85">
        <f t="shared" si="323"/>
        <v>1415857933.3457999</v>
      </c>
      <c r="HE35" s="85">
        <f t="shared" si="323"/>
        <v>1431779962.8094482</v>
      </c>
      <c r="HF35" s="85">
        <f t="shared" si="323"/>
        <v>1447701992.2730966</v>
      </c>
      <c r="HG35" s="85">
        <f t="shared" si="323"/>
        <v>1463624021.7367449</v>
      </c>
      <c r="HH35" s="85">
        <f t="shared" si="323"/>
        <v>1479546051.2003932</v>
      </c>
      <c r="HI35" s="85">
        <f t="shared" si="323"/>
        <v>1495468080.6640415</v>
      </c>
      <c r="HJ35" s="85">
        <f t="shared" si="323"/>
        <v>1511390110.1276898</v>
      </c>
      <c r="HK35" s="85">
        <f t="shared" si="323"/>
        <v>1527969732.0933466</v>
      </c>
      <c r="HL35" s="85">
        <f t="shared" si="323"/>
        <v>1544549354.0590034</v>
      </c>
      <c r="HM35" s="85">
        <f t="shared" si="323"/>
        <v>1561128976.0246601</v>
      </c>
      <c r="HN35" s="85">
        <f t="shared" si="323"/>
        <v>1577708597.9903169</v>
      </c>
      <c r="HO35" s="85">
        <f t="shared" si="323"/>
        <v>1594288219.9559736</v>
      </c>
      <c r="HP35" s="85">
        <f t="shared" si="323"/>
        <v>1610867841.9216304</v>
      </c>
      <c r="HQ35" s="85">
        <f t="shared" si="323"/>
        <v>1627447463.8872871</v>
      </c>
      <c r="HR35" s="85">
        <f t="shared" si="323"/>
        <v>1644027085.8529439</v>
      </c>
      <c r="HS35" s="85">
        <f t="shared" si="323"/>
        <v>1660606707.8186007</v>
      </c>
      <c r="HT35" s="85">
        <f t="shared" si="323"/>
        <v>1677186329.7842574</v>
      </c>
      <c r="HU35" s="85">
        <f t="shared" si="323"/>
        <v>1693765951.7499142</v>
      </c>
      <c r="HV35" s="85">
        <f t="shared" si="323"/>
        <v>1710345573.7155709</v>
      </c>
      <c r="HW35" s="85">
        <f t="shared" si="323"/>
        <v>1726925195.6812277</v>
      </c>
      <c r="HX35" s="85">
        <f t="shared" si="323"/>
        <v>1743504817.6468844</v>
      </c>
      <c r="HY35" s="85">
        <f t="shared" si="323"/>
        <v>1760084439.6125412</v>
      </c>
      <c r="HZ35" s="85">
        <f t="shared" si="323"/>
        <v>1776664061.578198</v>
      </c>
      <c r="IA35" s="85">
        <f t="shared" si="323"/>
        <v>1793243683.5438547</v>
      </c>
      <c r="IB35" s="85">
        <f t="shared" si="323"/>
        <v>1809823305.5095115</v>
      </c>
      <c r="IC35" s="85">
        <f t="shared" si="323"/>
        <v>1826402927.4751682</v>
      </c>
      <c r="ID35" s="85">
        <f t="shared" si="323"/>
        <v>1842982549.440825</v>
      </c>
      <c r="IE35" s="85">
        <f t="shared" si="323"/>
        <v>1859562171.4064817</v>
      </c>
      <c r="IF35" s="85">
        <f t="shared" si="323"/>
        <v>1876141793.3721385</v>
      </c>
      <c r="IG35" s="85">
        <f t="shared" si="323"/>
        <v>1892721415.3377953</v>
      </c>
      <c r="IH35" s="85">
        <f t="shared" si="323"/>
        <v>1909301037.303452</v>
      </c>
    </row>
    <row r="36" spans="1:242" ht="14.65" thickBot="1" x14ac:dyDescent="0.5">
      <c r="A36" s="895"/>
      <c r="B36" s="896"/>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c r="GP36" s="93"/>
      <c r="GQ36" s="93"/>
      <c r="GR36" s="93"/>
      <c r="GS36" s="93"/>
      <c r="GT36" s="93"/>
      <c r="GU36" s="93"/>
      <c r="GV36" s="93"/>
      <c r="GW36" s="93"/>
      <c r="GX36" s="93"/>
      <c r="GY36" s="93"/>
      <c r="GZ36" s="93"/>
      <c r="HA36" s="93"/>
      <c r="HB36" s="93"/>
      <c r="HC36" s="93"/>
      <c r="HD36" s="93"/>
      <c r="HE36" s="93"/>
      <c r="HF36" s="93"/>
      <c r="HG36" s="93"/>
      <c r="HH36" s="93"/>
      <c r="HI36" s="93"/>
      <c r="HJ36" s="93"/>
      <c r="HK36" s="93"/>
      <c r="HL36" s="93"/>
      <c r="HM36" s="93"/>
      <c r="HN36" s="93"/>
      <c r="HO36" s="93"/>
      <c r="HP36" s="93"/>
      <c r="HQ36" s="93"/>
      <c r="HR36" s="93"/>
      <c r="HS36" s="93"/>
      <c r="HT36" s="93"/>
      <c r="HU36" s="93"/>
      <c r="HV36" s="93"/>
      <c r="HW36" s="93"/>
      <c r="HX36" s="93"/>
      <c r="HY36" s="93"/>
      <c r="HZ36" s="93"/>
      <c r="IA36" s="93"/>
      <c r="IB36" s="93"/>
      <c r="IC36" s="93"/>
      <c r="ID36" s="93"/>
      <c r="IE36" s="93"/>
      <c r="IF36" s="93"/>
      <c r="IG36" s="93"/>
      <c r="IH36" s="93"/>
    </row>
    <row r="37" spans="1:242" ht="15" thickTop="1" thickBot="1" x14ac:dyDescent="0.5">
      <c r="A37" s="888" t="s">
        <v>300</v>
      </c>
      <c r="B37" s="889"/>
      <c r="C37" s="94">
        <f>C35+C28</f>
        <v>873850101.69170511</v>
      </c>
      <c r="D37" s="94">
        <f t="shared" ref="D37:BO37" si="324">D35+D28</f>
        <v>872933625.49225509</v>
      </c>
      <c r="E37" s="94">
        <f t="shared" si="324"/>
        <v>872457024.29280519</v>
      </c>
      <c r="F37" s="94">
        <f t="shared" si="324"/>
        <v>871980423.09335518</v>
      </c>
      <c r="G37" s="94">
        <f t="shared" si="324"/>
        <v>871503821.89390504</v>
      </c>
      <c r="H37" s="94">
        <f t="shared" si="324"/>
        <v>871027220.69445515</v>
      </c>
      <c r="I37" s="94">
        <f t="shared" si="324"/>
        <v>888632158.98940027</v>
      </c>
      <c r="J37" s="94">
        <f t="shared" si="324"/>
        <v>897196327.53714776</v>
      </c>
      <c r="K37" s="94">
        <f t="shared" si="324"/>
        <v>896719726.33769774</v>
      </c>
      <c r="L37" s="94">
        <f t="shared" si="324"/>
        <v>905283894.88544536</v>
      </c>
      <c r="M37" s="94">
        <f t="shared" si="324"/>
        <v>904807293.68599534</v>
      </c>
      <c r="N37" s="94">
        <f t="shared" si="324"/>
        <v>913371462.23374283</v>
      </c>
      <c r="O37" s="94">
        <f t="shared" si="324"/>
        <v>952366116.79961514</v>
      </c>
      <c r="P37" s="94">
        <f t="shared" si="324"/>
        <v>945931807.96283329</v>
      </c>
      <c r="Q37" s="94">
        <f t="shared" si="324"/>
        <v>939658499.12605131</v>
      </c>
      <c r="R37" s="94">
        <f t="shared" si="324"/>
        <v>933385190.28926945</v>
      </c>
      <c r="S37" s="94">
        <f t="shared" si="324"/>
        <v>927111881.45248747</v>
      </c>
      <c r="T37" s="94">
        <f t="shared" si="324"/>
        <v>920838572.61570561</v>
      </c>
      <c r="U37" s="94">
        <f t="shared" si="324"/>
        <v>932646803.27331853</v>
      </c>
      <c r="V37" s="94">
        <f t="shared" si="324"/>
        <v>926373494.43653667</v>
      </c>
      <c r="W37" s="94">
        <f t="shared" si="324"/>
        <v>929140955.3469522</v>
      </c>
      <c r="X37" s="94">
        <f t="shared" si="324"/>
        <v>931908416.25736773</v>
      </c>
      <c r="Y37" s="94">
        <f t="shared" si="324"/>
        <v>925635107.42058587</v>
      </c>
      <c r="Z37" s="94">
        <f t="shared" si="324"/>
        <v>928402568.33100152</v>
      </c>
      <c r="AA37" s="94">
        <f t="shared" si="324"/>
        <v>927931750.04318976</v>
      </c>
      <c r="AB37" s="94">
        <f t="shared" si="324"/>
        <v>926455611.19096899</v>
      </c>
      <c r="AC37" s="94">
        <f t="shared" si="324"/>
        <v>924979472.3387481</v>
      </c>
      <c r="AD37" s="94">
        <f t="shared" si="324"/>
        <v>923503333.48652732</v>
      </c>
      <c r="AE37" s="94">
        <f t="shared" si="324"/>
        <v>922027194.63430655</v>
      </c>
      <c r="AF37" s="94">
        <f t="shared" si="324"/>
        <v>920551055.78208578</v>
      </c>
      <c r="AG37" s="94">
        <f t="shared" si="324"/>
        <v>919074916.929865</v>
      </c>
      <c r="AH37" s="94">
        <f t="shared" si="324"/>
        <v>917598778.07764411</v>
      </c>
      <c r="AI37" s="94">
        <f t="shared" si="324"/>
        <v>916122639.22542334</v>
      </c>
      <c r="AJ37" s="94">
        <f t="shared" si="324"/>
        <v>914646500.37320244</v>
      </c>
      <c r="AK37" s="94">
        <f t="shared" si="324"/>
        <v>913170361.52098167</v>
      </c>
      <c r="AL37" s="94">
        <f t="shared" si="324"/>
        <v>911694222.66876078</v>
      </c>
      <c r="AM37" s="94">
        <f t="shared" si="324"/>
        <v>913947190.6092968</v>
      </c>
      <c r="AN37" s="94">
        <f t="shared" si="324"/>
        <v>916088285.34605014</v>
      </c>
      <c r="AO37" s="94">
        <f t="shared" si="324"/>
        <v>918229380.08280349</v>
      </c>
      <c r="AP37" s="94">
        <f t="shared" si="324"/>
        <v>920370474.81955659</v>
      </c>
      <c r="AQ37" s="94">
        <f t="shared" si="324"/>
        <v>922511569.55631006</v>
      </c>
      <c r="AR37" s="94">
        <f t="shared" si="324"/>
        <v>924652664.29306328</v>
      </c>
      <c r="AS37" s="94">
        <f t="shared" si="324"/>
        <v>926793759.02981651</v>
      </c>
      <c r="AT37" s="94">
        <f t="shared" si="324"/>
        <v>928934853.76656961</v>
      </c>
      <c r="AU37" s="94">
        <f t="shared" si="324"/>
        <v>931075948.50332296</v>
      </c>
      <c r="AV37" s="94">
        <f t="shared" si="324"/>
        <v>933217043.24007618</v>
      </c>
      <c r="AW37" s="94">
        <f t="shared" si="324"/>
        <v>935358137.97682953</v>
      </c>
      <c r="AX37" s="94">
        <f t="shared" si="324"/>
        <v>937499232.71358263</v>
      </c>
      <c r="AY37" s="94">
        <f t="shared" si="324"/>
        <v>943522424.0725013</v>
      </c>
      <c r="AZ37" s="94">
        <f t="shared" si="324"/>
        <v>949408829.8386811</v>
      </c>
      <c r="BA37" s="94">
        <f t="shared" si="324"/>
        <v>955290026.86455894</v>
      </c>
      <c r="BB37" s="94">
        <f t="shared" si="324"/>
        <v>961165986.93612528</v>
      </c>
      <c r="BC37" s="94">
        <f t="shared" si="324"/>
        <v>967036681.6865443</v>
      </c>
      <c r="BD37" s="94">
        <f t="shared" si="324"/>
        <v>972902082.59532619</v>
      </c>
      <c r="BE37" s="94">
        <f t="shared" si="324"/>
        <v>978762160.98749554</v>
      </c>
      <c r="BF37" s="94">
        <f t="shared" si="324"/>
        <v>984616888.03275394</v>
      </c>
      <c r="BG37" s="94">
        <f t="shared" si="324"/>
        <v>990466234.74463904</v>
      </c>
      <c r="BH37" s="94">
        <f t="shared" si="324"/>
        <v>996310171.97967827</v>
      </c>
      <c r="BI37" s="94">
        <f t="shared" si="324"/>
        <v>1002148670.4365391</v>
      </c>
      <c r="BJ37" s="94">
        <f t="shared" si="324"/>
        <v>1007981700.6551726</v>
      </c>
      <c r="BK37" s="94">
        <f t="shared" si="324"/>
        <v>1018318618.8975537</v>
      </c>
      <c r="BL37" s="94">
        <f t="shared" si="324"/>
        <v>1026561909.3540417</v>
      </c>
      <c r="BM37" s="94">
        <f t="shared" si="324"/>
        <v>1034799642.2312434</v>
      </c>
      <c r="BN37" s="94">
        <f t="shared" si="324"/>
        <v>1044231787.4256045</v>
      </c>
      <c r="BO37" s="94">
        <f t="shared" si="324"/>
        <v>1052458314.6705093</v>
      </c>
      <c r="BP37" s="94">
        <f t="shared" ref="BP37:EA37" si="325">BP35+BP28</f>
        <v>1060679193.5353986</v>
      </c>
      <c r="BQ37" s="94">
        <f t="shared" si="325"/>
        <v>1069694393.4248804</v>
      </c>
      <c r="BR37" s="94">
        <f t="shared" si="325"/>
        <v>1077903883.5778379</v>
      </c>
      <c r="BS37" s="94">
        <f t="shared" si="325"/>
        <v>1086107633.0665319</v>
      </c>
      <c r="BT37" s="94">
        <f t="shared" si="325"/>
        <v>1094305610.7956972</v>
      </c>
      <c r="BU37" s="94">
        <f t="shared" si="325"/>
        <v>1102497785.501637</v>
      </c>
      <c r="BV37" s="94">
        <f t="shared" si="325"/>
        <v>1110684125.7513077</v>
      </c>
      <c r="BW37" s="94">
        <f t="shared" si="325"/>
        <v>1119663599.759053</v>
      </c>
      <c r="BX37" s="94">
        <f t="shared" si="325"/>
        <v>1128162907.5975645</v>
      </c>
      <c r="BY37" s="94">
        <f t="shared" si="325"/>
        <v>1136656285.6554122</v>
      </c>
      <c r="BZ37" s="94">
        <f t="shared" si="325"/>
        <v>1145143701.8129506</v>
      </c>
      <c r="CA37" s="94">
        <f t="shared" si="325"/>
        <v>1153625123.7765536</v>
      </c>
      <c r="CB37" s="94">
        <f t="shared" si="325"/>
        <v>1162100519.0776706</v>
      </c>
      <c r="CC37" s="94">
        <f t="shared" si="325"/>
        <v>1170569855.0718796</v>
      </c>
      <c r="CD37" s="94">
        <f t="shared" si="325"/>
        <v>1179033098.9379349</v>
      </c>
      <c r="CE37" s="94">
        <f t="shared" si="325"/>
        <v>1187490217.6768088</v>
      </c>
      <c r="CF37" s="94">
        <f t="shared" si="325"/>
        <v>1195941178.1107297</v>
      </c>
      <c r="CG37" s="94">
        <f t="shared" si="325"/>
        <v>1204385946.8822117</v>
      </c>
      <c r="CH37" s="94">
        <f t="shared" si="325"/>
        <v>1212824490.4530835</v>
      </c>
      <c r="CI37" s="94">
        <f t="shared" si="325"/>
        <v>1221256775.1035089</v>
      </c>
      <c r="CJ37" s="94">
        <f t="shared" si="325"/>
        <v>1229682766.9310017</v>
      </c>
      <c r="CK37" s="94">
        <f t="shared" si="325"/>
        <v>1238102431.8494377</v>
      </c>
      <c r="CL37" s="94">
        <f t="shared" si="325"/>
        <v>1246515735.5880594</v>
      </c>
      <c r="CM37" s="94">
        <f t="shared" si="325"/>
        <v>1254922643.6904767</v>
      </c>
      <c r="CN37" s="94">
        <f t="shared" si="325"/>
        <v>1263337219.1568396</v>
      </c>
      <c r="CO37" s="94">
        <f t="shared" si="325"/>
        <v>1271691288.5477653</v>
      </c>
      <c r="CP37" s="94">
        <f t="shared" si="325"/>
        <v>1280038857.809432</v>
      </c>
      <c r="CQ37" s="94">
        <f t="shared" si="325"/>
        <v>1288379891.7328067</v>
      </c>
      <c r="CR37" s="94">
        <f t="shared" si="325"/>
        <v>1296714354.9181399</v>
      </c>
      <c r="CS37" s="94">
        <f t="shared" si="325"/>
        <v>1305042211.7739339</v>
      </c>
      <c r="CT37" s="94">
        <f t="shared" si="325"/>
        <v>1313363426.5159039</v>
      </c>
      <c r="CU37" s="94">
        <f t="shared" si="325"/>
        <v>1322373580.2669258</v>
      </c>
      <c r="CV37" s="94">
        <f t="shared" si="325"/>
        <v>1331299051.8316813</v>
      </c>
      <c r="CW37" s="94">
        <f t="shared" si="325"/>
        <v>1340217772.762563</v>
      </c>
      <c r="CX37" s="94">
        <f t="shared" si="325"/>
        <v>1349129706.4936376</v>
      </c>
      <c r="CY37" s="94">
        <f t="shared" si="325"/>
        <v>1358034816.2609057</v>
      </c>
      <c r="CZ37" s="94">
        <f t="shared" si="325"/>
        <v>1366933065.1012309</v>
      </c>
      <c r="DA37" s="94">
        <f t="shared" si="325"/>
        <v>1375824415.851258</v>
      </c>
      <c r="DB37" s="94">
        <f t="shared" si="325"/>
        <v>1384708831.1463318</v>
      </c>
      <c r="DC37" s="94">
        <f t="shared" si="325"/>
        <v>1393586273.4194045</v>
      </c>
      <c r="DD37" s="94">
        <f t="shared" si="325"/>
        <v>1402456704.8999398</v>
      </c>
      <c r="DE37" s="94">
        <f t="shared" si="325"/>
        <v>1411320087.6128123</v>
      </c>
      <c r="DF37" s="94">
        <f t="shared" si="325"/>
        <v>1420176383.3771966</v>
      </c>
      <c r="DG37" s="94">
        <f t="shared" si="325"/>
        <v>1429039651.4486351</v>
      </c>
      <c r="DH37" s="94">
        <f t="shared" si="325"/>
        <v>1437841714.6228535</v>
      </c>
      <c r="DI37" s="94">
        <f t="shared" si="325"/>
        <v>1446636575.0607452</v>
      </c>
      <c r="DJ37" s="94">
        <f t="shared" si="325"/>
        <v>1455424193.747489</v>
      </c>
      <c r="DK37" s="94">
        <f t="shared" si="325"/>
        <v>1464204531.4569323</v>
      </c>
      <c r="DL37" s="94">
        <f t="shared" si="325"/>
        <v>1472977548.7504485</v>
      </c>
      <c r="DM37" s="94">
        <f t="shared" si="325"/>
        <v>1481743205.9757843</v>
      </c>
      <c r="DN37" s="94">
        <f t="shared" si="325"/>
        <v>1490501463.2659039</v>
      </c>
      <c r="DO37" s="94">
        <f t="shared" si="325"/>
        <v>1499252280.5378253</v>
      </c>
      <c r="DP37" s="94">
        <f t="shared" si="325"/>
        <v>1507995617.4914494</v>
      </c>
      <c r="DQ37" s="94">
        <f t="shared" si="325"/>
        <v>1516731433.6083851</v>
      </c>
      <c r="DR37" s="94">
        <f t="shared" si="325"/>
        <v>1525459688.150768</v>
      </c>
      <c r="DS37" s="94">
        <f t="shared" si="325"/>
        <v>1537875957.2610607</v>
      </c>
      <c r="DT37" s="94">
        <f t="shared" si="325"/>
        <v>1547214258.4500256</v>
      </c>
      <c r="DU37" s="94">
        <f t="shared" si="325"/>
        <v>1556552559.6389904</v>
      </c>
      <c r="DV37" s="94">
        <f t="shared" si="325"/>
        <v>1568090860.8279552</v>
      </c>
      <c r="DW37" s="94">
        <f t="shared" si="325"/>
        <v>1577429162.0169203</v>
      </c>
      <c r="DX37" s="94">
        <f t="shared" si="325"/>
        <v>1586767463.2058852</v>
      </c>
      <c r="DY37" s="94">
        <f t="shared" si="325"/>
        <v>1597905764.39485</v>
      </c>
      <c r="DZ37" s="94">
        <f t="shared" si="325"/>
        <v>1607244065.5838149</v>
      </c>
      <c r="EA37" s="94">
        <f t="shared" si="325"/>
        <v>1616582366.7727797</v>
      </c>
      <c r="EB37" s="94">
        <f t="shared" ref="EB37:GI37" si="326">EB35+EB28</f>
        <v>1625920667.9617448</v>
      </c>
      <c r="EC37" s="94">
        <f t="shared" si="326"/>
        <v>1635258969.1507096</v>
      </c>
      <c r="ED37" s="94">
        <f t="shared" si="326"/>
        <v>1644597270.3396745</v>
      </c>
      <c r="EE37" s="94">
        <f t="shared" si="326"/>
        <v>1653949669.1718197</v>
      </c>
      <c r="EF37" s="94">
        <f t="shared" si="326"/>
        <v>1663248027.0384407</v>
      </c>
      <c r="EG37" s="94">
        <f t="shared" si="326"/>
        <v>1672546384.9050617</v>
      </c>
      <c r="EH37" s="94">
        <f t="shared" si="326"/>
        <v>1681844742.7716825</v>
      </c>
      <c r="EI37" s="94">
        <f t="shared" si="326"/>
        <v>1691143100.6383035</v>
      </c>
      <c r="EJ37" s="94">
        <f t="shared" si="326"/>
        <v>1700441458.5049245</v>
      </c>
      <c r="EK37" s="94">
        <f t="shared" si="326"/>
        <v>1710739816.3715453</v>
      </c>
      <c r="EL37" s="94">
        <f t="shared" si="326"/>
        <v>1720038174.2381663</v>
      </c>
      <c r="EM37" s="94">
        <f t="shared" si="326"/>
        <v>1729336532.1047873</v>
      </c>
      <c r="EN37" s="94">
        <f t="shared" si="326"/>
        <v>1738634889.9714084</v>
      </c>
      <c r="EO37" s="94">
        <f t="shared" si="326"/>
        <v>1747933247.8380294</v>
      </c>
      <c r="EP37" s="94">
        <f t="shared" si="326"/>
        <v>1759231605.7046502</v>
      </c>
      <c r="EQ37" s="94">
        <f t="shared" si="326"/>
        <v>1769225580.6722636</v>
      </c>
      <c r="ER37" s="94">
        <f t="shared" si="326"/>
        <v>1779141587.718549</v>
      </c>
      <c r="ES37" s="94">
        <f t="shared" si="326"/>
        <v>1789057594.7648344</v>
      </c>
      <c r="ET37" s="94">
        <f t="shared" si="326"/>
        <v>1798973601.81112</v>
      </c>
      <c r="EU37" s="94">
        <f t="shared" si="326"/>
        <v>1808889608.8574057</v>
      </c>
      <c r="EV37" s="94">
        <f t="shared" si="326"/>
        <v>1818805615.9036911</v>
      </c>
      <c r="EW37" s="94">
        <f t="shared" si="326"/>
        <v>1828721622.9499764</v>
      </c>
      <c r="EX37" s="94">
        <f t="shared" si="326"/>
        <v>1838637629.9962621</v>
      </c>
      <c r="EY37" s="94">
        <f t="shared" si="326"/>
        <v>1848553637.0425477</v>
      </c>
      <c r="EZ37" s="94">
        <f t="shared" si="326"/>
        <v>1859469644.0888331</v>
      </c>
      <c r="FA37" s="94">
        <f t="shared" si="326"/>
        <v>1869385651.1351185</v>
      </c>
      <c r="FB37" s="94">
        <f t="shared" si="326"/>
        <v>1879301658.1814041</v>
      </c>
      <c r="FC37" s="94">
        <f t="shared" si="326"/>
        <v>1889231762.8708699</v>
      </c>
      <c r="FD37" s="94">
        <f t="shared" si="326"/>
        <v>1899107826.5948114</v>
      </c>
      <c r="FE37" s="94">
        <f t="shared" si="326"/>
        <v>1908983890.318753</v>
      </c>
      <c r="FF37" s="94">
        <f t="shared" si="326"/>
        <v>1918859954.0426946</v>
      </c>
      <c r="FG37" s="94">
        <f t="shared" si="326"/>
        <v>1928736017.7666361</v>
      </c>
      <c r="FH37" s="94">
        <f t="shared" si="326"/>
        <v>1940612081.4905777</v>
      </c>
      <c r="FI37" s="94">
        <f t="shared" si="326"/>
        <v>1950488145.2145193</v>
      </c>
      <c r="FJ37" s="94">
        <f t="shared" si="326"/>
        <v>1960364208.9384608</v>
      </c>
      <c r="FK37" s="94">
        <f t="shared" si="326"/>
        <v>1970240272.6624024</v>
      </c>
      <c r="FL37" s="94">
        <f t="shared" si="326"/>
        <v>1980116336.386344</v>
      </c>
      <c r="FM37" s="94">
        <f t="shared" si="326"/>
        <v>1989992400.1102855</v>
      </c>
      <c r="FN37" s="94">
        <f t="shared" si="326"/>
        <v>1999868463.8342271</v>
      </c>
      <c r="FO37" s="94">
        <f t="shared" si="326"/>
        <v>2010440144.6591611</v>
      </c>
      <c r="FP37" s="94">
        <f t="shared" si="326"/>
        <v>2020933857.5627673</v>
      </c>
      <c r="FQ37" s="94">
        <f t="shared" si="326"/>
        <v>2031427570.4663734</v>
      </c>
      <c r="FR37" s="94">
        <f t="shared" si="326"/>
        <v>2041921283.3699796</v>
      </c>
      <c r="FS37" s="94">
        <f t="shared" si="326"/>
        <v>2052414996.2735858</v>
      </c>
      <c r="FT37" s="94">
        <f t="shared" si="326"/>
        <v>2062908709.177192</v>
      </c>
      <c r="FU37" s="94">
        <f t="shared" si="326"/>
        <v>2073402422.0807981</v>
      </c>
      <c r="FV37" s="94">
        <f t="shared" si="326"/>
        <v>2083896134.9844043</v>
      </c>
      <c r="FW37" s="94">
        <f t="shared" si="326"/>
        <v>2094389847.8880105</v>
      </c>
      <c r="FX37" s="94">
        <f t="shared" si="326"/>
        <v>2104883560.7916167</v>
      </c>
      <c r="FY37" s="94">
        <f t="shared" si="326"/>
        <v>2115377273.6952229</v>
      </c>
      <c r="FZ37" s="94">
        <f t="shared" si="326"/>
        <v>2125870986.598829</v>
      </c>
      <c r="GA37" s="94">
        <f t="shared" si="326"/>
        <v>2138378797.1456156</v>
      </c>
      <c r="GB37" s="94">
        <f t="shared" si="326"/>
        <v>2148832566.7268777</v>
      </c>
      <c r="GC37" s="94">
        <f t="shared" si="326"/>
        <v>2159286336.3081398</v>
      </c>
      <c r="GD37" s="94">
        <f t="shared" si="326"/>
        <v>2171940105.8894024</v>
      </c>
      <c r="GE37" s="94">
        <f t="shared" si="326"/>
        <v>2182393875.4706645</v>
      </c>
      <c r="GF37" s="94">
        <f t="shared" si="326"/>
        <v>2192847645.0519266</v>
      </c>
      <c r="GG37" s="94">
        <f t="shared" si="326"/>
        <v>2208415366.6331892</v>
      </c>
      <c r="GH37" s="94">
        <f t="shared" si="326"/>
        <v>2218869136.2144508</v>
      </c>
      <c r="GI37" s="94">
        <f t="shared" si="326"/>
        <v>2229322905.7957134</v>
      </c>
      <c r="GJ37" s="94">
        <f t="shared" ref="GJ37:IH37" si="327">GJ35+GJ28</f>
        <v>2239776675.376976</v>
      </c>
      <c r="GK37" s="94">
        <f t="shared" si="327"/>
        <v>2250230444.9582376</v>
      </c>
      <c r="GL37" s="94">
        <f t="shared" si="327"/>
        <v>2260684214.5395002</v>
      </c>
      <c r="GM37" s="94">
        <f t="shared" si="327"/>
        <v>2276724155.2468204</v>
      </c>
      <c r="GN37" s="94">
        <f t="shared" si="327"/>
        <v>2292686128.0328126</v>
      </c>
      <c r="GO37" s="94">
        <f t="shared" si="327"/>
        <v>2308648100.8188047</v>
      </c>
      <c r="GP37" s="94">
        <f t="shared" si="327"/>
        <v>2324610073.6047969</v>
      </c>
      <c r="GQ37" s="94">
        <f t="shared" si="327"/>
        <v>2340572046.390789</v>
      </c>
      <c r="GR37" s="94">
        <f t="shared" si="327"/>
        <v>2356534019.1767817</v>
      </c>
      <c r="GS37" s="94">
        <f t="shared" si="327"/>
        <v>2372495991.9627738</v>
      </c>
      <c r="GT37" s="94">
        <f t="shared" si="327"/>
        <v>2388457964.7487659</v>
      </c>
      <c r="GU37" s="94">
        <f t="shared" si="327"/>
        <v>2404419937.5347586</v>
      </c>
      <c r="GV37" s="94">
        <f t="shared" si="327"/>
        <v>2420381910.3207507</v>
      </c>
      <c r="GW37" s="94">
        <f t="shared" si="327"/>
        <v>2436343883.1067429</v>
      </c>
      <c r="GX37" s="94">
        <f t="shared" si="327"/>
        <v>2452305855.8927355</v>
      </c>
      <c r="GY37" s="94">
        <f t="shared" si="327"/>
        <v>2468281926.321908</v>
      </c>
      <c r="GZ37" s="94">
        <f t="shared" si="327"/>
        <v>2484203955.7855558</v>
      </c>
      <c r="HA37" s="94">
        <f t="shared" si="327"/>
        <v>2500125985.2492046</v>
      </c>
      <c r="HB37" s="94">
        <f t="shared" si="327"/>
        <v>2516048014.7128525</v>
      </c>
      <c r="HC37" s="94">
        <f t="shared" si="327"/>
        <v>2531970044.1765013</v>
      </c>
      <c r="HD37" s="94">
        <f t="shared" si="327"/>
        <v>2547892073.6401491</v>
      </c>
      <c r="HE37" s="94">
        <f t="shared" si="327"/>
        <v>2563814103.1037979</v>
      </c>
      <c r="HF37" s="94">
        <f t="shared" si="327"/>
        <v>2579736132.5674458</v>
      </c>
      <c r="HG37" s="94">
        <f t="shared" si="327"/>
        <v>2595658162.0310946</v>
      </c>
      <c r="HH37" s="94">
        <f t="shared" si="327"/>
        <v>2611580191.4947424</v>
      </c>
      <c r="HI37" s="94">
        <f t="shared" si="327"/>
        <v>2627502220.9583912</v>
      </c>
      <c r="HJ37" s="94">
        <f t="shared" si="327"/>
        <v>2643424250.422039</v>
      </c>
      <c r="HK37" s="94">
        <f t="shared" si="327"/>
        <v>2660027799.3435001</v>
      </c>
      <c r="HL37" s="94">
        <f t="shared" si="327"/>
        <v>2676607421.3091564</v>
      </c>
      <c r="HM37" s="94">
        <f t="shared" si="327"/>
        <v>2693187043.2748137</v>
      </c>
      <c r="HN37" s="94">
        <f t="shared" si="327"/>
        <v>2709766665.2404699</v>
      </c>
      <c r="HO37" s="94">
        <f t="shared" si="327"/>
        <v>2726346287.2061272</v>
      </c>
      <c r="HP37" s="94">
        <f t="shared" si="327"/>
        <v>2742925909.1717834</v>
      </c>
      <c r="HQ37" s="94">
        <f t="shared" si="327"/>
        <v>2759505531.1374407</v>
      </c>
      <c r="HR37" s="94">
        <f t="shared" si="327"/>
        <v>2776085153.103097</v>
      </c>
      <c r="HS37" s="94">
        <f t="shared" si="327"/>
        <v>2792664775.0687542</v>
      </c>
      <c r="HT37" s="94">
        <f t="shared" si="327"/>
        <v>2809244397.0344105</v>
      </c>
      <c r="HU37" s="94">
        <f t="shared" si="327"/>
        <v>2825824019.0000677</v>
      </c>
      <c r="HV37" s="94">
        <f t="shared" si="327"/>
        <v>2842403640.965724</v>
      </c>
      <c r="HW37" s="94">
        <f t="shared" si="327"/>
        <v>2858983262.9313812</v>
      </c>
      <c r="HX37" s="94">
        <f t="shared" si="327"/>
        <v>2875562884.8970375</v>
      </c>
      <c r="HY37" s="94">
        <f t="shared" si="327"/>
        <v>2892142506.8626947</v>
      </c>
      <c r="HZ37" s="94">
        <f t="shared" si="327"/>
        <v>2908722128.828351</v>
      </c>
      <c r="IA37" s="94">
        <f t="shared" si="327"/>
        <v>2925301750.7940083</v>
      </c>
      <c r="IB37" s="94">
        <f t="shared" si="327"/>
        <v>2941881372.7596645</v>
      </c>
      <c r="IC37" s="94">
        <f t="shared" si="327"/>
        <v>2958460994.7253218</v>
      </c>
      <c r="ID37" s="94">
        <f t="shared" si="327"/>
        <v>2975040616.6909781</v>
      </c>
      <c r="IE37" s="94">
        <f t="shared" si="327"/>
        <v>2991620238.6566353</v>
      </c>
      <c r="IF37" s="94">
        <f t="shared" si="327"/>
        <v>3008199860.6222916</v>
      </c>
      <c r="IG37" s="94">
        <f t="shared" si="327"/>
        <v>3024779482.5879488</v>
      </c>
      <c r="IH37" s="94">
        <f t="shared" si="327"/>
        <v>3041359104.5536051</v>
      </c>
    </row>
    <row r="38" spans="1:242" ht="14.65" thickTop="1" x14ac:dyDescent="0.45"/>
    <row r="39" spans="1:242" x14ac:dyDescent="0.45">
      <c r="C39" s="84">
        <f>C37-C15</f>
        <v>-452038487.35987532</v>
      </c>
      <c r="D39" s="84">
        <f t="shared" ref="D39:BO39" si="328">D37-D15</f>
        <v>-452038487.35987532</v>
      </c>
      <c r="E39" s="84">
        <f t="shared" si="328"/>
        <v>-452038487.3598752</v>
      </c>
      <c r="F39" s="84">
        <f t="shared" si="328"/>
        <v>-452038487.3598752</v>
      </c>
      <c r="G39" s="84">
        <f t="shared" si="328"/>
        <v>-452038487.35987532</v>
      </c>
      <c r="H39" s="84">
        <f t="shared" si="328"/>
        <v>-452038487.3598752</v>
      </c>
      <c r="I39" s="84">
        <f t="shared" si="328"/>
        <v>-614772342.80943</v>
      </c>
      <c r="J39" s="84">
        <f t="shared" si="328"/>
        <v>-696139270.53420758</v>
      </c>
      <c r="K39" s="84">
        <f t="shared" si="328"/>
        <v>-696139270.53420758</v>
      </c>
      <c r="L39" s="84">
        <f t="shared" si="328"/>
        <v>-777506198.25898504</v>
      </c>
      <c r="M39" s="84">
        <f t="shared" si="328"/>
        <v>-777506198.25898504</v>
      </c>
      <c r="N39" s="84">
        <f t="shared" si="328"/>
        <v>-858873125.98376238</v>
      </c>
      <c r="O39" s="84">
        <f t="shared" si="328"/>
        <v>-1265707764.6076496</v>
      </c>
      <c r="P39" s="84">
        <f t="shared" si="328"/>
        <v>-1265707764.6076498</v>
      </c>
      <c r="Q39" s="84">
        <f t="shared" si="328"/>
        <v>-1265707764.6076498</v>
      </c>
      <c r="R39" s="84">
        <f t="shared" si="328"/>
        <v>-1265707764.6076498</v>
      </c>
      <c r="S39" s="84">
        <f t="shared" si="328"/>
        <v>-1265707764.6076498</v>
      </c>
      <c r="T39" s="84">
        <f t="shared" si="328"/>
        <v>-1265707764.6076498</v>
      </c>
      <c r="U39" s="84">
        <f t="shared" si="328"/>
        <v>-1428441620.057205</v>
      </c>
      <c r="V39" s="84">
        <f t="shared" si="328"/>
        <v>-1428441620.0572047</v>
      </c>
      <c r="W39" s="84">
        <f t="shared" si="328"/>
        <v>-1509808547.7819827</v>
      </c>
      <c r="X39" s="84">
        <f t="shared" si="328"/>
        <v>-1591175475.5067601</v>
      </c>
      <c r="Y39" s="84">
        <f t="shared" si="328"/>
        <v>-1591175475.5067604</v>
      </c>
      <c r="Z39" s="84">
        <f t="shared" si="328"/>
        <v>-1672542403.2315376</v>
      </c>
      <c r="AA39" s="84">
        <f t="shared" si="328"/>
        <v>-1672542403.2315376</v>
      </c>
      <c r="AB39" s="84">
        <f t="shared" si="328"/>
        <v>-1672542403.2315373</v>
      </c>
      <c r="AC39" s="84">
        <f t="shared" si="328"/>
        <v>-1672542403.2315378</v>
      </c>
      <c r="AD39" s="84">
        <f t="shared" si="328"/>
        <v>-1672542403.2315373</v>
      </c>
      <c r="AE39" s="84">
        <f t="shared" si="328"/>
        <v>-1672542403.2315373</v>
      </c>
      <c r="AF39" s="84">
        <f t="shared" si="328"/>
        <v>-1672542403.2315373</v>
      </c>
      <c r="AG39" s="84">
        <f t="shared" si="328"/>
        <v>-1672542403.2315373</v>
      </c>
      <c r="AH39" s="84">
        <f t="shared" si="328"/>
        <v>-1672542403.2315376</v>
      </c>
      <c r="AI39" s="84">
        <f t="shared" si="328"/>
        <v>-1672542403.2315373</v>
      </c>
      <c r="AJ39" s="84">
        <f t="shared" si="328"/>
        <v>-1672542403.2315378</v>
      </c>
      <c r="AK39" s="84">
        <f t="shared" si="328"/>
        <v>-1672542403.2315373</v>
      </c>
      <c r="AL39" s="84">
        <f t="shared" si="328"/>
        <v>-1672542403.2315373</v>
      </c>
      <c r="AM39" s="84">
        <f t="shared" si="328"/>
        <v>-1672542403.2315373</v>
      </c>
      <c r="AN39" s="84">
        <f t="shared" si="328"/>
        <v>-1672542403.2315369</v>
      </c>
      <c r="AO39" s="84">
        <f t="shared" si="328"/>
        <v>-1672542403.2315371</v>
      </c>
      <c r="AP39" s="84">
        <f t="shared" si="328"/>
        <v>-1672542403.2315373</v>
      </c>
      <c r="AQ39" s="84">
        <f t="shared" si="328"/>
        <v>-1672542403.2315373</v>
      </c>
      <c r="AR39" s="84">
        <f t="shared" si="328"/>
        <v>-1672542403.2315373</v>
      </c>
      <c r="AS39" s="84">
        <f t="shared" si="328"/>
        <v>-1672542403.2315369</v>
      </c>
      <c r="AT39" s="84">
        <f t="shared" si="328"/>
        <v>-1672542403.2315373</v>
      </c>
      <c r="AU39" s="84">
        <f t="shared" si="328"/>
        <v>-1672542403.2315369</v>
      </c>
      <c r="AV39" s="84">
        <f t="shared" si="328"/>
        <v>-1672542403.2315369</v>
      </c>
      <c r="AW39" s="84">
        <f t="shared" si="328"/>
        <v>-1672542403.2315369</v>
      </c>
      <c r="AX39" s="84">
        <f t="shared" si="328"/>
        <v>-1672542403.2315373</v>
      </c>
      <c r="AY39" s="84">
        <f t="shared" si="328"/>
        <v>-1672542403.2315369</v>
      </c>
      <c r="AZ39" s="84">
        <f t="shared" si="328"/>
        <v>-1672542403.2315369</v>
      </c>
      <c r="BA39" s="84">
        <f t="shared" si="328"/>
        <v>-1672542403.2315371</v>
      </c>
      <c r="BB39" s="84">
        <f t="shared" si="328"/>
        <v>-1672542403.2315369</v>
      </c>
      <c r="BC39" s="84">
        <f t="shared" si="328"/>
        <v>-1672542403.2315369</v>
      </c>
      <c r="BD39" s="84">
        <f t="shared" si="328"/>
        <v>-1672542403.2315371</v>
      </c>
      <c r="BE39" s="84">
        <f t="shared" si="328"/>
        <v>-1672542403.2315369</v>
      </c>
      <c r="BF39" s="84">
        <f t="shared" si="328"/>
        <v>-1672542403.2315369</v>
      </c>
      <c r="BG39" s="84">
        <f t="shared" si="328"/>
        <v>-1672542403.2315373</v>
      </c>
      <c r="BH39" s="84">
        <f t="shared" si="328"/>
        <v>-1672542403.2315373</v>
      </c>
      <c r="BI39" s="84">
        <f t="shared" si="328"/>
        <v>-1672542403.2315369</v>
      </c>
      <c r="BJ39" s="84">
        <f t="shared" si="328"/>
        <v>-1672542403.2315366</v>
      </c>
      <c r="BK39" s="84">
        <f t="shared" si="328"/>
        <v>-1690542403.2315371</v>
      </c>
      <c r="BL39" s="84">
        <f t="shared" si="328"/>
        <v>-1690542403.2315373</v>
      </c>
      <c r="BM39" s="84">
        <f t="shared" si="328"/>
        <v>-1690542403.2315371</v>
      </c>
      <c r="BN39" s="84">
        <f t="shared" si="328"/>
        <v>-1701342403.2315373</v>
      </c>
      <c r="BO39" s="84">
        <f t="shared" si="328"/>
        <v>-1701342403.2315373</v>
      </c>
      <c r="BP39" s="84">
        <f t="shared" ref="BP39:EA39" si="329">BP37-BP15</f>
        <v>-1701342403.2315378</v>
      </c>
      <c r="BQ39" s="84">
        <f t="shared" si="329"/>
        <v>-1708542403.2315373</v>
      </c>
      <c r="BR39" s="84">
        <f t="shared" si="329"/>
        <v>-1708542403.2315373</v>
      </c>
      <c r="BS39" s="84">
        <f t="shared" si="329"/>
        <v>-1708542403.2315371</v>
      </c>
      <c r="BT39" s="84">
        <f t="shared" si="329"/>
        <v>-1708542403.2315373</v>
      </c>
      <c r="BU39" s="84">
        <f t="shared" si="329"/>
        <v>-1708542403.2315369</v>
      </c>
      <c r="BV39" s="84">
        <f t="shared" si="329"/>
        <v>-1708542403.2315376</v>
      </c>
      <c r="BW39" s="84">
        <f t="shared" si="329"/>
        <v>-1708542403.2315376</v>
      </c>
      <c r="BX39" s="84">
        <f t="shared" si="329"/>
        <v>-1708542403.2315371</v>
      </c>
      <c r="BY39" s="84">
        <f t="shared" si="329"/>
        <v>-1708542403.2315373</v>
      </c>
      <c r="BZ39" s="84">
        <f t="shared" si="329"/>
        <v>-1708542403.2315373</v>
      </c>
      <c r="CA39" s="84">
        <f t="shared" si="329"/>
        <v>-1708542403.2315373</v>
      </c>
      <c r="CB39" s="84">
        <f t="shared" si="329"/>
        <v>-1708542403.2315373</v>
      </c>
      <c r="CC39" s="84">
        <f t="shared" si="329"/>
        <v>-1708542403.2315371</v>
      </c>
      <c r="CD39" s="84">
        <f t="shared" si="329"/>
        <v>-1708542403.2315373</v>
      </c>
      <c r="CE39" s="84">
        <f t="shared" si="329"/>
        <v>-1708542403.2315373</v>
      </c>
      <c r="CF39" s="84">
        <f t="shared" si="329"/>
        <v>-1708542403.2315369</v>
      </c>
      <c r="CG39" s="84">
        <f t="shared" si="329"/>
        <v>-1708542403.2315373</v>
      </c>
      <c r="CH39" s="84">
        <f t="shared" si="329"/>
        <v>-1708542403.2315373</v>
      </c>
      <c r="CI39" s="84">
        <f t="shared" si="329"/>
        <v>-1708542403.2315369</v>
      </c>
      <c r="CJ39" s="84">
        <f t="shared" si="329"/>
        <v>-1708542403.2315373</v>
      </c>
      <c r="CK39" s="84">
        <f t="shared" si="329"/>
        <v>-1708542403.2315373</v>
      </c>
      <c r="CL39" s="84">
        <f t="shared" si="329"/>
        <v>-1708542403.2315378</v>
      </c>
      <c r="CM39" s="84">
        <f t="shared" si="329"/>
        <v>-1708542403.2315371</v>
      </c>
      <c r="CN39" s="84">
        <f t="shared" si="329"/>
        <v>-1708542403.2315371</v>
      </c>
      <c r="CO39" s="84">
        <f t="shared" si="329"/>
        <v>-1708542403.2315373</v>
      </c>
      <c r="CP39" s="84">
        <f t="shared" si="329"/>
        <v>-1708542403.2315373</v>
      </c>
      <c r="CQ39" s="84">
        <f t="shared" si="329"/>
        <v>-1708542403.2315373</v>
      </c>
      <c r="CR39" s="84">
        <f t="shared" si="329"/>
        <v>-1708542403.2315378</v>
      </c>
      <c r="CS39" s="84">
        <f t="shared" si="329"/>
        <v>-1708542403.2315378</v>
      </c>
      <c r="CT39" s="84">
        <f t="shared" si="329"/>
        <v>-1708542403.2315378</v>
      </c>
      <c r="CU39" s="84">
        <f t="shared" si="329"/>
        <v>-1708542403.2315373</v>
      </c>
      <c r="CV39" s="84">
        <f t="shared" si="329"/>
        <v>-1708542403.2315373</v>
      </c>
      <c r="CW39" s="84">
        <f t="shared" si="329"/>
        <v>-1708542403.2315376</v>
      </c>
      <c r="CX39" s="84">
        <f t="shared" si="329"/>
        <v>-1708542403.2315373</v>
      </c>
      <c r="CY39" s="84">
        <f t="shared" si="329"/>
        <v>-1708542403.2315373</v>
      </c>
      <c r="CZ39" s="84">
        <f t="shared" si="329"/>
        <v>-1708542403.2315371</v>
      </c>
      <c r="DA39" s="84">
        <f t="shared" si="329"/>
        <v>-1708542403.2315371</v>
      </c>
      <c r="DB39" s="84">
        <f t="shared" si="329"/>
        <v>-1708542403.2315378</v>
      </c>
      <c r="DC39" s="84">
        <f t="shared" si="329"/>
        <v>-1708542403.2315373</v>
      </c>
      <c r="DD39" s="84">
        <f t="shared" si="329"/>
        <v>-1708542403.2315376</v>
      </c>
      <c r="DE39" s="84">
        <f t="shared" si="329"/>
        <v>-1708542403.2315376</v>
      </c>
      <c r="DF39" s="84">
        <f t="shared" si="329"/>
        <v>-1708542403.2315376</v>
      </c>
      <c r="DG39" s="84">
        <f t="shared" si="329"/>
        <v>-1708542403.2315373</v>
      </c>
      <c r="DH39" s="84">
        <f t="shared" si="329"/>
        <v>-1708542403.2315371</v>
      </c>
      <c r="DI39" s="84">
        <f t="shared" si="329"/>
        <v>-1708542403.2315369</v>
      </c>
      <c r="DJ39" s="84">
        <f t="shared" si="329"/>
        <v>-1708542403.2315369</v>
      </c>
      <c r="DK39" s="84">
        <f t="shared" si="329"/>
        <v>-1708542403.2315366</v>
      </c>
      <c r="DL39" s="84">
        <f t="shared" si="329"/>
        <v>-1708542403.2315361</v>
      </c>
      <c r="DM39" s="84">
        <f t="shared" si="329"/>
        <v>-1708542403.2315369</v>
      </c>
      <c r="DN39" s="84">
        <f t="shared" si="329"/>
        <v>-1708542403.2315369</v>
      </c>
      <c r="DO39" s="84">
        <f t="shared" si="329"/>
        <v>-1708542403.2315366</v>
      </c>
      <c r="DP39" s="84">
        <f t="shared" si="329"/>
        <v>-1708542403.2315364</v>
      </c>
      <c r="DQ39" s="84">
        <f t="shared" si="329"/>
        <v>-1708542403.2315369</v>
      </c>
      <c r="DR39" s="84">
        <f t="shared" si="329"/>
        <v>-1708542403.2315366</v>
      </c>
      <c r="DS39" s="84">
        <f t="shared" si="329"/>
        <v>-1735542403.2315364</v>
      </c>
      <c r="DT39" s="84">
        <f t="shared" si="329"/>
        <v>-1735542403.2315364</v>
      </c>
      <c r="DU39" s="84">
        <f t="shared" si="329"/>
        <v>-1735542403.2315369</v>
      </c>
      <c r="DV39" s="84">
        <f t="shared" si="329"/>
        <v>-1755342403.2315369</v>
      </c>
      <c r="DW39" s="84">
        <f t="shared" si="329"/>
        <v>-1755342403.2315366</v>
      </c>
      <c r="DX39" s="84">
        <f t="shared" si="329"/>
        <v>-1755342403.2315366</v>
      </c>
      <c r="DY39" s="84">
        <f t="shared" si="329"/>
        <v>-1771542403.2315366</v>
      </c>
      <c r="DZ39" s="84">
        <f t="shared" si="329"/>
        <v>-1771542403.2315371</v>
      </c>
      <c r="EA39" s="84">
        <f t="shared" si="329"/>
        <v>-1771542403.2315371</v>
      </c>
      <c r="EB39" s="84">
        <f t="shared" ref="EB39:GI39" si="330">EB37-EB15</f>
        <v>-1771542403.2315369</v>
      </c>
      <c r="EC39" s="84">
        <f t="shared" si="330"/>
        <v>-1771542403.2315373</v>
      </c>
      <c r="ED39" s="84">
        <f t="shared" si="330"/>
        <v>-1771542403.2315373</v>
      </c>
      <c r="EE39" s="84">
        <f t="shared" si="330"/>
        <v>-1771542403.2315373</v>
      </c>
      <c r="EF39" s="84">
        <f t="shared" si="330"/>
        <v>-1771542403.2315373</v>
      </c>
      <c r="EG39" s="84">
        <f t="shared" si="330"/>
        <v>-1771542403.2315378</v>
      </c>
      <c r="EH39" s="84">
        <f t="shared" si="330"/>
        <v>-1771542403.2315381</v>
      </c>
      <c r="EI39" s="84">
        <f t="shared" si="330"/>
        <v>-1771542403.2315381</v>
      </c>
      <c r="EJ39" s="84">
        <f t="shared" si="330"/>
        <v>-1771542403.2315381</v>
      </c>
      <c r="EK39" s="84">
        <f t="shared" si="330"/>
        <v>-1780542403.2315383</v>
      </c>
      <c r="EL39" s="84">
        <f t="shared" si="330"/>
        <v>-1780542403.2315388</v>
      </c>
      <c r="EM39" s="84">
        <f t="shared" si="330"/>
        <v>-1780542403.2315388</v>
      </c>
      <c r="EN39" s="84">
        <f t="shared" si="330"/>
        <v>-1780542403.2315388</v>
      </c>
      <c r="EO39" s="84">
        <f t="shared" si="330"/>
        <v>-1780542403.2315392</v>
      </c>
      <c r="EP39" s="84">
        <f t="shared" si="330"/>
        <v>-1798542403.2315395</v>
      </c>
      <c r="EQ39" s="84">
        <f t="shared" si="330"/>
        <v>-1798542403.2315392</v>
      </c>
      <c r="ER39" s="84">
        <f t="shared" si="330"/>
        <v>-1798542403.231539</v>
      </c>
      <c r="ES39" s="84">
        <f t="shared" si="330"/>
        <v>-1798542403.2315388</v>
      </c>
      <c r="ET39" s="84">
        <f t="shared" si="330"/>
        <v>-1798542403.2315388</v>
      </c>
      <c r="EU39" s="84">
        <f t="shared" si="330"/>
        <v>-1798542403.2315383</v>
      </c>
      <c r="EV39" s="84">
        <f t="shared" si="330"/>
        <v>-1798542403.2315381</v>
      </c>
      <c r="EW39" s="84">
        <f t="shared" si="330"/>
        <v>-1798542403.2315383</v>
      </c>
      <c r="EX39" s="84">
        <f t="shared" si="330"/>
        <v>-1798542403.2315378</v>
      </c>
      <c r="EY39" s="84">
        <f t="shared" si="330"/>
        <v>-1798542403.2315373</v>
      </c>
      <c r="EZ39" s="84">
        <f t="shared" si="330"/>
        <v>-1807542403.2315371</v>
      </c>
      <c r="FA39" s="84">
        <f t="shared" si="330"/>
        <v>-1807542403.2315369</v>
      </c>
      <c r="FB39" s="84">
        <f t="shared" si="330"/>
        <v>-1807542403.2315369</v>
      </c>
      <c r="FC39" s="84">
        <f t="shared" si="330"/>
        <v>-1807542403.2315366</v>
      </c>
      <c r="FD39" s="84">
        <f t="shared" si="330"/>
        <v>-1807542403.2315364</v>
      </c>
      <c r="FE39" s="84">
        <f t="shared" si="330"/>
        <v>-1807542403.2315361</v>
      </c>
      <c r="FF39" s="84">
        <f t="shared" si="330"/>
        <v>-1807542403.2315364</v>
      </c>
      <c r="FG39" s="84">
        <f t="shared" si="330"/>
        <v>-1807542403.2315361</v>
      </c>
      <c r="FH39" s="84">
        <f t="shared" si="330"/>
        <v>-1825542403.2315359</v>
      </c>
      <c r="FI39" s="84">
        <f t="shared" si="330"/>
        <v>-1825542403.2315361</v>
      </c>
      <c r="FJ39" s="84">
        <f t="shared" si="330"/>
        <v>-1825542403.2315359</v>
      </c>
      <c r="FK39" s="84">
        <f t="shared" si="330"/>
        <v>-1825542403.2315357</v>
      </c>
      <c r="FL39" s="84">
        <f t="shared" si="330"/>
        <v>-1825542403.2315354</v>
      </c>
      <c r="FM39" s="84">
        <f t="shared" si="330"/>
        <v>-1825542403.2315352</v>
      </c>
      <c r="FN39" s="84">
        <f t="shared" si="330"/>
        <v>-1825542403.2315354</v>
      </c>
      <c r="FO39" s="84">
        <f t="shared" si="330"/>
        <v>-1825542403.231535</v>
      </c>
      <c r="FP39" s="84">
        <f t="shared" si="330"/>
        <v>-1825542403.2315347</v>
      </c>
      <c r="FQ39" s="84">
        <f t="shared" si="330"/>
        <v>-1825542403.231535</v>
      </c>
      <c r="FR39" s="84">
        <f t="shared" si="330"/>
        <v>-1825542403.2315347</v>
      </c>
      <c r="FS39" s="84">
        <f t="shared" si="330"/>
        <v>-1825542403.2315345</v>
      </c>
      <c r="FT39" s="84">
        <f t="shared" si="330"/>
        <v>-1825542403.2315342</v>
      </c>
      <c r="FU39" s="84">
        <f t="shared" si="330"/>
        <v>-1825542403.231534</v>
      </c>
      <c r="FV39" s="84">
        <f t="shared" si="330"/>
        <v>-1825542403.2315342</v>
      </c>
      <c r="FW39" s="84">
        <f t="shared" si="330"/>
        <v>-1825542403.231534</v>
      </c>
      <c r="FX39" s="84">
        <f t="shared" si="330"/>
        <v>-1825542403.2315338</v>
      </c>
      <c r="FY39" s="84">
        <f t="shared" si="330"/>
        <v>-1825542403.231534</v>
      </c>
      <c r="FZ39" s="84">
        <f t="shared" si="330"/>
        <v>-1825542403.2315338</v>
      </c>
      <c r="GA39" s="84">
        <f t="shared" si="330"/>
        <v>-1843542403.2315335</v>
      </c>
      <c r="GB39" s="84">
        <f t="shared" si="330"/>
        <v>-1843542403.2315335</v>
      </c>
      <c r="GC39" s="84">
        <f t="shared" si="330"/>
        <v>-1843542403.231534</v>
      </c>
      <c r="GD39" s="84">
        <f t="shared" si="330"/>
        <v>-1863342403.2315335</v>
      </c>
      <c r="GE39" s="84">
        <f t="shared" si="330"/>
        <v>-1863342403.2315335</v>
      </c>
      <c r="GF39" s="84">
        <f t="shared" si="330"/>
        <v>-1863342403.2315335</v>
      </c>
      <c r="GG39" s="84">
        <f t="shared" si="330"/>
        <v>-1909367971.2315331</v>
      </c>
      <c r="GH39" s="84">
        <f t="shared" si="330"/>
        <v>-1909367971.231534</v>
      </c>
      <c r="GI39" s="84">
        <f t="shared" si="330"/>
        <v>-1909367971.2315335</v>
      </c>
      <c r="GJ39" s="84">
        <f t="shared" ref="GJ39:IH39" si="331">GJ37-GJ15</f>
        <v>-1909367971.2315331</v>
      </c>
      <c r="GK39" s="84">
        <f t="shared" si="331"/>
        <v>-1909367971.231534</v>
      </c>
      <c r="GL39" s="84">
        <f t="shared" si="331"/>
        <v>-1909367971.2315335</v>
      </c>
      <c r="GM39" s="84">
        <f t="shared" si="331"/>
        <v>-1909367971.2315335</v>
      </c>
      <c r="GN39" s="84">
        <f t="shared" si="331"/>
        <v>-1909367971.2315335</v>
      </c>
      <c r="GO39" s="84">
        <f t="shared" si="331"/>
        <v>-1909367971.2315335</v>
      </c>
      <c r="GP39" s="84">
        <f t="shared" si="331"/>
        <v>-1909367971.2315335</v>
      </c>
      <c r="GQ39" s="84">
        <f t="shared" si="331"/>
        <v>-1909367971.2315335</v>
      </c>
      <c r="GR39" s="84">
        <f t="shared" si="331"/>
        <v>-1909367971.2315331</v>
      </c>
      <c r="GS39" s="84">
        <f t="shared" si="331"/>
        <v>-1909367971.2315331</v>
      </c>
      <c r="GT39" s="84">
        <f t="shared" si="331"/>
        <v>-1909367971.2315331</v>
      </c>
      <c r="GU39" s="84">
        <f t="shared" si="331"/>
        <v>-1909367971.2315331</v>
      </c>
      <c r="GV39" s="84">
        <f t="shared" si="331"/>
        <v>-1909367971.2315335</v>
      </c>
      <c r="GW39" s="84">
        <f t="shared" si="331"/>
        <v>-1909367971.231534</v>
      </c>
      <c r="GX39" s="84">
        <f t="shared" si="331"/>
        <v>-1909367971.231534</v>
      </c>
      <c r="GY39" s="84">
        <f t="shared" si="331"/>
        <v>-1909367971.231534</v>
      </c>
      <c r="GZ39" s="84">
        <f t="shared" si="331"/>
        <v>-1909367971.231535</v>
      </c>
      <c r="HA39" s="84">
        <f t="shared" si="331"/>
        <v>-1909367971.231535</v>
      </c>
      <c r="HB39" s="84">
        <f t="shared" si="331"/>
        <v>-1909367971.2315359</v>
      </c>
      <c r="HC39" s="84">
        <f t="shared" si="331"/>
        <v>-1909367971.2315359</v>
      </c>
      <c r="HD39" s="84">
        <f t="shared" si="331"/>
        <v>-1909367971.2315369</v>
      </c>
      <c r="HE39" s="84">
        <f t="shared" si="331"/>
        <v>-1909367971.2315369</v>
      </c>
      <c r="HF39" s="84">
        <f t="shared" si="331"/>
        <v>-1909367971.2315378</v>
      </c>
      <c r="HG39" s="84">
        <f t="shared" si="331"/>
        <v>-1909367971.2315378</v>
      </c>
      <c r="HH39" s="84">
        <f t="shared" si="331"/>
        <v>-1909367971.2315388</v>
      </c>
      <c r="HI39" s="84">
        <f t="shared" si="331"/>
        <v>-1909367971.2315388</v>
      </c>
      <c r="HJ39" s="84">
        <f t="shared" si="331"/>
        <v>-1909367971.2315397</v>
      </c>
      <c r="HK39" s="84">
        <f t="shared" si="331"/>
        <v>-1909367971.2315397</v>
      </c>
      <c r="HL39" s="84">
        <f t="shared" si="331"/>
        <v>-1909367971.2315407</v>
      </c>
      <c r="HM39" s="84">
        <f t="shared" si="331"/>
        <v>-1909367971.2315407</v>
      </c>
      <c r="HN39" s="84">
        <f t="shared" si="331"/>
        <v>-1909367971.2315416</v>
      </c>
      <c r="HO39" s="84">
        <f t="shared" si="331"/>
        <v>-1909367971.2315416</v>
      </c>
      <c r="HP39" s="84">
        <f t="shared" si="331"/>
        <v>-1909367971.2315426</v>
      </c>
      <c r="HQ39" s="84">
        <f t="shared" si="331"/>
        <v>-1909367971.2315426</v>
      </c>
      <c r="HR39" s="84">
        <f t="shared" si="331"/>
        <v>-1909367971.2315435</v>
      </c>
      <c r="HS39" s="84">
        <f t="shared" si="331"/>
        <v>-1909367971.2315435</v>
      </c>
      <c r="HT39" s="84">
        <f t="shared" si="331"/>
        <v>-1909367971.2315445</v>
      </c>
      <c r="HU39" s="84">
        <f t="shared" si="331"/>
        <v>-1909367971.2315445</v>
      </c>
      <c r="HV39" s="84">
        <f t="shared" si="331"/>
        <v>-1909367971.2315454</v>
      </c>
      <c r="HW39" s="84">
        <f t="shared" si="331"/>
        <v>-1909367971.2315454</v>
      </c>
      <c r="HX39" s="84">
        <f t="shared" si="331"/>
        <v>-1909367971.2315464</v>
      </c>
      <c r="HY39" s="84">
        <f t="shared" si="331"/>
        <v>-1909367971.2315464</v>
      </c>
      <c r="HZ39" s="84">
        <f t="shared" si="331"/>
        <v>-1909367971.2315474</v>
      </c>
      <c r="IA39" s="84">
        <f t="shared" si="331"/>
        <v>-1909367971.2315474</v>
      </c>
      <c r="IB39" s="84">
        <f t="shared" si="331"/>
        <v>-1909367971.2315483</v>
      </c>
      <c r="IC39" s="84">
        <f t="shared" si="331"/>
        <v>-1909367971.2315483</v>
      </c>
      <c r="ID39" s="84">
        <f t="shared" si="331"/>
        <v>-1909367971.2315493</v>
      </c>
      <c r="IE39" s="84">
        <f t="shared" si="331"/>
        <v>-1909367971.2315493</v>
      </c>
      <c r="IF39" s="84">
        <f t="shared" si="331"/>
        <v>-1909367971.2315502</v>
      </c>
      <c r="IG39" s="84">
        <f t="shared" si="331"/>
        <v>-1909367971.2315502</v>
      </c>
      <c r="IH39" s="84">
        <f t="shared" si="331"/>
        <v>-1909367971.2315512</v>
      </c>
    </row>
  </sheetData>
  <mergeCells count="52">
    <mergeCell ref="GA3:GL3"/>
    <mergeCell ref="GM3:GX3"/>
    <mergeCell ref="GY3:HJ3"/>
    <mergeCell ref="HK3:HV3"/>
    <mergeCell ref="HW3:IH3"/>
    <mergeCell ref="A1:B1"/>
    <mergeCell ref="A32:B32"/>
    <mergeCell ref="A33:B33"/>
    <mergeCell ref="A34:B34"/>
    <mergeCell ref="A19:B19"/>
    <mergeCell ref="A20:B20"/>
    <mergeCell ref="A21:B21"/>
    <mergeCell ref="A23:B23"/>
    <mergeCell ref="A25:B25"/>
    <mergeCell ref="A14:B14"/>
    <mergeCell ref="A15:B15"/>
    <mergeCell ref="A16:B16"/>
    <mergeCell ref="A17:B17"/>
    <mergeCell ref="A18:B18"/>
    <mergeCell ref="A36:B36"/>
    <mergeCell ref="A37:B37"/>
    <mergeCell ref="A26:B26"/>
    <mergeCell ref="A27:B27"/>
    <mergeCell ref="A28:B28"/>
    <mergeCell ref="A29:B29"/>
    <mergeCell ref="A30:B30"/>
    <mergeCell ref="A31:B31"/>
    <mergeCell ref="EQ3:FB3"/>
    <mergeCell ref="FC3:FN3"/>
    <mergeCell ref="FO3:FZ3"/>
    <mergeCell ref="A4:B4"/>
    <mergeCell ref="A5:B5"/>
    <mergeCell ref="BK3:BV3"/>
    <mergeCell ref="BW3:CH3"/>
    <mergeCell ref="CI3:CT3"/>
    <mergeCell ref="CU3:DF3"/>
    <mergeCell ref="DG3:DR3"/>
    <mergeCell ref="DS3:ED3"/>
    <mergeCell ref="A3:B3"/>
    <mergeCell ref="C3:N3"/>
    <mergeCell ref="O3:Z3"/>
    <mergeCell ref="AA3:AL3"/>
    <mergeCell ref="AM3:AX3"/>
    <mergeCell ref="AY3:BJ3"/>
    <mergeCell ref="A13:B13"/>
    <mergeCell ref="EE3:EP3"/>
    <mergeCell ref="A6:B6"/>
    <mergeCell ref="A8:B8"/>
    <mergeCell ref="A9:B9"/>
    <mergeCell ref="A11:B11"/>
    <mergeCell ref="A12:B12"/>
    <mergeCell ref="A7:B7"/>
  </mergeCells>
  <conditionalFormatting sqref="A1:B1">
    <cfRule type="expression" dxfId="3" priority="12">
      <formula>IF(SUM(#REF!)&lt;&gt;SUM($C$37:$FZ$37),1,0)</formula>
    </cfRule>
  </conditionalFormatting>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7" tint="0.39997558519241921"/>
  </sheetPr>
  <dimension ref="A1:IH33"/>
  <sheetViews>
    <sheetView zoomScale="70" zoomScaleNormal="70" workbookViewId="0">
      <pane xSplit="2" ySplit="5" topLeftCell="C6" activePane="bottomRight" state="frozen"/>
      <selection activeCell="A3" sqref="A3:B3"/>
      <selection pane="topRight" activeCell="A3" sqref="A3:B3"/>
      <selection pane="bottomLeft" activeCell="A3" sqref="A3:B3"/>
      <selection pane="bottomRight" activeCell="AA13" sqref="AA13:IH13"/>
    </sheetView>
  </sheetViews>
  <sheetFormatPr defaultRowHeight="14.25" x14ac:dyDescent="0.45"/>
  <cols>
    <col min="1" max="1" width="36.265625" customWidth="1"/>
    <col min="2" max="2" width="12.59765625" customWidth="1"/>
    <col min="3" max="242" width="12.86328125" customWidth="1"/>
  </cols>
  <sheetData>
    <row r="1" spans="1:242" ht="23.25" x14ac:dyDescent="0.7">
      <c r="A1" s="899" t="s">
        <v>301</v>
      </c>
      <c r="B1" s="899"/>
    </row>
    <row r="3" spans="1:242" x14ac:dyDescent="0.45">
      <c r="A3" s="888" t="s">
        <v>166</v>
      </c>
      <c r="B3" s="889"/>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row>
    <row r="4" spans="1:242" x14ac:dyDescent="0.45">
      <c r="A4" s="888" t="s">
        <v>167</v>
      </c>
      <c r="B4" s="889"/>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2" x14ac:dyDescent="0.45">
      <c r="A5" s="888" t="s">
        <v>253</v>
      </c>
      <c r="B5" s="889"/>
      <c r="C5" s="70">
        <v>1</v>
      </c>
      <c r="D5" s="71">
        <v>2</v>
      </c>
      <c r="E5" s="71">
        <v>3</v>
      </c>
      <c r="F5" s="70">
        <v>4</v>
      </c>
      <c r="G5" s="71">
        <v>5</v>
      </c>
      <c r="H5" s="71">
        <v>6</v>
      </c>
      <c r="I5" s="70">
        <v>7</v>
      </c>
      <c r="J5" s="71">
        <v>8</v>
      </c>
      <c r="K5" s="71">
        <v>9</v>
      </c>
      <c r="L5" s="70">
        <v>10</v>
      </c>
      <c r="M5" s="71">
        <v>11</v>
      </c>
      <c r="N5" s="71">
        <v>12</v>
      </c>
      <c r="O5" s="70">
        <v>13</v>
      </c>
      <c r="P5" s="71">
        <v>14</v>
      </c>
      <c r="Q5" s="71">
        <v>15</v>
      </c>
      <c r="R5" s="70">
        <v>16</v>
      </c>
      <c r="S5" s="71">
        <v>17</v>
      </c>
      <c r="T5" s="71">
        <v>18</v>
      </c>
      <c r="U5" s="70">
        <v>19</v>
      </c>
      <c r="V5" s="71">
        <v>20</v>
      </c>
      <c r="W5" s="71">
        <v>21</v>
      </c>
      <c r="X5" s="70">
        <v>22</v>
      </c>
      <c r="Y5" s="71">
        <v>23</v>
      </c>
      <c r="Z5" s="71">
        <v>24</v>
      </c>
      <c r="AA5" s="70">
        <v>25</v>
      </c>
      <c r="AB5" s="71">
        <v>26</v>
      </c>
      <c r="AC5" s="71">
        <v>27</v>
      </c>
      <c r="AD5" s="70">
        <v>28</v>
      </c>
      <c r="AE5" s="71">
        <v>29</v>
      </c>
      <c r="AF5" s="71">
        <v>30</v>
      </c>
      <c r="AG5" s="70">
        <v>31</v>
      </c>
      <c r="AH5" s="71">
        <v>32</v>
      </c>
      <c r="AI5" s="71">
        <v>33</v>
      </c>
      <c r="AJ5" s="70">
        <v>34</v>
      </c>
      <c r="AK5" s="71">
        <v>35</v>
      </c>
      <c r="AL5" s="71">
        <v>36</v>
      </c>
      <c r="AM5" s="70">
        <v>37</v>
      </c>
      <c r="AN5" s="71">
        <v>38</v>
      </c>
      <c r="AO5" s="71">
        <v>39</v>
      </c>
      <c r="AP5" s="70">
        <v>40</v>
      </c>
      <c r="AQ5" s="71">
        <v>41</v>
      </c>
      <c r="AR5" s="71">
        <v>42</v>
      </c>
      <c r="AS5" s="70">
        <v>43</v>
      </c>
      <c r="AT5" s="71">
        <v>44</v>
      </c>
      <c r="AU5" s="71">
        <v>45</v>
      </c>
      <c r="AV5" s="70">
        <v>46</v>
      </c>
      <c r="AW5" s="71">
        <v>47</v>
      </c>
      <c r="AX5" s="71">
        <v>48</v>
      </c>
      <c r="AY5" s="70">
        <v>49</v>
      </c>
      <c r="AZ5" s="71">
        <v>50</v>
      </c>
      <c r="BA5" s="71">
        <v>51</v>
      </c>
      <c r="BB5" s="70">
        <v>52</v>
      </c>
      <c r="BC5" s="71">
        <v>53</v>
      </c>
      <c r="BD5" s="71">
        <v>54</v>
      </c>
      <c r="BE5" s="70">
        <v>55</v>
      </c>
      <c r="BF5" s="71">
        <v>56</v>
      </c>
      <c r="BG5" s="71">
        <v>57</v>
      </c>
      <c r="BH5" s="70">
        <v>58</v>
      </c>
      <c r="BI5" s="71">
        <v>59</v>
      </c>
      <c r="BJ5" s="71">
        <v>60</v>
      </c>
      <c r="BK5" s="70">
        <v>61</v>
      </c>
      <c r="BL5" s="71">
        <v>62</v>
      </c>
      <c r="BM5" s="71">
        <v>63</v>
      </c>
      <c r="BN5" s="70">
        <v>64</v>
      </c>
      <c r="BO5" s="71">
        <v>65</v>
      </c>
      <c r="BP5" s="71">
        <v>66</v>
      </c>
      <c r="BQ5" s="70">
        <v>67</v>
      </c>
      <c r="BR5" s="71">
        <v>68</v>
      </c>
      <c r="BS5" s="71">
        <v>69</v>
      </c>
      <c r="BT5" s="70">
        <v>70</v>
      </c>
      <c r="BU5" s="71">
        <v>71</v>
      </c>
      <c r="BV5" s="71">
        <v>72</v>
      </c>
      <c r="BW5" s="70">
        <v>73</v>
      </c>
      <c r="BX5" s="71">
        <v>74</v>
      </c>
      <c r="BY5" s="71">
        <v>75</v>
      </c>
      <c r="BZ5" s="70">
        <v>76</v>
      </c>
      <c r="CA5" s="71">
        <v>77</v>
      </c>
      <c r="CB5" s="71">
        <v>78</v>
      </c>
      <c r="CC5" s="70">
        <v>79</v>
      </c>
      <c r="CD5" s="71">
        <v>80</v>
      </c>
      <c r="CE5" s="71">
        <v>81</v>
      </c>
      <c r="CF5" s="70">
        <v>82</v>
      </c>
      <c r="CG5" s="71">
        <v>83</v>
      </c>
      <c r="CH5" s="71">
        <v>84</v>
      </c>
      <c r="CI5" s="70">
        <v>85</v>
      </c>
      <c r="CJ5" s="71">
        <v>86</v>
      </c>
      <c r="CK5" s="71">
        <v>87</v>
      </c>
      <c r="CL5" s="70">
        <v>88</v>
      </c>
      <c r="CM5" s="71">
        <v>89</v>
      </c>
      <c r="CN5" s="71">
        <v>90</v>
      </c>
      <c r="CO5" s="70">
        <v>91</v>
      </c>
      <c r="CP5" s="71">
        <v>92</v>
      </c>
      <c r="CQ5" s="71">
        <v>93</v>
      </c>
      <c r="CR5" s="70">
        <v>94</v>
      </c>
      <c r="CS5" s="71">
        <v>95</v>
      </c>
      <c r="CT5" s="71">
        <v>96</v>
      </c>
      <c r="CU5" s="70">
        <v>97</v>
      </c>
      <c r="CV5" s="71">
        <v>98</v>
      </c>
      <c r="CW5" s="71">
        <v>99</v>
      </c>
      <c r="CX5" s="70">
        <v>100</v>
      </c>
      <c r="CY5" s="71">
        <v>101</v>
      </c>
      <c r="CZ5" s="71">
        <v>102</v>
      </c>
      <c r="DA5" s="70">
        <v>103</v>
      </c>
      <c r="DB5" s="71">
        <v>104</v>
      </c>
      <c r="DC5" s="71">
        <v>105</v>
      </c>
      <c r="DD5" s="70">
        <v>106</v>
      </c>
      <c r="DE5" s="71">
        <v>107</v>
      </c>
      <c r="DF5" s="71">
        <v>108</v>
      </c>
      <c r="DG5" s="70">
        <v>109</v>
      </c>
      <c r="DH5" s="71">
        <v>110</v>
      </c>
      <c r="DI5" s="71">
        <v>111</v>
      </c>
      <c r="DJ5" s="70">
        <v>112</v>
      </c>
      <c r="DK5" s="71">
        <v>113</v>
      </c>
      <c r="DL5" s="71">
        <v>114</v>
      </c>
      <c r="DM5" s="70">
        <v>115</v>
      </c>
      <c r="DN5" s="71">
        <v>116</v>
      </c>
      <c r="DO5" s="71">
        <v>117</v>
      </c>
      <c r="DP5" s="70">
        <v>118</v>
      </c>
      <c r="DQ5" s="71">
        <v>119</v>
      </c>
      <c r="DR5" s="71">
        <v>120</v>
      </c>
      <c r="DS5" s="70">
        <v>121</v>
      </c>
      <c r="DT5" s="71">
        <v>122</v>
      </c>
      <c r="DU5" s="71">
        <v>123</v>
      </c>
      <c r="DV5" s="70">
        <v>124</v>
      </c>
      <c r="DW5" s="71">
        <v>125</v>
      </c>
      <c r="DX5" s="71">
        <v>126</v>
      </c>
      <c r="DY5" s="70">
        <v>127</v>
      </c>
      <c r="DZ5" s="71">
        <v>128</v>
      </c>
      <c r="EA5" s="71">
        <v>129</v>
      </c>
      <c r="EB5" s="70">
        <v>130</v>
      </c>
      <c r="EC5" s="71">
        <v>131</v>
      </c>
      <c r="ED5" s="71">
        <v>132</v>
      </c>
      <c r="EE5" s="70">
        <v>133</v>
      </c>
      <c r="EF5" s="71">
        <v>134</v>
      </c>
      <c r="EG5" s="71">
        <v>135</v>
      </c>
      <c r="EH5" s="70">
        <v>136</v>
      </c>
      <c r="EI5" s="71">
        <v>137</v>
      </c>
      <c r="EJ5" s="71">
        <v>138</v>
      </c>
      <c r="EK5" s="70">
        <v>139</v>
      </c>
      <c r="EL5" s="71">
        <v>140</v>
      </c>
      <c r="EM5" s="71">
        <v>141</v>
      </c>
      <c r="EN5" s="70">
        <v>142</v>
      </c>
      <c r="EO5" s="71">
        <v>143</v>
      </c>
      <c r="EP5" s="71">
        <v>144</v>
      </c>
      <c r="EQ5" s="70">
        <v>145</v>
      </c>
      <c r="ER5" s="71">
        <v>146</v>
      </c>
      <c r="ES5" s="71">
        <v>147</v>
      </c>
      <c r="ET5" s="70">
        <v>148</v>
      </c>
      <c r="EU5" s="71">
        <v>149</v>
      </c>
      <c r="EV5" s="71">
        <v>150</v>
      </c>
      <c r="EW5" s="70">
        <v>151</v>
      </c>
      <c r="EX5" s="71">
        <v>152</v>
      </c>
      <c r="EY5" s="71">
        <v>153</v>
      </c>
      <c r="EZ5" s="70">
        <v>154</v>
      </c>
      <c r="FA5" s="71">
        <v>155</v>
      </c>
      <c r="FB5" s="71">
        <v>156</v>
      </c>
      <c r="FC5" s="70">
        <v>157</v>
      </c>
      <c r="FD5" s="71">
        <v>158</v>
      </c>
      <c r="FE5" s="71">
        <v>159</v>
      </c>
      <c r="FF5" s="70">
        <v>160</v>
      </c>
      <c r="FG5" s="71">
        <v>161</v>
      </c>
      <c r="FH5" s="71">
        <v>162</v>
      </c>
      <c r="FI5" s="70">
        <v>163</v>
      </c>
      <c r="FJ5" s="71">
        <v>164</v>
      </c>
      <c r="FK5" s="71">
        <v>165</v>
      </c>
      <c r="FL5" s="70">
        <v>166</v>
      </c>
      <c r="FM5" s="71">
        <v>167</v>
      </c>
      <c r="FN5" s="71">
        <v>168</v>
      </c>
      <c r="FO5" s="70">
        <v>169</v>
      </c>
      <c r="FP5" s="71">
        <v>170</v>
      </c>
      <c r="FQ5" s="71">
        <v>171</v>
      </c>
      <c r="FR5" s="70">
        <v>172</v>
      </c>
      <c r="FS5" s="71">
        <v>173</v>
      </c>
      <c r="FT5" s="71">
        <v>174</v>
      </c>
      <c r="FU5" s="70">
        <v>175</v>
      </c>
      <c r="FV5" s="71">
        <v>176</v>
      </c>
      <c r="FW5" s="71">
        <v>177</v>
      </c>
      <c r="FX5" s="70">
        <v>178</v>
      </c>
      <c r="FY5" s="71">
        <v>179</v>
      </c>
      <c r="FZ5" s="71">
        <v>180</v>
      </c>
      <c r="GA5" s="71">
        <v>181</v>
      </c>
      <c r="GB5" s="71">
        <v>182</v>
      </c>
      <c r="GC5" s="71">
        <v>183</v>
      </c>
      <c r="GD5" s="71">
        <v>184</v>
      </c>
      <c r="GE5" s="71">
        <v>185</v>
      </c>
      <c r="GF5" s="71">
        <v>186</v>
      </c>
      <c r="GG5" s="71">
        <v>187</v>
      </c>
      <c r="GH5" s="71">
        <v>188</v>
      </c>
      <c r="GI5" s="71">
        <v>189</v>
      </c>
      <c r="GJ5" s="71">
        <v>190</v>
      </c>
      <c r="GK5" s="71">
        <v>191</v>
      </c>
      <c r="GL5" s="71">
        <v>192</v>
      </c>
      <c r="GM5" s="71">
        <v>193</v>
      </c>
      <c r="GN5" s="71">
        <v>194</v>
      </c>
      <c r="GO5" s="71">
        <v>195</v>
      </c>
      <c r="GP5" s="71">
        <v>196</v>
      </c>
      <c r="GQ5" s="71">
        <v>197</v>
      </c>
      <c r="GR5" s="71">
        <v>198</v>
      </c>
      <c r="GS5" s="71">
        <v>199</v>
      </c>
      <c r="GT5" s="71">
        <v>200</v>
      </c>
      <c r="GU5" s="71">
        <v>201</v>
      </c>
      <c r="GV5" s="71">
        <v>202</v>
      </c>
      <c r="GW5" s="71">
        <v>203</v>
      </c>
      <c r="GX5" s="71">
        <v>204</v>
      </c>
      <c r="GY5" s="71">
        <v>205</v>
      </c>
      <c r="GZ5" s="71">
        <v>206</v>
      </c>
      <c r="HA5" s="71">
        <v>207</v>
      </c>
      <c r="HB5" s="71">
        <v>208</v>
      </c>
      <c r="HC5" s="71">
        <v>209</v>
      </c>
      <c r="HD5" s="71">
        <v>210</v>
      </c>
      <c r="HE5" s="71">
        <v>211</v>
      </c>
      <c r="HF5" s="71">
        <v>212</v>
      </c>
      <c r="HG5" s="71">
        <v>213</v>
      </c>
      <c r="HH5" s="71">
        <v>214</v>
      </c>
      <c r="HI5" s="71">
        <v>215</v>
      </c>
      <c r="HJ5" s="71">
        <v>216</v>
      </c>
      <c r="HK5" s="71">
        <v>217</v>
      </c>
      <c r="HL5" s="71">
        <v>218</v>
      </c>
      <c r="HM5" s="71">
        <v>219</v>
      </c>
      <c r="HN5" s="71">
        <v>220</v>
      </c>
      <c r="HO5" s="71">
        <v>221</v>
      </c>
      <c r="HP5" s="71">
        <v>222</v>
      </c>
      <c r="HQ5" s="71">
        <v>223</v>
      </c>
      <c r="HR5" s="71">
        <v>224</v>
      </c>
      <c r="HS5" s="71">
        <v>225</v>
      </c>
      <c r="HT5" s="71">
        <v>226</v>
      </c>
      <c r="HU5" s="71">
        <v>227</v>
      </c>
      <c r="HV5" s="71">
        <v>228</v>
      </c>
      <c r="HW5" s="71">
        <v>229</v>
      </c>
      <c r="HX5" s="71">
        <v>230</v>
      </c>
      <c r="HY5" s="71">
        <v>231</v>
      </c>
      <c r="HZ5" s="71">
        <v>232</v>
      </c>
      <c r="IA5" s="71">
        <v>233</v>
      </c>
      <c r="IB5" s="71">
        <v>234</v>
      </c>
      <c r="IC5" s="71">
        <v>235</v>
      </c>
      <c r="ID5" s="71">
        <v>236</v>
      </c>
      <c r="IE5" s="71">
        <v>237</v>
      </c>
      <c r="IF5" s="71">
        <v>238</v>
      </c>
      <c r="IG5" s="71">
        <v>239</v>
      </c>
      <c r="IH5" s="71">
        <v>240</v>
      </c>
    </row>
    <row r="6" spans="1:242" x14ac:dyDescent="0.45">
      <c r="A6" s="888" t="s">
        <v>302</v>
      </c>
      <c r="B6" s="889"/>
    </row>
    <row r="7" spans="1:242" x14ac:dyDescent="0.45">
      <c r="A7" s="895" t="s">
        <v>276</v>
      </c>
      <c r="B7" s="896"/>
      <c r="C7" s="81">
        <f>'Income Stmt'!C44</f>
        <v>-5346903.7165688919</v>
      </c>
      <c r="D7" s="81">
        <f>'Income Stmt'!D44</f>
        <v>-4937754.5570717733</v>
      </c>
      <c r="E7" s="81">
        <f>'Income Stmt'!E44</f>
        <v>-4910961.0479607107</v>
      </c>
      <c r="F7" s="81">
        <f>'Income Stmt'!F44</f>
        <v>-4884022.4073419664</v>
      </c>
      <c r="G7" s="81">
        <f>'Income Stmt'!G44</f>
        <v>-4856937.8490865342</v>
      </c>
      <c r="H7" s="81">
        <f>'Income Stmt'!H44</f>
        <v>-4829706.5828072205</v>
      </c>
      <c r="I7" s="81">
        <f>'Income Stmt'!I44</f>
        <v>-4802327.8138355594</v>
      </c>
      <c r="J7" s="81">
        <f>'Income Stmt'!J44</f>
        <v>-4774800.7431986332</v>
      </c>
      <c r="K7" s="81">
        <f>'Income Stmt'!K44</f>
        <v>-4747124.5675957594</v>
      </c>
      <c r="L7" s="81">
        <f>'Income Stmt'!L44</f>
        <v>-4719298.4793750374</v>
      </c>
      <c r="M7" s="81">
        <f>'Income Stmt'!M44</f>
        <v>-4691321.6665097848</v>
      </c>
      <c r="N7" s="81">
        <f>'Income Stmt'!N44</f>
        <v>-4663193.3125748467</v>
      </c>
      <c r="O7" s="81">
        <f>'Income Stmt'!O44</f>
        <v>-10571620.234054705</v>
      </c>
      <c r="P7" s="81">
        <f>'Income Stmt'!P44</f>
        <v>-10403186.330991752</v>
      </c>
      <c r="Q7" s="81">
        <f>'Income Stmt'!Q44</f>
        <v>-10374598.410953876</v>
      </c>
      <c r="R7" s="81">
        <f>'Income Stmt'!R44</f>
        <v>-10345855.639682462</v>
      </c>
      <c r="S7" s="81">
        <f>'Income Stmt'!S44</f>
        <v>-10316957.178399993</v>
      </c>
      <c r="T7" s="81">
        <f>'Income Stmt'!T44</f>
        <v>-10287902.183785578</v>
      </c>
      <c r="U7" s="81">
        <f>'Income Stmt'!U44</f>
        <v>-10258689.807950336</v>
      </c>
      <c r="V7" s="81">
        <f>'Income Stmt'!V44</f>
        <v>-10229319.198412651</v>
      </c>
      <c r="W7" s="81">
        <f>'Income Stmt'!W44</f>
        <v>-10199789.498073306</v>
      </c>
      <c r="X7" s="81">
        <f>'Income Stmt'!X44</f>
        <v>-10170099.845190454</v>
      </c>
      <c r="Y7" s="81">
        <f>'Income Stmt'!Y44</f>
        <v>-10140249.373354489</v>
      </c>
      <c r="Z7" s="81">
        <f>'Income Stmt'!Z44</f>
        <v>-10110237.211462744</v>
      </c>
      <c r="AA7" s="81">
        <f>'Income Stmt'!AA44</f>
        <v>-5282892.4991329536</v>
      </c>
      <c r="AB7" s="81">
        <f>'Income Stmt'!AB44</f>
        <v>-5252554.3249222152</v>
      </c>
      <c r="AC7" s="81">
        <f>'Income Stmt'!AC44</f>
        <v>-5222051.8189345021</v>
      </c>
      <c r="AD7" s="81">
        <f>'Income Stmt'!AD44</f>
        <v>-5191384.091039354</v>
      </c>
      <c r="AE7" s="81">
        <f>'Income Stmt'!AE44</f>
        <v>-5160550.2462847754</v>
      </c>
      <c r="AF7" s="81">
        <f>'Income Stmt'!AF44</f>
        <v>-5129549.3848711103</v>
      </c>
      <c r="AG7" s="81">
        <f>'Income Stmt'!AG44</f>
        <v>-5098380.602124786</v>
      </c>
      <c r="AH7" s="81">
        <f>'Income Stmt'!AH44</f>
        <v>-5067042.9884719197</v>
      </c>
      <c r="AI7" s="81">
        <f>'Income Stmt'!AI44</f>
        <v>-5035535.6294117682</v>
      </c>
      <c r="AJ7" s="81">
        <f>'Income Stmt'!AJ44</f>
        <v>-5003857.6054900391</v>
      </c>
      <c r="AK7" s="81">
        <f>'Income Stmt'!AK44</f>
        <v>-4972007.9922720678</v>
      </c>
      <c r="AL7" s="81">
        <f>'Income Stmt'!AL44</f>
        <v>-4939985.8603158332</v>
      </c>
      <c r="AM7" s="81">
        <f>'Income Stmt'!AM44</f>
        <v>-1290556.686170781</v>
      </c>
      <c r="AN7" s="81">
        <f>'Income Stmt'!AN44</f>
        <v>-1258186.7082467726</v>
      </c>
      <c r="AO7" s="81">
        <f>'Income Stmt'!AO44</f>
        <v>-1225641.3929423438</v>
      </c>
      <c r="AP7" s="81">
        <f>'Income Stmt'!AP44</f>
        <v>-1192919.7905133492</v>
      </c>
      <c r="AQ7" s="81">
        <f>'Income Stmt'!AQ44</f>
        <v>-1160020.9460711973</v>
      </c>
      <c r="AR7" s="81">
        <f>'Income Stmt'!AR44</f>
        <v>-1126943.8995549837</v>
      </c>
      <c r="AS7" s="81">
        <f>'Income Stmt'!AS44</f>
        <v>-1093687.6857034736</v>
      </c>
      <c r="AT7" s="81">
        <f>'Income Stmt'!AT44</f>
        <v>-1060251.334026935</v>
      </c>
      <c r="AU7" s="81">
        <f>'Income Stmt'!AU44</f>
        <v>-1026633.8687788155</v>
      </c>
      <c r="AV7" s="81">
        <f>'Income Stmt'!AV44</f>
        <v>-992834.30892726779</v>
      </c>
      <c r="AW7" s="81">
        <f>'Income Stmt'!AW44</f>
        <v>-958851.66812652489</v>
      </c>
      <c r="AX7" s="81">
        <f>'Income Stmt'!AX44</f>
        <v>-924684.95468811039</v>
      </c>
      <c r="AY7" s="81">
        <f>'Income Stmt'!AY44</f>
        <v>2860158.5361687187</v>
      </c>
      <c r="AZ7" s="81">
        <f>'Income Stmt'!AZ44</f>
        <v>2889515.7131693494</v>
      </c>
      <c r="BA7" s="81">
        <f>'Income Stmt'!BA44</f>
        <v>2919031.9082120662</v>
      </c>
      <c r="BB7" s="81">
        <f>'Income Stmt'!BB44</f>
        <v>2948707.9826445989</v>
      </c>
      <c r="BC7" s="81">
        <f>'Income Stmt'!BC44</f>
        <v>2978544.8024803074</v>
      </c>
      <c r="BD7" s="81">
        <f>'Income Stmt'!BD44</f>
        <v>3008543.2384234592</v>
      </c>
      <c r="BE7" s="81">
        <f>'Income Stmt'!BE44</f>
        <v>3038704.1658946369</v>
      </c>
      <c r="BF7" s="81">
        <f>'Income Stmt'!BF44</f>
        <v>3069028.4650562829</v>
      </c>
      <c r="BG7" s="81">
        <f>'Income Stmt'!BG44</f>
        <v>3099517.0208383878</v>
      </c>
      <c r="BH7" s="81">
        <f>'Income Stmt'!BH44</f>
        <v>3130170.7229643124</v>
      </c>
      <c r="BI7" s="81">
        <f>'Income Stmt'!BI44</f>
        <v>3160990.4659767528</v>
      </c>
      <c r="BJ7" s="81">
        <f>'Income Stmt'!BJ44</f>
        <v>3191977.1492638439</v>
      </c>
      <c r="BK7" s="81">
        <f>'Income Stmt'!BK44</f>
        <v>5644417.4107049126</v>
      </c>
      <c r="BL7" s="81">
        <f>'Income Stmt'!BL44</f>
        <v>5675740.692218842</v>
      </c>
      <c r="BM7" s="81">
        <f>'Income Stmt'!BM44</f>
        <v>5707233.6415076395</v>
      </c>
      <c r="BN7" s="81">
        <f>'Income Stmt'!BN44</f>
        <v>5738897.1776050823</v>
      </c>
      <c r="BO7" s="81">
        <f>'Income Stmt'!BO44</f>
        <v>5770732.2245230554</v>
      </c>
      <c r="BP7" s="81">
        <f>'Income Stmt'!BP44</f>
        <v>5802739.7112785</v>
      </c>
      <c r="BQ7" s="81">
        <f>'Income Stmt'!BQ44</f>
        <v>5834920.5719205355</v>
      </c>
      <c r="BR7" s="81">
        <f>'Income Stmt'!BR44</f>
        <v>5867275.745557717</v>
      </c>
      <c r="BS7" s="81">
        <f>'Income Stmt'!BS44</f>
        <v>5899806.1763854325</v>
      </c>
      <c r="BT7" s="81">
        <f>'Income Stmt'!BT44</f>
        <v>5932512.8137134649</v>
      </c>
      <c r="BU7" s="81">
        <f>'Income Stmt'!BU44</f>
        <v>5965396.611993691</v>
      </c>
      <c r="BV7" s="81">
        <f>'Income Stmt'!BV44</f>
        <v>5998458.530847935</v>
      </c>
      <c r="BW7" s="81">
        <f>'Income Stmt'!BW44</f>
        <v>6356431.0175719354</v>
      </c>
      <c r="BX7" s="81">
        <f>'Income Stmt'!BX44</f>
        <v>6389852.0772596486</v>
      </c>
      <c r="BY7" s="81">
        <f>'Income Stmt'!BY44</f>
        <v>6423454.1676873388</v>
      </c>
      <c r="BZ7" s="81">
        <f>'Income Stmt'!BZ44</f>
        <v>6457238.2694381783</v>
      </c>
      <c r="CA7" s="81">
        <f>'Income Stmt'!CA44</f>
        <v>6491205.368406835</v>
      </c>
      <c r="CB7" s="81">
        <f>'Income Stmt'!CB44</f>
        <v>6525356.4558282383</v>
      </c>
      <c r="CC7" s="81">
        <f>'Income Stmt'!CC44</f>
        <v>6559692.5283065075</v>
      </c>
      <c r="CD7" s="81">
        <f>'Income Stmt'!CD44</f>
        <v>6594214.5878440347</v>
      </c>
      <c r="CE7" s="81">
        <f>'Income Stmt'!CE44</f>
        <v>6628923.6418707222</v>
      </c>
      <c r="CF7" s="81">
        <f>'Income Stmt'!CF44</f>
        <v>6663820.7032733886</v>
      </c>
      <c r="CG7" s="81">
        <f>'Income Stmt'!CG44</f>
        <v>6698906.7904253192</v>
      </c>
      <c r="CH7" s="81">
        <f>'Income Stmt'!CH44</f>
        <v>6734182.9272159897</v>
      </c>
      <c r="CI7" s="81">
        <f>'Income Stmt'!CI44</f>
        <v>6769650.1430809423</v>
      </c>
      <c r="CJ7" s="81">
        <f>'Income Stmt'!CJ44</f>
        <v>6805309.47303183</v>
      </c>
      <c r="CK7" s="81">
        <f>'Income Stmt'!CK44</f>
        <v>6841161.9576866198</v>
      </c>
      <c r="CL7" s="81">
        <f>'Income Stmt'!CL44</f>
        <v>6877208.6432999549</v>
      </c>
      <c r="CM7" s="81">
        <f>'Income Stmt'!CM44</f>
        <v>6913450.5817936966</v>
      </c>
      <c r="CN7" s="81">
        <f>'Income Stmt'!CN44</f>
        <v>6909945.5084437151</v>
      </c>
      <c r="CO7" s="81">
        <f>'Income Stmt'!CO44</f>
        <v>6946581.1312863473</v>
      </c>
      <c r="CP7" s="81">
        <f>'Income Stmt'!CP44</f>
        <v>6983415.1970860446</v>
      </c>
      <c r="CQ7" s="81">
        <f>'Income Stmt'!CQ44</f>
        <v>7020448.7807421573</v>
      </c>
      <c r="CR7" s="81">
        <f>'Income Stmt'!CR44</f>
        <v>7057682.9629764054</v>
      </c>
      <c r="CS7" s="81">
        <f>'Income Stmt'!CS44</f>
        <v>7095118.8303644247</v>
      </c>
      <c r="CT7" s="81">
        <f>'Income Stmt'!CT44</f>
        <v>7132757.4753674604</v>
      </c>
      <c r="CU7" s="81">
        <f>'Income Stmt'!CU44</f>
        <v>7788249.1760288067</v>
      </c>
      <c r="CV7" s="81">
        <f>'Income Stmt'!CV44</f>
        <v>7826296.677347675</v>
      </c>
      <c r="CW7" s="81">
        <f>'Income Stmt'!CW44</f>
        <v>7864550.2692986876</v>
      </c>
      <c r="CX7" s="81">
        <f>'Income Stmt'!CX44</f>
        <v>7903011.0682061026</v>
      </c>
      <c r="CY7" s="81">
        <f>'Income Stmt'!CY44</f>
        <v>7941680.1964409314</v>
      </c>
      <c r="CZ7" s="81">
        <f>'Income Stmt'!CZ44</f>
        <v>7980558.7824537</v>
      </c>
      <c r="DA7" s="81">
        <f>'Income Stmt'!DA44</f>
        <v>8019647.96080737</v>
      </c>
      <c r="DB7" s="81">
        <f>'Income Stmt'!DB44</f>
        <v>8058948.8722104551</v>
      </c>
      <c r="DC7" s="81">
        <f>'Income Stmt'!DC44</f>
        <v>8098462.6635503089</v>
      </c>
      <c r="DD7" s="81">
        <f>'Income Stmt'!DD44</f>
        <v>8138190.4879265856</v>
      </c>
      <c r="DE7" s="81">
        <f>'Income Stmt'!DE44</f>
        <v>8178133.5046849018</v>
      </c>
      <c r="DF7" s="81">
        <f>'Income Stmt'!DF44</f>
        <v>8218292.8794506583</v>
      </c>
      <c r="DG7" s="81">
        <f>'Income Stmt'!DG44</f>
        <v>8218726.4618191645</v>
      </c>
      <c r="DH7" s="81">
        <f>'Income Stmt'!DH44</f>
        <v>8259322.074765427</v>
      </c>
      <c r="DI7" s="81">
        <f>'Income Stmt'!DI44</f>
        <v>8300137.5806151498</v>
      </c>
      <c r="DJ7" s="81">
        <f>'Income Stmt'!DJ44</f>
        <v>8341174.1704548895</v>
      </c>
      <c r="DK7" s="81">
        <f>'Income Stmt'!DK44</f>
        <v>8382433.0418229308</v>
      </c>
      <c r="DL7" s="81">
        <f>'Income Stmt'!DL44</f>
        <v>8423915.3987442125</v>
      </c>
      <c r="DM7" s="81">
        <f>'Income Stmt'!DM44</f>
        <v>8465622.4517654851</v>
      </c>
      <c r="DN7" s="81">
        <f>'Income Stmt'!DN44</f>
        <v>8507555.4179906249</v>
      </c>
      <c r="DO7" s="81">
        <f>'Income Stmt'!DO44</f>
        <v>8549715.5211161505</v>
      </c>
      <c r="DP7" s="81">
        <f>'Income Stmt'!DP44</f>
        <v>8592103.9914669376</v>
      </c>
      <c r="DQ7" s="81">
        <f>'Income Stmt'!DQ44</f>
        <v>8634722.0660321265</v>
      </c>
      <c r="DR7" s="81">
        <f>'Income Stmt'!DR44</f>
        <v>8677570.9885012098</v>
      </c>
      <c r="DS7" s="81">
        <f>'Income Stmt'!DS44</f>
        <v>9338301.1889648773</v>
      </c>
      <c r="DT7" s="81">
        <f>'Income Stmt'!DT44</f>
        <v>9338301.1889648773</v>
      </c>
      <c r="DU7" s="81">
        <f>'Income Stmt'!DU44</f>
        <v>9338301.1889648773</v>
      </c>
      <c r="DV7" s="81">
        <f>'Income Stmt'!DV44</f>
        <v>9338301.1889648773</v>
      </c>
      <c r="DW7" s="81">
        <f>'Income Stmt'!DW44</f>
        <v>9338301.1889648773</v>
      </c>
      <c r="DX7" s="81">
        <f>'Income Stmt'!DX44</f>
        <v>9338301.1889648773</v>
      </c>
      <c r="DY7" s="81">
        <f>'Income Stmt'!DY44</f>
        <v>9338301.1889648773</v>
      </c>
      <c r="DZ7" s="81">
        <f>'Income Stmt'!DZ44</f>
        <v>9338301.1889648773</v>
      </c>
      <c r="EA7" s="81">
        <f>'Income Stmt'!EA44</f>
        <v>9338301.1889648773</v>
      </c>
      <c r="EB7" s="81">
        <f>'Income Stmt'!EB44</f>
        <v>9338301.1889648773</v>
      </c>
      <c r="EC7" s="81">
        <f>'Income Stmt'!EC44</f>
        <v>9338301.1889648773</v>
      </c>
      <c r="ED7" s="81">
        <f>'Income Stmt'!ED44</f>
        <v>9338301.1889648773</v>
      </c>
      <c r="EE7" s="81">
        <f>'Income Stmt'!EE44</f>
        <v>9298357.8666209783</v>
      </c>
      <c r="EF7" s="81">
        <f>'Income Stmt'!EF44</f>
        <v>9298357.8666209783</v>
      </c>
      <c r="EG7" s="81">
        <f>'Income Stmt'!EG44</f>
        <v>9298357.8666209783</v>
      </c>
      <c r="EH7" s="81">
        <f>'Income Stmt'!EH44</f>
        <v>9298357.8666209783</v>
      </c>
      <c r="EI7" s="81">
        <f>'Income Stmt'!EI44</f>
        <v>9298357.8666209783</v>
      </c>
      <c r="EJ7" s="81">
        <f>'Income Stmt'!EJ44</f>
        <v>9298357.8666209783</v>
      </c>
      <c r="EK7" s="81">
        <f>'Income Stmt'!EK44</f>
        <v>9298357.8666209783</v>
      </c>
      <c r="EL7" s="81">
        <f>'Income Stmt'!EL44</f>
        <v>9298357.8666209783</v>
      </c>
      <c r="EM7" s="81">
        <f>'Income Stmt'!EM44</f>
        <v>9298357.8666209783</v>
      </c>
      <c r="EN7" s="81">
        <f>'Income Stmt'!EN44</f>
        <v>9298357.8666209783</v>
      </c>
      <c r="EO7" s="81">
        <f>'Income Stmt'!EO44</f>
        <v>9298357.8666209783</v>
      </c>
      <c r="EP7" s="81">
        <f>'Income Stmt'!EP44</f>
        <v>9298357.8666209783</v>
      </c>
      <c r="EQ7" s="81">
        <f>'Income Stmt'!EQ44</f>
        <v>9916007.0462855231</v>
      </c>
      <c r="ER7" s="81">
        <f>'Income Stmt'!ER44</f>
        <v>9916007.0462855231</v>
      </c>
      <c r="ES7" s="81">
        <f>'Income Stmt'!ES44</f>
        <v>9916007.0462855231</v>
      </c>
      <c r="ET7" s="81">
        <f>'Income Stmt'!ET44</f>
        <v>9916007.0462855231</v>
      </c>
      <c r="EU7" s="81">
        <f>'Income Stmt'!EU44</f>
        <v>9916007.0462855231</v>
      </c>
      <c r="EV7" s="81">
        <f>'Income Stmt'!EV44</f>
        <v>9916007.0462855231</v>
      </c>
      <c r="EW7" s="81">
        <f>'Income Stmt'!EW44</f>
        <v>9916007.0462855231</v>
      </c>
      <c r="EX7" s="81">
        <f>'Income Stmt'!EX44</f>
        <v>9916007.0462855231</v>
      </c>
      <c r="EY7" s="81">
        <f>'Income Stmt'!EY44</f>
        <v>9916007.0462855231</v>
      </c>
      <c r="EZ7" s="81">
        <f>'Income Stmt'!EZ44</f>
        <v>9916007.0462855231</v>
      </c>
      <c r="FA7" s="81">
        <f>'Income Stmt'!FA44</f>
        <v>9916007.0462855231</v>
      </c>
      <c r="FB7" s="81">
        <f>'Income Stmt'!FB44</f>
        <v>9916007.0462855231</v>
      </c>
      <c r="FC7" s="81">
        <f>'Income Stmt'!FC44</f>
        <v>9876063.7239416223</v>
      </c>
      <c r="FD7" s="81">
        <f>'Income Stmt'!FD44</f>
        <v>9876063.7239416223</v>
      </c>
      <c r="FE7" s="81">
        <f>'Income Stmt'!FE44</f>
        <v>9876063.7239416223</v>
      </c>
      <c r="FF7" s="81">
        <f>'Income Stmt'!FF44</f>
        <v>9876063.7239416223</v>
      </c>
      <c r="FG7" s="81">
        <f>'Income Stmt'!FG44</f>
        <v>9876063.7239416223</v>
      </c>
      <c r="FH7" s="81">
        <f>'Income Stmt'!FH44</f>
        <v>9876063.7239416223</v>
      </c>
      <c r="FI7" s="81">
        <f>'Income Stmt'!FI44</f>
        <v>9876063.7239416223</v>
      </c>
      <c r="FJ7" s="81">
        <f>'Income Stmt'!FJ44</f>
        <v>9876063.7239416223</v>
      </c>
      <c r="FK7" s="81">
        <f>'Income Stmt'!FK44</f>
        <v>9876063.7239416223</v>
      </c>
      <c r="FL7" s="81">
        <f>'Income Stmt'!FL44</f>
        <v>9876063.7239416223</v>
      </c>
      <c r="FM7" s="81">
        <f>'Income Stmt'!FM44</f>
        <v>9876063.7239416223</v>
      </c>
      <c r="FN7" s="81">
        <f>'Income Stmt'!FN44</f>
        <v>9876063.7239416223</v>
      </c>
      <c r="FO7" s="81">
        <f>'Income Stmt'!FO44</f>
        <v>10493712.903606161</v>
      </c>
      <c r="FP7" s="81">
        <f>'Income Stmt'!FP44</f>
        <v>10493712.903606161</v>
      </c>
      <c r="FQ7" s="81">
        <f>'Income Stmt'!FQ44</f>
        <v>10493712.903606161</v>
      </c>
      <c r="FR7" s="81">
        <f>'Income Stmt'!FR44</f>
        <v>10493712.903606161</v>
      </c>
      <c r="FS7" s="81">
        <f>'Income Stmt'!FS44</f>
        <v>10493712.903606161</v>
      </c>
      <c r="FT7" s="81">
        <f>'Income Stmt'!FT44</f>
        <v>10493712.903606161</v>
      </c>
      <c r="FU7" s="81">
        <f>'Income Stmt'!FU44</f>
        <v>10493712.903606161</v>
      </c>
      <c r="FV7" s="81">
        <f>'Income Stmt'!FV44</f>
        <v>10493712.903606161</v>
      </c>
      <c r="FW7" s="81">
        <f>'Income Stmt'!FW44</f>
        <v>10493712.903606161</v>
      </c>
      <c r="FX7" s="81">
        <f>'Income Stmt'!FX44</f>
        <v>10493712.903606161</v>
      </c>
      <c r="FY7" s="81">
        <f>'Income Stmt'!FY44</f>
        <v>10493712.903606161</v>
      </c>
      <c r="FZ7" s="81">
        <f>'Income Stmt'!FZ44</f>
        <v>10493712.903606161</v>
      </c>
      <c r="GA7" s="81">
        <f>'Income Stmt'!GA44</f>
        <v>10453769.581262264</v>
      </c>
      <c r="GB7" s="81">
        <f>'Income Stmt'!GB44</f>
        <v>10453769.581262264</v>
      </c>
      <c r="GC7" s="81">
        <f>'Income Stmt'!GC44</f>
        <v>10453769.581262264</v>
      </c>
      <c r="GD7" s="81">
        <f>'Income Stmt'!GD44</f>
        <v>10453769.581262264</v>
      </c>
      <c r="GE7" s="81">
        <f>'Income Stmt'!GE44</f>
        <v>10453769.581262264</v>
      </c>
      <c r="GF7" s="81">
        <f>'Income Stmt'!GF44</f>
        <v>10453769.581262264</v>
      </c>
      <c r="GG7" s="81">
        <f>'Income Stmt'!GG44</f>
        <v>10453769.581262264</v>
      </c>
      <c r="GH7" s="81">
        <f>'Income Stmt'!GH44</f>
        <v>10453769.581262264</v>
      </c>
      <c r="GI7" s="81">
        <f>'Income Stmt'!GI44</f>
        <v>10453769.581262264</v>
      </c>
      <c r="GJ7" s="81">
        <f>'Income Stmt'!GJ44</f>
        <v>10453769.581262264</v>
      </c>
      <c r="GK7" s="81">
        <f>'Income Stmt'!GK44</f>
        <v>10453769.581262264</v>
      </c>
      <c r="GL7" s="81">
        <f>'Income Stmt'!GL44</f>
        <v>10453769.581262264</v>
      </c>
      <c r="GM7" s="81">
        <f>'Income Stmt'!GM44</f>
        <v>15961972.785992295</v>
      </c>
      <c r="GN7" s="81">
        <f>'Income Stmt'!GN44</f>
        <v>15961972.785992295</v>
      </c>
      <c r="GO7" s="81">
        <f>'Income Stmt'!GO44</f>
        <v>15961972.785992295</v>
      </c>
      <c r="GP7" s="81">
        <f>'Income Stmt'!GP44</f>
        <v>15961972.785992295</v>
      </c>
      <c r="GQ7" s="81">
        <f>'Income Stmt'!GQ44</f>
        <v>15961972.785992295</v>
      </c>
      <c r="GR7" s="81">
        <f>'Income Stmt'!GR44</f>
        <v>15961972.785992295</v>
      </c>
      <c r="GS7" s="81">
        <f>'Income Stmt'!GS44</f>
        <v>15961972.785992295</v>
      </c>
      <c r="GT7" s="81">
        <f>'Income Stmt'!GT44</f>
        <v>15961972.785992295</v>
      </c>
      <c r="GU7" s="81">
        <f>'Income Stmt'!GU44</f>
        <v>15961972.785992295</v>
      </c>
      <c r="GV7" s="81">
        <f>'Income Stmt'!GV44</f>
        <v>15961972.785992295</v>
      </c>
      <c r="GW7" s="81">
        <f>'Income Stmt'!GW44</f>
        <v>15961972.785992295</v>
      </c>
      <c r="GX7" s="81">
        <f>'Income Stmt'!GX44</f>
        <v>15961972.785992295</v>
      </c>
      <c r="GY7" s="81">
        <f>'Income Stmt'!GY44</f>
        <v>15922029.463648397</v>
      </c>
      <c r="GZ7" s="81">
        <f>'Income Stmt'!GZ44</f>
        <v>15922029.463648397</v>
      </c>
      <c r="HA7" s="81">
        <f>'Income Stmt'!HA44</f>
        <v>15922029.463648397</v>
      </c>
      <c r="HB7" s="81">
        <f>'Income Stmt'!HB44</f>
        <v>15922029.463648397</v>
      </c>
      <c r="HC7" s="81">
        <f>'Income Stmt'!HC44</f>
        <v>15922029.463648397</v>
      </c>
      <c r="HD7" s="81">
        <f>'Income Stmt'!HD44</f>
        <v>15922029.463648397</v>
      </c>
      <c r="HE7" s="81">
        <f>'Income Stmt'!HE44</f>
        <v>15922029.463648397</v>
      </c>
      <c r="HF7" s="81">
        <f>'Income Stmt'!HF44</f>
        <v>15922029.463648397</v>
      </c>
      <c r="HG7" s="81">
        <f>'Income Stmt'!HG44</f>
        <v>15922029.463648397</v>
      </c>
      <c r="HH7" s="81">
        <f>'Income Stmt'!HH44</f>
        <v>15922029.463648397</v>
      </c>
      <c r="HI7" s="81">
        <f>'Income Stmt'!HI44</f>
        <v>15922029.463648397</v>
      </c>
      <c r="HJ7" s="81">
        <f>'Income Stmt'!HJ44</f>
        <v>15922029.463648397</v>
      </c>
      <c r="HK7" s="81">
        <f>'Income Stmt'!HK44</f>
        <v>16579621.96565683</v>
      </c>
      <c r="HL7" s="81">
        <f>'Income Stmt'!HL44</f>
        <v>16579621.96565683</v>
      </c>
      <c r="HM7" s="81">
        <f>'Income Stmt'!HM44</f>
        <v>16579621.96565683</v>
      </c>
      <c r="HN7" s="81">
        <f>'Income Stmt'!HN44</f>
        <v>16579621.96565683</v>
      </c>
      <c r="HO7" s="81">
        <f>'Income Stmt'!HO44</f>
        <v>16579621.96565683</v>
      </c>
      <c r="HP7" s="81">
        <f>'Income Stmt'!HP44</f>
        <v>16579621.96565683</v>
      </c>
      <c r="HQ7" s="81">
        <f>'Income Stmt'!HQ44</f>
        <v>16579621.96565683</v>
      </c>
      <c r="HR7" s="81">
        <f>'Income Stmt'!HR44</f>
        <v>16579621.96565683</v>
      </c>
      <c r="HS7" s="81">
        <f>'Income Stmt'!HS44</f>
        <v>16579621.96565683</v>
      </c>
      <c r="HT7" s="81">
        <f>'Income Stmt'!HT44</f>
        <v>16579621.96565683</v>
      </c>
      <c r="HU7" s="81">
        <f>'Income Stmt'!HU44</f>
        <v>16579621.96565683</v>
      </c>
      <c r="HV7" s="81">
        <f>'Income Stmt'!HV44</f>
        <v>16579621.96565683</v>
      </c>
      <c r="HW7" s="81">
        <f>'Income Stmt'!HW44</f>
        <v>16579621.96565683</v>
      </c>
      <c r="HX7" s="81">
        <f>'Income Stmt'!HX44</f>
        <v>16579621.96565683</v>
      </c>
      <c r="HY7" s="81">
        <f>'Income Stmt'!HY44</f>
        <v>16579621.96565683</v>
      </c>
      <c r="HZ7" s="81">
        <f>'Income Stmt'!HZ44</f>
        <v>16579621.96565683</v>
      </c>
      <c r="IA7" s="81">
        <f>'Income Stmt'!IA44</f>
        <v>16579621.96565683</v>
      </c>
      <c r="IB7" s="81">
        <f>'Income Stmt'!IB44</f>
        <v>16579621.96565683</v>
      </c>
      <c r="IC7" s="81">
        <f>'Income Stmt'!IC44</f>
        <v>16579621.96565683</v>
      </c>
      <c r="ID7" s="81">
        <f>'Income Stmt'!ID44</f>
        <v>16579621.96565683</v>
      </c>
      <c r="IE7" s="81">
        <f>'Income Stmt'!IE44</f>
        <v>16579621.96565683</v>
      </c>
      <c r="IF7" s="81">
        <f>'Income Stmt'!IF44</f>
        <v>16579621.96565683</v>
      </c>
      <c r="IG7" s="81">
        <f>'Income Stmt'!IG44</f>
        <v>16579621.96565683</v>
      </c>
      <c r="IH7" s="81">
        <f>'Income Stmt'!IH44</f>
        <v>16579621.96565683</v>
      </c>
    </row>
    <row r="8" spans="1:242" x14ac:dyDescent="0.45">
      <c r="A8" s="895" t="s">
        <v>303</v>
      </c>
      <c r="B8" s="896"/>
      <c r="C8" s="81">
        <f>'Income Stmt'!C40</f>
        <v>0</v>
      </c>
      <c r="D8" s="81">
        <f>'Income Stmt'!D40</f>
        <v>0</v>
      </c>
      <c r="E8" s="81">
        <f>'Income Stmt'!E40</f>
        <v>0</v>
      </c>
      <c r="F8" s="81">
        <f>'Income Stmt'!F40</f>
        <v>0</v>
      </c>
      <c r="G8" s="81">
        <f>'Income Stmt'!G40</f>
        <v>0</v>
      </c>
      <c r="H8" s="81">
        <f>'Income Stmt'!H40</f>
        <v>0</v>
      </c>
      <c r="I8" s="81">
        <f>'Income Stmt'!I40</f>
        <v>0</v>
      </c>
      <c r="J8" s="81">
        <f>'Income Stmt'!J40</f>
        <v>0</v>
      </c>
      <c r="K8" s="81">
        <f>'Income Stmt'!K40</f>
        <v>0</v>
      </c>
      <c r="L8" s="81">
        <f>'Income Stmt'!L40</f>
        <v>0</v>
      </c>
      <c r="M8" s="81">
        <f>'Income Stmt'!M40</f>
        <v>0</v>
      </c>
      <c r="N8" s="81">
        <f>'Income Stmt'!N40</f>
        <v>0</v>
      </c>
      <c r="O8" s="81">
        <f>'Income Stmt'!O40</f>
        <v>5753592.9706652779</v>
      </c>
      <c r="P8" s="81">
        <f>'Income Stmt'!P40</f>
        <v>5753592.9706652779</v>
      </c>
      <c r="Q8" s="81">
        <f>'Income Stmt'!Q40</f>
        <v>5753592.9706652779</v>
      </c>
      <c r="R8" s="81">
        <f>'Income Stmt'!R40</f>
        <v>5753592.9706652779</v>
      </c>
      <c r="S8" s="81">
        <f>'Income Stmt'!S40</f>
        <v>5753592.9706652779</v>
      </c>
      <c r="T8" s="81">
        <f>'Income Stmt'!T40</f>
        <v>5753592.9706652779</v>
      </c>
      <c r="U8" s="81">
        <f>'Income Stmt'!U40</f>
        <v>5753592.9706652779</v>
      </c>
      <c r="V8" s="81">
        <f>'Income Stmt'!V40</f>
        <v>5753592.9706652779</v>
      </c>
      <c r="W8" s="81">
        <f>'Income Stmt'!W40</f>
        <v>5753592.9706652779</v>
      </c>
      <c r="X8" s="81">
        <f>'Income Stmt'!X40</f>
        <v>5753592.9706652779</v>
      </c>
      <c r="Y8" s="81">
        <f>'Income Stmt'!Y40</f>
        <v>5753592.9706652779</v>
      </c>
      <c r="Z8" s="81">
        <f>'Income Stmt'!Z40</f>
        <v>5753592.9706652779</v>
      </c>
      <c r="AA8" s="81">
        <f>'Income Stmt'!AA40</f>
        <v>5753592.9706652779</v>
      </c>
      <c r="AB8" s="81">
        <f>'Income Stmt'!AB40</f>
        <v>5753592.9706652779</v>
      </c>
      <c r="AC8" s="81">
        <f>'Income Stmt'!AC40</f>
        <v>5753592.9706652779</v>
      </c>
      <c r="AD8" s="81">
        <f>'Income Stmt'!AD40</f>
        <v>5753592.9706652779</v>
      </c>
      <c r="AE8" s="81">
        <f>'Income Stmt'!AE40</f>
        <v>5753592.9706652779</v>
      </c>
      <c r="AF8" s="81">
        <f>'Income Stmt'!AF40</f>
        <v>5753592.9706652779</v>
      </c>
      <c r="AG8" s="81">
        <f>'Income Stmt'!AG40</f>
        <v>5753592.9706652779</v>
      </c>
      <c r="AH8" s="81">
        <f>'Income Stmt'!AH40</f>
        <v>5753592.9706652779</v>
      </c>
      <c r="AI8" s="81">
        <f>'Income Stmt'!AI40</f>
        <v>5753592.9706652779</v>
      </c>
      <c r="AJ8" s="81">
        <f>'Income Stmt'!AJ40</f>
        <v>5753592.9706652779</v>
      </c>
      <c r="AK8" s="81">
        <f>'Income Stmt'!AK40</f>
        <v>5753592.9706652779</v>
      </c>
      <c r="AL8" s="81">
        <f>'Income Stmt'!AL40</f>
        <v>5753592.9706652779</v>
      </c>
      <c r="AM8" s="81">
        <f>'Income Stmt'!AM40</f>
        <v>5753592.9706652779</v>
      </c>
      <c r="AN8" s="81">
        <f>'Income Stmt'!AN40</f>
        <v>5753592.9706652779</v>
      </c>
      <c r="AO8" s="81">
        <f>'Income Stmt'!AO40</f>
        <v>5753592.9706652779</v>
      </c>
      <c r="AP8" s="81">
        <f>'Income Stmt'!AP40</f>
        <v>5753592.9706652779</v>
      </c>
      <c r="AQ8" s="81">
        <f>'Income Stmt'!AQ40</f>
        <v>5753592.9706652779</v>
      </c>
      <c r="AR8" s="81">
        <f>'Income Stmt'!AR40</f>
        <v>5753592.9706652779</v>
      </c>
      <c r="AS8" s="81">
        <f>'Income Stmt'!AS40</f>
        <v>5753592.9706652779</v>
      </c>
      <c r="AT8" s="81">
        <f>'Income Stmt'!AT40</f>
        <v>5753592.9706652779</v>
      </c>
      <c r="AU8" s="81">
        <f>'Income Stmt'!AU40</f>
        <v>5753592.9706652779</v>
      </c>
      <c r="AV8" s="81">
        <f>'Income Stmt'!AV40</f>
        <v>5753592.9706652779</v>
      </c>
      <c r="AW8" s="81">
        <f>'Income Stmt'!AW40</f>
        <v>5753592.9706652779</v>
      </c>
      <c r="AX8" s="81">
        <f>'Income Stmt'!AX40</f>
        <v>5753592.9706652779</v>
      </c>
      <c r="AY8" s="81">
        <f>'Income Stmt'!AY40</f>
        <v>5753592.9706652779</v>
      </c>
      <c r="AZ8" s="81">
        <f>'Income Stmt'!AZ40</f>
        <v>5753592.9706652779</v>
      </c>
      <c r="BA8" s="81">
        <f>'Income Stmt'!BA40</f>
        <v>5753592.9706652779</v>
      </c>
      <c r="BB8" s="81">
        <f>'Income Stmt'!BB40</f>
        <v>5753592.9706652779</v>
      </c>
      <c r="BC8" s="81">
        <f>'Income Stmt'!BC40</f>
        <v>5753592.9706652779</v>
      </c>
      <c r="BD8" s="81">
        <f>'Income Stmt'!BD40</f>
        <v>5753592.9706652779</v>
      </c>
      <c r="BE8" s="81">
        <f>'Income Stmt'!BE40</f>
        <v>5753592.9706652779</v>
      </c>
      <c r="BF8" s="81">
        <f>'Income Stmt'!BF40</f>
        <v>5753592.9706652779</v>
      </c>
      <c r="BG8" s="81">
        <f>'Income Stmt'!BG40</f>
        <v>5753592.9706652779</v>
      </c>
      <c r="BH8" s="81">
        <f>'Income Stmt'!BH40</f>
        <v>5753592.9706652779</v>
      </c>
      <c r="BI8" s="81">
        <f>'Income Stmt'!BI40</f>
        <v>5753592.9706652779</v>
      </c>
      <c r="BJ8" s="81">
        <f>'Income Stmt'!BJ40</f>
        <v>5753592.9706652779</v>
      </c>
      <c r="BK8" s="81">
        <f>'Income Stmt'!BK40</f>
        <v>5753592.9706652779</v>
      </c>
      <c r="BL8" s="81">
        <f>'Income Stmt'!BL40</f>
        <v>5753592.9706652779</v>
      </c>
      <c r="BM8" s="81">
        <f>'Income Stmt'!BM40</f>
        <v>5753592.9706652779</v>
      </c>
      <c r="BN8" s="81">
        <f>'Income Stmt'!BN40</f>
        <v>5753592.9706652779</v>
      </c>
      <c r="BO8" s="81">
        <f>'Income Stmt'!BO40</f>
        <v>5753592.9706652779</v>
      </c>
      <c r="BP8" s="81">
        <f>'Income Stmt'!BP40</f>
        <v>5753592.9706652779</v>
      </c>
      <c r="BQ8" s="81">
        <f>'Income Stmt'!BQ40</f>
        <v>5753592.9706652779</v>
      </c>
      <c r="BR8" s="81">
        <f>'Income Stmt'!BR40</f>
        <v>5753592.9706652779</v>
      </c>
      <c r="BS8" s="81">
        <f>'Income Stmt'!BS40</f>
        <v>5753592.9706652779</v>
      </c>
      <c r="BT8" s="81">
        <f>'Income Stmt'!BT40</f>
        <v>5753592.9706652779</v>
      </c>
      <c r="BU8" s="81">
        <f>'Income Stmt'!BU40</f>
        <v>5753592.9706652779</v>
      </c>
      <c r="BV8" s="81">
        <f>'Income Stmt'!BV40</f>
        <v>5753592.9706652779</v>
      </c>
      <c r="BW8" s="81">
        <f>'Income Stmt'!BW40</f>
        <v>5753592.9706652779</v>
      </c>
      <c r="BX8" s="81">
        <f>'Income Stmt'!BX40</f>
        <v>5753592.9706652779</v>
      </c>
      <c r="BY8" s="81">
        <f>'Income Stmt'!BY40</f>
        <v>5753592.9706652779</v>
      </c>
      <c r="BZ8" s="81">
        <f>'Income Stmt'!BZ40</f>
        <v>5753592.9706652779</v>
      </c>
      <c r="CA8" s="81">
        <f>'Income Stmt'!CA40</f>
        <v>5753592.9706652779</v>
      </c>
      <c r="CB8" s="81">
        <f>'Income Stmt'!CB40</f>
        <v>5753592.9706652779</v>
      </c>
      <c r="CC8" s="81">
        <f>'Income Stmt'!CC40</f>
        <v>5753592.9706652779</v>
      </c>
      <c r="CD8" s="81">
        <f>'Income Stmt'!CD40</f>
        <v>5753592.9706652779</v>
      </c>
      <c r="CE8" s="81">
        <f>'Income Stmt'!CE40</f>
        <v>5753592.9706652779</v>
      </c>
      <c r="CF8" s="81">
        <f>'Income Stmt'!CF40</f>
        <v>5753592.9706652779</v>
      </c>
      <c r="CG8" s="81">
        <f>'Income Stmt'!CG40</f>
        <v>5753592.9706652779</v>
      </c>
      <c r="CH8" s="81">
        <f>'Income Stmt'!CH40</f>
        <v>5753592.9706652779</v>
      </c>
      <c r="CI8" s="81">
        <f>'Income Stmt'!CI40</f>
        <v>5753592.9706652779</v>
      </c>
      <c r="CJ8" s="81">
        <f>'Income Stmt'!CJ40</f>
        <v>5753592.9706652779</v>
      </c>
      <c r="CK8" s="81">
        <f>'Income Stmt'!CK40</f>
        <v>5753592.9706652779</v>
      </c>
      <c r="CL8" s="81">
        <f>'Income Stmt'!CL40</f>
        <v>5753592.9706652779</v>
      </c>
      <c r="CM8" s="81">
        <f>'Income Stmt'!CM40</f>
        <v>5753592.9706652779</v>
      </c>
      <c r="CN8" s="81">
        <f>'Income Stmt'!CN40</f>
        <v>5753592.9706652779</v>
      </c>
      <c r="CO8" s="81">
        <f>'Income Stmt'!CO40</f>
        <v>5753592.9706652779</v>
      </c>
      <c r="CP8" s="81">
        <f>'Income Stmt'!CP40</f>
        <v>5753592.9706652779</v>
      </c>
      <c r="CQ8" s="81">
        <f>'Income Stmt'!CQ40</f>
        <v>5753592.9706652779</v>
      </c>
      <c r="CR8" s="81">
        <f>'Income Stmt'!CR40</f>
        <v>5753592.9706652779</v>
      </c>
      <c r="CS8" s="81">
        <f>'Income Stmt'!CS40</f>
        <v>5753592.9706652779</v>
      </c>
      <c r="CT8" s="81">
        <f>'Income Stmt'!CT40</f>
        <v>5753592.9706652779</v>
      </c>
      <c r="CU8" s="81">
        <f>'Income Stmt'!CU40</f>
        <v>5753592.9706652779</v>
      </c>
      <c r="CV8" s="81">
        <f>'Income Stmt'!CV40</f>
        <v>5753592.9706652779</v>
      </c>
      <c r="CW8" s="81">
        <f>'Income Stmt'!CW40</f>
        <v>5753592.9706652779</v>
      </c>
      <c r="CX8" s="81">
        <f>'Income Stmt'!CX40</f>
        <v>5753592.9706652779</v>
      </c>
      <c r="CY8" s="81">
        <f>'Income Stmt'!CY40</f>
        <v>5753592.9706652779</v>
      </c>
      <c r="CZ8" s="81">
        <f>'Income Stmt'!CZ40</f>
        <v>5753592.9706652779</v>
      </c>
      <c r="DA8" s="81">
        <f>'Income Stmt'!DA40</f>
        <v>5753592.9706652779</v>
      </c>
      <c r="DB8" s="81">
        <f>'Income Stmt'!DB40</f>
        <v>5753592.9706652779</v>
      </c>
      <c r="DC8" s="81">
        <f>'Income Stmt'!DC40</f>
        <v>5753592.9706652779</v>
      </c>
      <c r="DD8" s="81">
        <f>'Income Stmt'!DD40</f>
        <v>5753592.9706652779</v>
      </c>
      <c r="DE8" s="81">
        <f>'Income Stmt'!DE40</f>
        <v>5753592.9706652779</v>
      </c>
      <c r="DF8" s="81">
        <f>'Income Stmt'!DF40</f>
        <v>5753592.9706652779</v>
      </c>
      <c r="DG8" s="81">
        <f>'Income Stmt'!DG40</f>
        <v>5753592.9706652779</v>
      </c>
      <c r="DH8" s="81">
        <f>'Income Stmt'!DH40</f>
        <v>5753592.9706652779</v>
      </c>
      <c r="DI8" s="81">
        <f>'Income Stmt'!DI40</f>
        <v>5753592.9706652779</v>
      </c>
      <c r="DJ8" s="81">
        <f>'Income Stmt'!DJ40</f>
        <v>5753592.9706652779</v>
      </c>
      <c r="DK8" s="81">
        <f>'Income Stmt'!DK40</f>
        <v>5753592.9706652779</v>
      </c>
      <c r="DL8" s="81">
        <f>'Income Stmt'!DL40</f>
        <v>5753592.9706652779</v>
      </c>
      <c r="DM8" s="81">
        <f>'Income Stmt'!DM40</f>
        <v>5753592.9706652779</v>
      </c>
      <c r="DN8" s="81">
        <f>'Income Stmt'!DN40</f>
        <v>5753592.9706652779</v>
      </c>
      <c r="DO8" s="81">
        <f>'Income Stmt'!DO40</f>
        <v>5753592.9706652779</v>
      </c>
      <c r="DP8" s="81">
        <f>'Income Stmt'!DP40</f>
        <v>5753592.9706652779</v>
      </c>
      <c r="DQ8" s="81">
        <f>'Income Stmt'!DQ40</f>
        <v>5753592.9706652779</v>
      </c>
      <c r="DR8" s="81">
        <f>'Income Stmt'!DR40</f>
        <v>5753592.9706652779</v>
      </c>
      <c r="DS8" s="81">
        <f>'Income Stmt'!DS40</f>
        <v>5753592.9706652779</v>
      </c>
      <c r="DT8" s="81">
        <f>'Income Stmt'!DT40</f>
        <v>5753592.9706652779</v>
      </c>
      <c r="DU8" s="81">
        <f>'Income Stmt'!DU40</f>
        <v>5753592.9706652779</v>
      </c>
      <c r="DV8" s="81">
        <f>'Income Stmt'!DV40</f>
        <v>5753592.9706652779</v>
      </c>
      <c r="DW8" s="81">
        <f>'Income Stmt'!DW40</f>
        <v>5753592.9706652779</v>
      </c>
      <c r="DX8" s="81">
        <f>'Income Stmt'!DX40</f>
        <v>5753592.9706652779</v>
      </c>
      <c r="DY8" s="81">
        <f>'Income Stmt'!DY40</f>
        <v>5753592.9706652779</v>
      </c>
      <c r="DZ8" s="81">
        <f>'Income Stmt'!DZ40</f>
        <v>5753592.9706652779</v>
      </c>
      <c r="EA8" s="81">
        <f>'Income Stmt'!EA40</f>
        <v>5753592.9706652779</v>
      </c>
      <c r="EB8" s="81">
        <f>'Income Stmt'!EB40</f>
        <v>5753592.9706652779</v>
      </c>
      <c r="EC8" s="81">
        <f>'Income Stmt'!EC40</f>
        <v>5753592.9706652779</v>
      </c>
      <c r="ED8" s="81">
        <f>'Income Stmt'!ED40</f>
        <v>5753592.9706652779</v>
      </c>
      <c r="EE8" s="81">
        <f>'Income Stmt'!EE40</f>
        <v>5753592.9706652779</v>
      </c>
      <c r="EF8" s="81">
        <f>'Income Stmt'!EF40</f>
        <v>5753592.9706652779</v>
      </c>
      <c r="EG8" s="81">
        <f>'Income Stmt'!EG40</f>
        <v>5753592.9706652779</v>
      </c>
      <c r="EH8" s="81">
        <f>'Income Stmt'!EH40</f>
        <v>5753592.9706652779</v>
      </c>
      <c r="EI8" s="81">
        <f>'Income Stmt'!EI40</f>
        <v>5753592.9706652779</v>
      </c>
      <c r="EJ8" s="81">
        <f>'Income Stmt'!EJ40</f>
        <v>5753592.9706652779</v>
      </c>
      <c r="EK8" s="81">
        <f>'Income Stmt'!EK40</f>
        <v>5753592.9706652779</v>
      </c>
      <c r="EL8" s="81">
        <f>'Income Stmt'!EL40</f>
        <v>5753592.9706652779</v>
      </c>
      <c r="EM8" s="81">
        <f>'Income Stmt'!EM40</f>
        <v>5753592.9706652779</v>
      </c>
      <c r="EN8" s="81">
        <f>'Income Stmt'!EN40</f>
        <v>5753592.9706652779</v>
      </c>
      <c r="EO8" s="81">
        <f>'Income Stmt'!EO40</f>
        <v>5753592.9706652779</v>
      </c>
      <c r="EP8" s="81">
        <f>'Income Stmt'!EP40</f>
        <v>5753592.9706652779</v>
      </c>
      <c r="EQ8" s="81">
        <f>'Income Stmt'!EQ40</f>
        <v>5753592.9706652779</v>
      </c>
      <c r="ER8" s="81">
        <f>'Income Stmt'!ER40</f>
        <v>5753592.9706652779</v>
      </c>
      <c r="ES8" s="81">
        <f>'Income Stmt'!ES40</f>
        <v>5753592.9706652779</v>
      </c>
      <c r="ET8" s="81">
        <f>'Income Stmt'!ET40</f>
        <v>5753592.9706652779</v>
      </c>
      <c r="EU8" s="81">
        <f>'Income Stmt'!EU40</f>
        <v>5753592.9706652779</v>
      </c>
      <c r="EV8" s="81">
        <f>'Income Stmt'!EV40</f>
        <v>5753592.9706652779</v>
      </c>
      <c r="EW8" s="81">
        <f>'Income Stmt'!EW40</f>
        <v>5753592.9706652779</v>
      </c>
      <c r="EX8" s="81">
        <f>'Income Stmt'!EX40</f>
        <v>5753592.9706652779</v>
      </c>
      <c r="EY8" s="81">
        <f>'Income Stmt'!EY40</f>
        <v>5753592.9706652779</v>
      </c>
      <c r="EZ8" s="81">
        <f>'Income Stmt'!EZ40</f>
        <v>5753592.9706652779</v>
      </c>
      <c r="FA8" s="81">
        <f>'Income Stmt'!FA40</f>
        <v>5753592.9706652779</v>
      </c>
      <c r="FB8" s="81">
        <f>'Income Stmt'!FB40</f>
        <v>5753592.9706652779</v>
      </c>
      <c r="FC8" s="81">
        <f>'Income Stmt'!FC40</f>
        <v>5753592.9706652779</v>
      </c>
      <c r="FD8" s="81">
        <f>'Income Stmt'!FD40</f>
        <v>5753592.9706652779</v>
      </c>
      <c r="FE8" s="81">
        <f>'Income Stmt'!FE40</f>
        <v>5753592.9706652779</v>
      </c>
      <c r="FF8" s="81">
        <f>'Income Stmt'!FF40</f>
        <v>5753592.9706652779</v>
      </c>
      <c r="FG8" s="81">
        <f>'Income Stmt'!FG40</f>
        <v>5753592.9706652779</v>
      </c>
      <c r="FH8" s="81">
        <f>'Income Stmt'!FH40</f>
        <v>5753592.9706652779</v>
      </c>
      <c r="FI8" s="81">
        <f>'Income Stmt'!FI40</f>
        <v>5753592.9706652779</v>
      </c>
      <c r="FJ8" s="81">
        <f>'Income Stmt'!FJ40</f>
        <v>5753592.9706652779</v>
      </c>
      <c r="FK8" s="81">
        <f>'Income Stmt'!FK40</f>
        <v>5753592.9706652779</v>
      </c>
      <c r="FL8" s="81">
        <f>'Income Stmt'!FL40</f>
        <v>5753592.9706652779</v>
      </c>
      <c r="FM8" s="81">
        <f>'Income Stmt'!FM40</f>
        <v>5753592.9706652779</v>
      </c>
      <c r="FN8" s="81">
        <f>'Income Stmt'!FN40</f>
        <v>5753592.9706652779</v>
      </c>
      <c r="FO8" s="81">
        <f>'Income Stmt'!FO40</f>
        <v>5753592.9706652779</v>
      </c>
      <c r="FP8" s="81">
        <f>'Income Stmt'!FP40</f>
        <v>5753592.9706652779</v>
      </c>
      <c r="FQ8" s="81">
        <f>'Income Stmt'!FQ40</f>
        <v>5753592.9706652779</v>
      </c>
      <c r="FR8" s="81">
        <f>'Income Stmt'!FR40</f>
        <v>5753592.9706652779</v>
      </c>
      <c r="FS8" s="81">
        <f>'Income Stmt'!FS40</f>
        <v>5753592.9706652779</v>
      </c>
      <c r="FT8" s="81">
        <f>'Income Stmt'!FT40</f>
        <v>5753592.9706652779</v>
      </c>
      <c r="FU8" s="81">
        <f>'Income Stmt'!FU40</f>
        <v>5753592.9706652779</v>
      </c>
      <c r="FV8" s="81">
        <f>'Income Stmt'!FV40</f>
        <v>5753592.9706652779</v>
      </c>
      <c r="FW8" s="81">
        <f>'Income Stmt'!FW40</f>
        <v>5753592.9706652779</v>
      </c>
      <c r="FX8" s="81">
        <f>'Income Stmt'!FX40</f>
        <v>5753592.9706652779</v>
      </c>
      <c r="FY8" s="81">
        <f>'Income Stmt'!FY40</f>
        <v>5753592.9706652779</v>
      </c>
      <c r="FZ8" s="81">
        <f>'Income Stmt'!FZ40</f>
        <v>5753592.9706652779</v>
      </c>
      <c r="GA8" s="81">
        <f>'Income Stmt'!GA40</f>
        <v>5753592.9706652779</v>
      </c>
      <c r="GB8" s="81">
        <f>'Income Stmt'!GB40</f>
        <v>5753592.9706652779</v>
      </c>
      <c r="GC8" s="81">
        <f>'Income Stmt'!GC40</f>
        <v>5753592.9706652779</v>
      </c>
      <c r="GD8" s="81">
        <f>'Income Stmt'!GD40</f>
        <v>5753592.9706652779</v>
      </c>
      <c r="GE8" s="81">
        <f>'Income Stmt'!GE40</f>
        <v>5753592.9706652779</v>
      </c>
      <c r="GF8" s="81">
        <f>'Income Stmt'!GF40</f>
        <v>5753592.9706652779</v>
      </c>
      <c r="GG8" s="81">
        <f>'Income Stmt'!GG40</f>
        <v>5753592.9706652779</v>
      </c>
      <c r="GH8" s="81">
        <f>'Income Stmt'!GH40</f>
        <v>5753592.9706652779</v>
      </c>
      <c r="GI8" s="81">
        <f>'Income Stmt'!GI40</f>
        <v>5753592.9706652779</v>
      </c>
      <c r="GJ8" s="81">
        <f>'Income Stmt'!GJ40</f>
        <v>5753592.9706652779</v>
      </c>
      <c r="GK8" s="81">
        <f>'Income Stmt'!GK40</f>
        <v>5753592.9706652779</v>
      </c>
      <c r="GL8" s="81">
        <f>'Income Stmt'!GL40</f>
        <v>5753592.9706652779</v>
      </c>
      <c r="GM8" s="81">
        <f>'Income Stmt'!GM40</f>
        <v>0</v>
      </c>
      <c r="GN8" s="81">
        <f>'Income Stmt'!GN40</f>
        <v>0</v>
      </c>
      <c r="GO8" s="81">
        <f>'Income Stmt'!GO40</f>
        <v>0</v>
      </c>
      <c r="GP8" s="81">
        <f>'Income Stmt'!GP40</f>
        <v>0</v>
      </c>
      <c r="GQ8" s="81">
        <f>'Income Stmt'!GQ40</f>
        <v>0</v>
      </c>
      <c r="GR8" s="81">
        <f>'Income Stmt'!GR40</f>
        <v>0</v>
      </c>
      <c r="GS8" s="81">
        <f>'Income Stmt'!GS40</f>
        <v>0</v>
      </c>
      <c r="GT8" s="81">
        <f>'Income Stmt'!GT40</f>
        <v>0</v>
      </c>
      <c r="GU8" s="81">
        <f>'Income Stmt'!GU40</f>
        <v>0</v>
      </c>
      <c r="GV8" s="81">
        <f>'Income Stmt'!GV40</f>
        <v>0</v>
      </c>
      <c r="GW8" s="81">
        <f>'Income Stmt'!GW40</f>
        <v>0</v>
      </c>
      <c r="GX8" s="81">
        <f>'Income Stmt'!GX40</f>
        <v>0</v>
      </c>
      <c r="GY8" s="81">
        <f>'Income Stmt'!GY40</f>
        <v>0</v>
      </c>
      <c r="GZ8" s="81">
        <f>'Income Stmt'!GZ40</f>
        <v>0</v>
      </c>
      <c r="HA8" s="81">
        <f>'Income Stmt'!HA40</f>
        <v>0</v>
      </c>
      <c r="HB8" s="81">
        <f>'Income Stmt'!HB40</f>
        <v>0</v>
      </c>
      <c r="HC8" s="81">
        <f>'Income Stmt'!HC40</f>
        <v>0</v>
      </c>
      <c r="HD8" s="81">
        <f>'Income Stmt'!HD40</f>
        <v>0</v>
      </c>
      <c r="HE8" s="81">
        <f>'Income Stmt'!HE40</f>
        <v>0</v>
      </c>
      <c r="HF8" s="81">
        <f>'Income Stmt'!HF40</f>
        <v>0</v>
      </c>
      <c r="HG8" s="81">
        <f>'Income Stmt'!HG40</f>
        <v>0</v>
      </c>
      <c r="HH8" s="81">
        <f>'Income Stmt'!HH40</f>
        <v>0</v>
      </c>
      <c r="HI8" s="81">
        <f>'Income Stmt'!HI40</f>
        <v>0</v>
      </c>
      <c r="HJ8" s="81">
        <f>'Income Stmt'!HJ40</f>
        <v>0</v>
      </c>
      <c r="HK8" s="81">
        <f>'Income Stmt'!HK40</f>
        <v>0</v>
      </c>
      <c r="HL8" s="81">
        <f>'Income Stmt'!HL40</f>
        <v>0</v>
      </c>
      <c r="HM8" s="81">
        <f>'Income Stmt'!HM40</f>
        <v>0</v>
      </c>
      <c r="HN8" s="81">
        <f>'Income Stmt'!HN40</f>
        <v>0</v>
      </c>
      <c r="HO8" s="81">
        <f>'Income Stmt'!HO40</f>
        <v>0</v>
      </c>
      <c r="HP8" s="81">
        <f>'Income Stmt'!HP40</f>
        <v>0</v>
      </c>
      <c r="HQ8" s="81">
        <f>'Income Stmt'!HQ40</f>
        <v>0</v>
      </c>
      <c r="HR8" s="81">
        <f>'Income Stmt'!HR40</f>
        <v>0</v>
      </c>
      <c r="HS8" s="81">
        <f>'Income Stmt'!HS40</f>
        <v>0</v>
      </c>
      <c r="HT8" s="81">
        <f>'Income Stmt'!HT40</f>
        <v>0</v>
      </c>
      <c r="HU8" s="81">
        <f>'Income Stmt'!HU40</f>
        <v>0</v>
      </c>
      <c r="HV8" s="81">
        <f>'Income Stmt'!HV40</f>
        <v>0</v>
      </c>
      <c r="HW8" s="81">
        <f>'Income Stmt'!HW40</f>
        <v>0</v>
      </c>
      <c r="HX8" s="81">
        <f>'Income Stmt'!HX40</f>
        <v>0</v>
      </c>
      <c r="HY8" s="81">
        <f>'Income Stmt'!HY40</f>
        <v>0</v>
      </c>
      <c r="HZ8" s="81">
        <f>'Income Stmt'!HZ40</f>
        <v>0</v>
      </c>
      <c r="IA8" s="81">
        <f>'Income Stmt'!IA40</f>
        <v>0</v>
      </c>
      <c r="IB8" s="81">
        <f>'Income Stmt'!IB40</f>
        <v>0</v>
      </c>
      <c r="IC8" s="81">
        <f>'Income Stmt'!IC40</f>
        <v>0</v>
      </c>
      <c r="ID8" s="81">
        <f>'Income Stmt'!ID40</f>
        <v>0</v>
      </c>
      <c r="IE8" s="81">
        <f>'Income Stmt'!IE40</f>
        <v>0</v>
      </c>
      <c r="IF8" s="81">
        <f>'Income Stmt'!IF40</f>
        <v>0</v>
      </c>
      <c r="IG8" s="81">
        <f>'Income Stmt'!IG40</f>
        <v>0</v>
      </c>
      <c r="IH8" s="81">
        <f>'Income Stmt'!IH40</f>
        <v>0</v>
      </c>
    </row>
    <row r="9" spans="1:242" x14ac:dyDescent="0.45">
      <c r="A9" s="77" t="s">
        <v>304</v>
      </c>
      <c r="B9" s="78"/>
      <c r="C9" s="81">
        <f>-'Balance Sheet'!C9</f>
        <v>0</v>
      </c>
      <c r="D9" s="81">
        <f>-('Balance Sheet'!D9-'Balance Sheet'!C9)</f>
        <v>0</v>
      </c>
      <c r="E9" s="81">
        <f>-('Balance Sheet'!E9-'Balance Sheet'!D9)</f>
        <v>0</v>
      </c>
      <c r="F9" s="81">
        <f>-('Balance Sheet'!F9-'Balance Sheet'!E9)</f>
        <v>0</v>
      </c>
      <c r="G9" s="81">
        <f>-('Balance Sheet'!G9-'Balance Sheet'!F9)</f>
        <v>0</v>
      </c>
      <c r="H9" s="81">
        <f>-('Balance Sheet'!H9-'Balance Sheet'!G9)</f>
        <v>0</v>
      </c>
      <c r="I9" s="81">
        <f>-('Balance Sheet'!I9-'Balance Sheet'!H9)</f>
        <v>0</v>
      </c>
      <c r="J9" s="81">
        <f>-('Balance Sheet'!J9-'Balance Sheet'!I9)</f>
        <v>0</v>
      </c>
      <c r="K9" s="81">
        <f>-('Balance Sheet'!K9-'Balance Sheet'!J9)</f>
        <v>0</v>
      </c>
      <c r="L9" s="81">
        <f>-('Balance Sheet'!L9-'Balance Sheet'!K9)</f>
        <v>0</v>
      </c>
      <c r="M9" s="81">
        <f>-('Balance Sheet'!M9-'Balance Sheet'!L9)</f>
        <v>0</v>
      </c>
      <c r="N9" s="81">
        <f>-('Balance Sheet'!N9-'Balance Sheet'!M9)</f>
        <v>0</v>
      </c>
      <c r="O9" s="81">
        <f>-('Balance Sheet'!O9-'Balance Sheet'!N9)</f>
        <v>0</v>
      </c>
      <c r="P9" s="81">
        <f>-('Balance Sheet'!P9-'Balance Sheet'!O9)</f>
        <v>0</v>
      </c>
      <c r="Q9" s="81">
        <f>-('Balance Sheet'!Q9-'Balance Sheet'!P9)</f>
        <v>0</v>
      </c>
      <c r="R9" s="81">
        <f>-('Balance Sheet'!R9-'Balance Sheet'!Q9)</f>
        <v>0</v>
      </c>
      <c r="S9" s="81">
        <f>-('Balance Sheet'!S9-'Balance Sheet'!R9)</f>
        <v>0</v>
      </c>
      <c r="T9" s="81">
        <f>-('Balance Sheet'!T9-'Balance Sheet'!S9)</f>
        <v>0</v>
      </c>
      <c r="U9" s="81">
        <f>-('Balance Sheet'!U9-'Balance Sheet'!T9)</f>
        <v>0</v>
      </c>
      <c r="V9" s="81">
        <f>-('Balance Sheet'!V9-'Balance Sheet'!U9)</f>
        <v>0</v>
      </c>
      <c r="W9" s="81">
        <f>-('Balance Sheet'!W9-'Balance Sheet'!V9)</f>
        <v>0</v>
      </c>
      <c r="X9" s="81">
        <f>-('Balance Sheet'!X9-'Balance Sheet'!W9)</f>
        <v>0</v>
      </c>
      <c r="Y9" s="81">
        <f>-('Balance Sheet'!Y9-'Balance Sheet'!X9)</f>
        <v>0</v>
      </c>
      <c r="Z9" s="81">
        <f>-('Balance Sheet'!Z9-'Balance Sheet'!Y9)</f>
        <v>0</v>
      </c>
      <c r="AA9" s="81">
        <f>-('Balance Sheet'!AA9-'Balance Sheet'!Z9)</f>
        <v>-3987382.1323945937</v>
      </c>
      <c r="AB9" s="81">
        <f>-('Balance Sheet'!AB9-'Balance Sheet'!AA9)</f>
        <v>0</v>
      </c>
      <c r="AC9" s="81">
        <f>-('Balance Sheet'!AC9-'Balance Sheet'!AB9)</f>
        <v>0</v>
      </c>
      <c r="AD9" s="81">
        <f>-('Balance Sheet'!AD9-'Balance Sheet'!AC9)</f>
        <v>0</v>
      </c>
      <c r="AE9" s="81">
        <f>-('Balance Sheet'!AE9-'Balance Sheet'!AD9)</f>
        <v>0</v>
      </c>
      <c r="AF9" s="81">
        <f>-('Balance Sheet'!AF9-'Balance Sheet'!AE9)</f>
        <v>0</v>
      </c>
      <c r="AG9" s="81">
        <f>-('Balance Sheet'!AG9-'Balance Sheet'!AF9)</f>
        <v>0</v>
      </c>
      <c r="AH9" s="81">
        <f>-('Balance Sheet'!AH9-'Balance Sheet'!AG9)</f>
        <v>0</v>
      </c>
      <c r="AI9" s="81">
        <f>-('Balance Sheet'!AI9-'Balance Sheet'!AH9)</f>
        <v>0</v>
      </c>
      <c r="AJ9" s="81">
        <f>-('Balance Sheet'!AJ9-'Balance Sheet'!AI9)</f>
        <v>0</v>
      </c>
      <c r="AK9" s="81">
        <f>-('Balance Sheet'!AK9-'Balance Sheet'!AJ9)</f>
        <v>0</v>
      </c>
      <c r="AL9" s="81">
        <f>-('Balance Sheet'!AL9-'Balance Sheet'!AK9)</f>
        <v>0</v>
      </c>
      <c r="AM9" s="81">
        <f>-('Balance Sheet'!AM9-'Balance Sheet'!AL9)</f>
        <v>-2610374.7549297293</v>
      </c>
      <c r="AN9" s="81">
        <f>-('Balance Sheet'!AN9-'Balance Sheet'!AM9)</f>
        <v>0</v>
      </c>
      <c r="AO9" s="81">
        <f>-('Balance Sheet'!AO9-'Balance Sheet'!AN9)</f>
        <v>0</v>
      </c>
      <c r="AP9" s="81">
        <f>-('Balance Sheet'!AP9-'Balance Sheet'!AO9)</f>
        <v>0</v>
      </c>
      <c r="AQ9" s="81">
        <f>-('Balance Sheet'!AQ9-'Balance Sheet'!AP9)</f>
        <v>0</v>
      </c>
      <c r="AR9" s="81">
        <f>-('Balance Sheet'!AR9-'Balance Sheet'!AQ9)</f>
        <v>0</v>
      </c>
      <c r="AS9" s="81">
        <f>-('Balance Sheet'!AS9-'Balance Sheet'!AR9)</f>
        <v>0</v>
      </c>
      <c r="AT9" s="81">
        <f>-('Balance Sheet'!AT9-'Balance Sheet'!AS9)</f>
        <v>0</v>
      </c>
      <c r="AU9" s="81">
        <f>-('Balance Sheet'!AU9-'Balance Sheet'!AT9)</f>
        <v>0</v>
      </c>
      <c r="AV9" s="81">
        <f>-('Balance Sheet'!AV9-'Balance Sheet'!AU9)</f>
        <v>0</v>
      </c>
      <c r="AW9" s="81">
        <f>-('Balance Sheet'!AW9-'Balance Sheet'!AV9)</f>
        <v>0</v>
      </c>
      <c r="AX9" s="81">
        <f>-('Balance Sheet'!AX9-'Balance Sheet'!AW9)</f>
        <v>0</v>
      </c>
      <c r="AY9" s="81">
        <f>-('Balance Sheet'!AY9-'Balance Sheet'!AX9)</f>
        <v>-3070781.3370424332</v>
      </c>
      <c r="AZ9" s="81">
        <f>-('Balance Sheet'!AZ9-'Balance Sheet'!AY9)</f>
        <v>0</v>
      </c>
      <c r="BA9" s="81">
        <f>-('Balance Sheet'!BA9-'Balance Sheet'!AZ9)</f>
        <v>0</v>
      </c>
      <c r="BB9" s="81">
        <f>-('Balance Sheet'!BB9-'Balance Sheet'!BA9)</f>
        <v>0</v>
      </c>
      <c r="BC9" s="81">
        <f>-('Balance Sheet'!BC9-'Balance Sheet'!BB9)</f>
        <v>0</v>
      </c>
      <c r="BD9" s="81">
        <f>-('Balance Sheet'!BD9-'Balance Sheet'!BC9)</f>
        <v>0</v>
      </c>
      <c r="BE9" s="81">
        <f>-('Balance Sheet'!BE9-'Balance Sheet'!BD9)</f>
        <v>0</v>
      </c>
      <c r="BF9" s="81">
        <f>-('Balance Sheet'!BF9-'Balance Sheet'!BE9)</f>
        <v>0</v>
      </c>
      <c r="BG9" s="81">
        <f>-('Balance Sheet'!BG9-'Balance Sheet'!BF9)</f>
        <v>0</v>
      </c>
      <c r="BH9" s="81">
        <f>-('Balance Sheet'!BH9-'Balance Sheet'!BG9)</f>
        <v>0</v>
      </c>
      <c r="BI9" s="81">
        <f>-('Balance Sheet'!BI9-'Balance Sheet'!BH9)</f>
        <v>0</v>
      </c>
      <c r="BJ9" s="81">
        <f>-('Balance Sheet'!BJ9-'Balance Sheet'!BI9)</f>
        <v>0</v>
      </c>
      <c r="BK9" s="81">
        <f>-('Balance Sheet'!BK9-'Balance Sheet'!BJ9)</f>
        <v>-2055670.1195071619</v>
      </c>
      <c r="BL9" s="81">
        <f>-('Balance Sheet'!BL9-'Balance Sheet'!BK9)</f>
        <v>0</v>
      </c>
      <c r="BM9" s="81">
        <f>-('Balance Sheet'!BM9-'Balance Sheet'!BL9)</f>
        <v>0</v>
      </c>
      <c r="BN9" s="81">
        <f>-('Balance Sheet'!BN9-'Balance Sheet'!BM9)</f>
        <v>0</v>
      </c>
      <c r="BO9" s="81">
        <f>-('Balance Sheet'!BO9-'Balance Sheet'!BN9)</f>
        <v>0</v>
      </c>
      <c r="BP9" s="81">
        <f>-('Balance Sheet'!BP9-'Balance Sheet'!BO9)</f>
        <v>0</v>
      </c>
      <c r="BQ9" s="81">
        <f>-('Balance Sheet'!BQ9-'Balance Sheet'!BP9)</f>
        <v>0</v>
      </c>
      <c r="BR9" s="81">
        <f>-('Balance Sheet'!BR9-'Balance Sheet'!BQ9)</f>
        <v>0</v>
      </c>
      <c r="BS9" s="81">
        <f>-('Balance Sheet'!BS9-'Balance Sheet'!BR9)</f>
        <v>0</v>
      </c>
      <c r="BT9" s="81">
        <f>-('Balance Sheet'!BT9-'Balance Sheet'!BS9)</f>
        <v>0</v>
      </c>
      <c r="BU9" s="81">
        <f>-('Balance Sheet'!BU9-'Balance Sheet'!BT9)</f>
        <v>0</v>
      </c>
      <c r="BV9" s="81">
        <f>-('Balance Sheet'!BV9-'Balance Sheet'!BU9)</f>
        <v>0</v>
      </c>
      <c r="BW9" s="81">
        <f>-('Balance Sheet'!BW9-'Balance Sheet'!BV9)</f>
        <v>-558295.63542256877</v>
      </c>
      <c r="BX9" s="81">
        <f>-('Balance Sheet'!BX9-'Balance Sheet'!BW9)</f>
        <v>0</v>
      </c>
      <c r="BY9" s="81">
        <f>-('Balance Sheet'!BY9-'Balance Sheet'!BX9)</f>
        <v>0</v>
      </c>
      <c r="BZ9" s="81">
        <f>-('Balance Sheet'!BZ9-'Balance Sheet'!BY9)</f>
        <v>0</v>
      </c>
      <c r="CA9" s="81">
        <f>-('Balance Sheet'!CA9-'Balance Sheet'!BZ9)</f>
        <v>0</v>
      </c>
      <c r="CB9" s="81">
        <f>-('Balance Sheet'!CB9-'Balance Sheet'!CA9)</f>
        <v>0</v>
      </c>
      <c r="CC9" s="81">
        <f>-('Balance Sheet'!CC9-'Balance Sheet'!CB9)</f>
        <v>0</v>
      </c>
      <c r="CD9" s="81">
        <f>-('Balance Sheet'!CD9-'Balance Sheet'!CC9)</f>
        <v>0</v>
      </c>
      <c r="CE9" s="81">
        <f>-('Balance Sheet'!CE9-'Balance Sheet'!CD9)</f>
        <v>0</v>
      </c>
      <c r="CF9" s="81">
        <f>-('Balance Sheet'!CF9-'Balance Sheet'!CE9)</f>
        <v>0</v>
      </c>
      <c r="CG9" s="81">
        <f>-('Balance Sheet'!CG9-'Balance Sheet'!CF9)</f>
        <v>0</v>
      </c>
      <c r="CH9" s="81">
        <f>-('Balance Sheet'!CH9-'Balance Sheet'!CG9)</f>
        <v>0</v>
      </c>
      <c r="CI9" s="81">
        <f>-('Balance Sheet'!CI9-'Balance Sheet'!CH9)</f>
        <v>0</v>
      </c>
      <c r="CJ9" s="81">
        <f>-('Balance Sheet'!CJ9-'Balance Sheet'!CI9)</f>
        <v>0</v>
      </c>
      <c r="CK9" s="81">
        <f>-('Balance Sheet'!CK9-'Balance Sheet'!CJ9)</f>
        <v>0</v>
      </c>
      <c r="CL9" s="81">
        <f>-('Balance Sheet'!CL9-'Balance Sheet'!CK9)</f>
        <v>0</v>
      </c>
      <c r="CM9" s="81">
        <f>-('Balance Sheet'!CM9-'Balance Sheet'!CL9)</f>
        <v>0</v>
      </c>
      <c r="CN9" s="81">
        <f>-('Balance Sheet'!CN9-'Balance Sheet'!CM9)</f>
        <v>0</v>
      </c>
      <c r="CO9" s="81">
        <f>-('Balance Sheet'!CO9-'Balance Sheet'!CN9)</f>
        <v>0</v>
      </c>
      <c r="CP9" s="81">
        <f>-('Balance Sheet'!CP9-'Balance Sheet'!CO9)</f>
        <v>0</v>
      </c>
      <c r="CQ9" s="81">
        <f>-('Balance Sheet'!CQ9-'Balance Sheet'!CP9)</f>
        <v>0</v>
      </c>
      <c r="CR9" s="81">
        <f>-('Balance Sheet'!CR9-'Balance Sheet'!CQ9)</f>
        <v>0</v>
      </c>
      <c r="CS9" s="81">
        <f>-('Balance Sheet'!CS9-'Balance Sheet'!CR9)</f>
        <v>0</v>
      </c>
      <c r="CT9" s="81">
        <f>-('Balance Sheet'!CT9-'Balance Sheet'!CS9)</f>
        <v>0</v>
      </c>
      <c r="CU9" s="81">
        <f>-('Balance Sheet'!CU9-'Balance Sheet'!CT9)</f>
        <v>-558295.63542257063</v>
      </c>
      <c r="CV9" s="81">
        <f>-('Balance Sheet'!CV9-'Balance Sheet'!CU9)</f>
        <v>0</v>
      </c>
      <c r="CW9" s="81">
        <f>-('Balance Sheet'!CW9-'Balance Sheet'!CV9)</f>
        <v>0</v>
      </c>
      <c r="CX9" s="81">
        <f>-('Balance Sheet'!CX9-'Balance Sheet'!CW9)</f>
        <v>0</v>
      </c>
      <c r="CY9" s="81">
        <f>-('Balance Sheet'!CY9-'Balance Sheet'!CX9)</f>
        <v>0</v>
      </c>
      <c r="CZ9" s="81">
        <f>-('Balance Sheet'!CZ9-'Balance Sheet'!CY9)</f>
        <v>0</v>
      </c>
      <c r="DA9" s="81">
        <f>-('Balance Sheet'!DA9-'Balance Sheet'!CZ9)</f>
        <v>0</v>
      </c>
      <c r="DB9" s="81">
        <f>-('Balance Sheet'!DB9-'Balance Sheet'!DA9)</f>
        <v>0</v>
      </c>
      <c r="DC9" s="81">
        <f>-('Balance Sheet'!DC9-'Balance Sheet'!DB9)</f>
        <v>0</v>
      </c>
      <c r="DD9" s="81">
        <f>-('Balance Sheet'!DD9-'Balance Sheet'!DC9)</f>
        <v>0</v>
      </c>
      <c r="DE9" s="81">
        <f>-('Balance Sheet'!DE9-'Balance Sheet'!DD9)</f>
        <v>0</v>
      </c>
      <c r="DF9" s="81">
        <f>-('Balance Sheet'!DF9-'Balance Sheet'!DE9)</f>
        <v>0</v>
      </c>
      <c r="DG9" s="81">
        <f>-('Balance Sheet'!DG9-'Balance Sheet'!DF9)</f>
        <v>0</v>
      </c>
      <c r="DH9" s="81">
        <f>-('Balance Sheet'!DH9-'Balance Sheet'!DG9)</f>
        <v>0</v>
      </c>
      <c r="DI9" s="81">
        <f>-('Balance Sheet'!DI9-'Balance Sheet'!DH9)</f>
        <v>0</v>
      </c>
      <c r="DJ9" s="81">
        <f>-('Balance Sheet'!DJ9-'Balance Sheet'!DI9)</f>
        <v>0</v>
      </c>
      <c r="DK9" s="81">
        <f>-('Balance Sheet'!DK9-'Balance Sheet'!DJ9)</f>
        <v>0</v>
      </c>
      <c r="DL9" s="81">
        <f>-('Balance Sheet'!DL9-'Balance Sheet'!DK9)</f>
        <v>0</v>
      </c>
      <c r="DM9" s="81">
        <f>-('Balance Sheet'!DM9-'Balance Sheet'!DL9)</f>
        <v>0</v>
      </c>
      <c r="DN9" s="81">
        <f>-('Balance Sheet'!DN9-'Balance Sheet'!DM9)</f>
        <v>0</v>
      </c>
      <c r="DO9" s="81">
        <f>-('Balance Sheet'!DO9-'Balance Sheet'!DN9)</f>
        <v>0</v>
      </c>
      <c r="DP9" s="81">
        <f>-('Balance Sheet'!DP9-'Balance Sheet'!DO9)</f>
        <v>0</v>
      </c>
      <c r="DQ9" s="81">
        <f>-('Balance Sheet'!DQ9-'Balance Sheet'!DP9)</f>
        <v>0</v>
      </c>
      <c r="DR9" s="81">
        <f>-('Balance Sheet'!DR9-'Balance Sheet'!DQ9)</f>
        <v>0</v>
      </c>
      <c r="DS9" s="81">
        <f>-('Balance Sheet'!DS9-'Balance Sheet'!DR9)</f>
        <v>-558295.63542256877</v>
      </c>
      <c r="DT9" s="81">
        <f>-('Balance Sheet'!DT9-'Balance Sheet'!DS9)</f>
        <v>0</v>
      </c>
      <c r="DU9" s="81">
        <f>-('Balance Sheet'!DU9-'Balance Sheet'!DT9)</f>
        <v>0</v>
      </c>
      <c r="DV9" s="81">
        <f>-('Balance Sheet'!DV9-'Balance Sheet'!DU9)</f>
        <v>0</v>
      </c>
      <c r="DW9" s="81">
        <f>-('Balance Sheet'!DW9-'Balance Sheet'!DV9)</f>
        <v>0</v>
      </c>
      <c r="DX9" s="81">
        <f>-('Balance Sheet'!DX9-'Balance Sheet'!DW9)</f>
        <v>0</v>
      </c>
      <c r="DY9" s="81">
        <f>-('Balance Sheet'!DY9-'Balance Sheet'!DX9)</f>
        <v>0</v>
      </c>
      <c r="DZ9" s="81">
        <f>-('Balance Sheet'!DZ9-'Balance Sheet'!DY9)</f>
        <v>0</v>
      </c>
      <c r="EA9" s="81">
        <f>-('Balance Sheet'!EA9-'Balance Sheet'!DZ9)</f>
        <v>0</v>
      </c>
      <c r="EB9" s="81">
        <f>-('Balance Sheet'!EB9-'Balance Sheet'!EA9)</f>
        <v>0</v>
      </c>
      <c r="EC9" s="81">
        <f>-('Balance Sheet'!EC9-'Balance Sheet'!EB9)</f>
        <v>0</v>
      </c>
      <c r="ED9" s="81">
        <f>-('Balance Sheet'!ED9-'Balance Sheet'!EC9)</f>
        <v>0</v>
      </c>
      <c r="EE9" s="81">
        <f>-('Balance Sheet'!EE9-'Balance Sheet'!ED9)</f>
        <v>0</v>
      </c>
      <c r="EF9" s="81">
        <f>-('Balance Sheet'!EF9-'Balance Sheet'!EE9)</f>
        <v>0</v>
      </c>
      <c r="EG9" s="81">
        <f>-('Balance Sheet'!EG9-'Balance Sheet'!EF9)</f>
        <v>0</v>
      </c>
      <c r="EH9" s="81">
        <f>-('Balance Sheet'!EH9-'Balance Sheet'!EG9)</f>
        <v>0</v>
      </c>
      <c r="EI9" s="81">
        <f>-('Balance Sheet'!EI9-'Balance Sheet'!EH9)</f>
        <v>0</v>
      </c>
      <c r="EJ9" s="81">
        <f>-('Balance Sheet'!EJ9-'Balance Sheet'!EI9)</f>
        <v>0</v>
      </c>
      <c r="EK9" s="81">
        <f>-('Balance Sheet'!EK9-'Balance Sheet'!EJ9)</f>
        <v>0</v>
      </c>
      <c r="EL9" s="81">
        <f>-('Balance Sheet'!EL9-'Balance Sheet'!EK9)</f>
        <v>0</v>
      </c>
      <c r="EM9" s="81">
        <f>-('Balance Sheet'!EM9-'Balance Sheet'!EL9)</f>
        <v>0</v>
      </c>
      <c r="EN9" s="81">
        <f>-('Balance Sheet'!EN9-'Balance Sheet'!EM9)</f>
        <v>0</v>
      </c>
      <c r="EO9" s="81">
        <f>-('Balance Sheet'!EO9-'Balance Sheet'!EN9)</f>
        <v>0</v>
      </c>
      <c r="EP9" s="81">
        <f>-('Balance Sheet'!EP9-'Balance Sheet'!EO9)</f>
        <v>0</v>
      </c>
      <c r="EQ9" s="81">
        <f>-('Balance Sheet'!EQ9-'Balance Sheet'!EP9)</f>
        <v>-558295.63542256691</v>
      </c>
      <c r="ER9" s="81">
        <f>-('Balance Sheet'!ER9-'Balance Sheet'!EQ9)</f>
        <v>0</v>
      </c>
      <c r="ES9" s="81">
        <f>-('Balance Sheet'!ES9-'Balance Sheet'!ER9)</f>
        <v>0</v>
      </c>
      <c r="ET9" s="81">
        <f>-('Balance Sheet'!ET9-'Balance Sheet'!ES9)</f>
        <v>0</v>
      </c>
      <c r="EU9" s="81">
        <f>-('Balance Sheet'!EU9-'Balance Sheet'!ET9)</f>
        <v>0</v>
      </c>
      <c r="EV9" s="81">
        <f>-('Balance Sheet'!EV9-'Balance Sheet'!EU9)</f>
        <v>0</v>
      </c>
      <c r="EW9" s="81">
        <f>-('Balance Sheet'!EW9-'Balance Sheet'!EV9)</f>
        <v>0</v>
      </c>
      <c r="EX9" s="81">
        <f>-('Balance Sheet'!EX9-'Balance Sheet'!EW9)</f>
        <v>0</v>
      </c>
      <c r="EY9" s="81">
        <f>-('Balance Sheet'!EY9-'Balance Sheet'!EX9)</f>
        <v>0</v>
      </c>
      <c r="EZ9" s="81">
        <f>-('Balance Sheet'!EZ9-'Balance Sheet'!EY9)</f>
        <v>0</v>
      </c>
      <c r="FA9" s="81">
        <f>-('Balance Sheet'!FA9-'Balance Sheet'!EZ9)</f>
        <v>0</v>
      </c>
      <c r="FB9" s="81">
        <f>-('Balance Sheet'!FB9-'Balance Sheet'!FA9)</f>
        <v>0</v>
      </c>
      <c r="FC9" s="81">
        <f>-('Balance Sheet'!FC9-'Balance Sheet'!FB9)</f>
        <v>0</v>
      </c>
      <c r="FD9" s="81">
        <f>-('Balance Sheet'!FD9-'Balance Sheet'!FC9)</f>
        <v>0</v>
      </c>
      <c r="FE9" s="81">
        <f>-('Balance Sheet'!FE9-'Balance Sheet'!FD9)</f>
        <v>0</v>
      </c>
      <c r="FF9" s="81">
        <f>-('Balance Sheet'!FF9-'Balance Sheet'!FE9)</f>
        <v>0</v>
      </c>
      <c r="FG9" s="81">
        <f>-('Balance Sheet'!FG9-'Balance Sheet'!FF9)</f>
        <v>0</v>
      </c>
      <c r="FH9" s="81">
        <f>-('Balance Sheet'!FH9-'Balance Sheet'!FG9)</f>
        <v>0</v>
      </c>
      <c r="FI9" s="81">
        <f>-('Balance Sheet'!FI9-'Balance Sheet'!FH9)</f>
        <v>0</v>
      </c>
      <c r="FJ9" s="81">
        <f>-('Balance Sheet'!FJ9-'Balance Sheet'!FI9)</f>
        <v>0</v>
      </c>
      <c r="FK9" s="81">
        <f>-('Balance Sheet'!FK9-'Balance Sheet'!FJ9)</f>
        <v>0</v>
      </c>
      <c r="FL9" s="81">
        <f>-('Balance Sheet'!FL9-'Balance Sheet'!FK9)</f>
        <v>0</v>
      </c>
      <c r="FM9" s="81">
        <f>-('Balance Sheet'!FM9-'Balance Sheet'!FL9)</f>
        <v>0</v>
      </c>
      <c r="FN9" s="81">
        <f>-('Balance Sheet'!FN9-'Balance Sheet'!FM9)</f>
        <v>0</v>
      </c>
      <c r="FO9" s="81">
        <f>-('Balance Sheet'!FO9-'Balance Sheet'!FN9)</f>
        <v>-558295.63542256691</v>
      </c>
      <c r="FP9" s="81">
        <f>-('Balance Sheet'!FP9-'Balance Sheet'!FO9)</f>
        <v>0</v>
      </c>
      <c r="FQ9" s="81">
        <f>-('Balance Sheet'!FQ9-'Balance Sheet'!FP9)</f>
        <v>0</v>
      </c>
      <c r="FR9" s="81">
        <f>-('Balance Sheet'!FR9-'Balance Sheet'!FQ9)</f>
        <v>0</v>
      </c>
      <c r="FS9" s="81">
        <f>-('Balance Sheet'!FS9-'Balance Sheet'!FR9)</f>
        <v>0</v>
      </c>
      <c r="FT9" s="81">
        <f>-('Balance Sheet'!FT9-'Balance Sheet'!FS9)</f>
        <v>0</v>
      </c>
      <c r="FU9" s="81">
        <f>-('Balance Sheet'!FU9-'Balance Sheet'!FT9)</f>
        <v>0</v>
      </c>
      <c r="FV9" s="81">
        <f>-('Balance Sheet'!FV9-'Balance Sheet'!FU9)</f>
        <v>0</v>
      </c>
      <c r="FW9" s="81">
        <f>-('Balance Sheet'!FW9-'Balance Sheet'!FV9)</f>
        <v>0</v>
      </c>
      <c r="FX9" s="81">
        <f>-('Balance Sheet'!FX9-'Balance Sheet'!FW9)</f>
        <v>0</v>
      </c>
      <c r="FY9" s="81">
        <f>-('Balance Sheet'!FY9-'Balance Sheet'!FX9)</f>
        <v>0</v>
      </c>
      <c r="FZ9" s="81">
        <f>-('Balance Sheet'!FZ9-'Balance Sheet'!FY9)</f>
        <v>0</v>
      </c>
      <c r="GA9" s="81">
        <f>-('Balance Sheet'!GA9-'Balance Sheet'!FZ9)</f>
        <v>0</v>
      </c>
      <c r="GB9" s="81">
        <f>-('Balance Sheet'!GB9-'Balance Sheet'!GA9)</f>
        <v>0</v>
      </c>
      <c r="GC9" s="81">
        <f>-('Balance Sheet'!GC9-'Balance Sheet'!GB9)</f>
        <v>0</v>
      </c>
      <c r="GD9" s="81">
        <f>-('Balance Sheet'!GD9-'Balance Sheet'!GC9)</f>
        <v>0</v>
      </c>
      <c r="GE9" s="81">
        <f>-('Balance Sheet'!GE9-'Balance Sheet'!GD9)</f>
        <v>0</v>
      </c>
      <c r="GF9" s="81">
        <f>-('Balance Sheet'!GF9-'Balance Sheet'!GE9)</f>
        <v>0</v>
      </c>
      <c r="GG9" s="81">
        <f>-('Balance Sheet'!GG9-'Balance Sheet'!GF9)</f>
        <v>0</v>
      </c>
      <c r="GH9" s="81">
        <f>-('Balance Sheet'!GH9-'Balance Sheet'!GG9)</f>
        <v>0</v>
      </c>
      <c r="GI9" s="81">
        <f>-('Balance Sheet'!GI9-'Balance Sheet'!GH9)</f>
        <v>0</v>
      </c>
      <c r="GJ9" s="81">
        <f>-('Balance Sheet'!GJ9-'Balance Sheet'!GI9)</f>
        <v>0</v>
      </c>
      <c r="GK9" s="81">
        <f>-('Balance Sheet'!GK9-'Balance Sheet'!GJ9)</f>
        <v>0</v>
      </c>
      <c r="GL9" s="81">
        <f>-('Balance Sheet'!GL9-'Balance Sheet'!GK9)</f>
        <v>0</v>
      </c>
      <c r="GM9" s="81">
        <f>-('Balance Sheet'!GM9-'Balance Sheet'!GL9)</f>
        <v>-558295.63542256877</v>
      </c>
      <c r="GN9" s="81">
        <f>-('Balance Sheet'!GN9-'Balance Sheet'!GM9)</f>
        <v>0</v>
      </c>
      <c r="GO9" s="81">
        <f>-('Balance Sheet'!GO9-'Balance Sheet'!GN9)</f>
        <v>0</v>
      </c>
      <c r="GP9" s="81">
        <f>-('Balance Sheet'!GP9-'Balance Sheet'!GO9)</f>
        <v>0</v>
      </c>
      <c r="GQ9" s="81">
        <f>-('Balance Sheet'!GQ9-'Balance Sheet'!GP9)</f>
        <v>0</v>
      </c>
      <c r="GR9" s="81">
        <f>-('Balance Sheet'!GR9-'Balance Sheet'!GQ9)</f>
        <v>0</v>
      </c>
      <c r="GS9" s="81">
        <f>-('Balance Sheet'!GS9-'Balance Sheet'!GR9)</f>
        <v>0</v>
      </c>
      <c r="GT9" s="81">
        <f>-('Balance Sheet'!GT9-'Balance Sheet'!GS9)</f>
        <v>0</v>
      </c>
      <c r="GU9" s="81">
        <f>-('Balance Sheet'!GU9-'Balance Sheet'!GT9)</f>
        <v>0</v>
      </c>
      <c r="GV9" s="81">
        <f>-('Balance Sheet'!GV9-'Balance Sheet'!GU9)</f>
        <v>0</v>
      </c>
      <c r="GW9" s="81">
        <f>-('Balance Sheet'!GW9-'Balance Sheet'!GV9)</f>
        <v>0</v>
      </c>
      <c r="GX9" s="81">
        <f>-('Balance Sheet'!GX9-'Balance Sheet'!GW9)</f>
        <v>0</v>
      </c>
      <c r="GY9" s="81">
        <f>-('Balance Sheet'!GY9-'Balance Sheet'!GX9)</f>
        <v>0</v>
      </c>
      <c r="GZ9" s="81">
        <f>-('Balance Sheet'!GZ9-'Balance Sheet'!GY9)</f>
        <v>0</v>
      </c>
      <c r="HA9" s="81">
        <f>-('Balance Sheet'!HA9-'Balance Sheet'!GZ9)</f>
        <v>0</v>
      </c>
      <c r="HB9" s="81">
        <f>-('Balance Sheet'!HB9-'Balance Sheet'!HA9)</f>
        <v>0</v>
      </c>
      <c r="HC9" s="81">
        <f>-('Balance Sheet'!HC9-'Balance Sheet'!HB9)</f>
        <v>0</v>
      </c>
      <c r="HD9" s="81">
        <f>-('Balance Sheet'!HD9-'Balance Sheet'!HC9)</f>
        <v>0</v>
      </c>
      <c r="HE9" s="81">
        <f>-('Balance Sheet'!HE9-'Balance Sheet'!HD9)</f>
        <v>0</v>
      </c>
      <c r="HF9" s="81">
        <f>-('Balance Sheet'!HF9-'Balance Sheet'!HE9)</f>
        <v>0</v>
      </c>
      <c r="HG9" s="81">
        <f>-('Balance Sheet'!HG9-'Balance Sheet'!HF9)</f>
        <v>0</v>
      </c>
      <c r="HH9" s="81">
        <f>-('Balance Sheet'!HH9-'Balance Sheet'!HG9)</f>
        <v>0</v>
      </c>
      <c r="HI9" s="81">
        <f>-('Balance Sheet'!HI9-'Balance Sheet'!HH9)</f>
        <v>0</v>
      </c>
      <c r="HJ9" s="81">
        <f>-('Balance Sheet'!HJ9-'Balance Sheet'!HI9)</f>
        <v>0</v>
      </c>
      <c r="HK9" s="81">
        <f>-('Balance Sheet'!HK9-'Balance Sheet'!HJ9)</f>
        <v>-558295.63542256504</v>
      </c>
      <c r="HL9" s="81">
        <f>-('Balance Sheet'!HL9-'Balance Sheet'!HK9)</f>
        <v>0</v>
      </c>
      <c r="HM9" s="81">
        <f>-('Balance Sheet'!HM9-'Balance Sheet'!HL9)</f>
        <v>0</v>
      </c>
      <c r="HN9" s="81">
        <f>-('Balance Sheet'!HN9-'Balance Sheet'!HM9)</f>
        <v>0</v>
      </c>
      <c r="HO9" s="81">
        <f>-('Balance Sheet'!HO9-'Balance Sheet'!HN9)</f>
        <v>0</v>
      </c>
      <c r="HP9" s="81">
        <f>-('Balance Sheet'!HP9-'Balance Sheet'!HO9)</f>
        <v>0</v>
      </c>
      <c r="HQ9" s="81">
        <f>-('Balance Sheet'!HQ9-'Balance Sheet'!HP9)</f>
        <v>0</v>
      </c>
      <c r="HR9" s="81">
        <f>-('Balance Sheet'!HR9-'Balance Sheet'!HQ9)</f>
        <v>0</v>
      </c>
      <c r="HS9" s="81">
        <f>-('Balance Sheet'!HS9-'Balance Sheet'!HR9)</f>
        <v>0</v>
      </c>
      <c r="HT9" s="81">
        <f>-('Balance Sheet'!HT9-'Balance Sheet'!HS9)</f>
        <v>0</v>
      </c>
      <c r="HU9" s="81">
        <f>-('Balance Sheet'!HU9-'Balance Sheet'!HT9)</f>
        <v>0</v>
      </c>
      <c r="HV9" s="81">
        <f>-('Balance Sheet'!HV9-'Balance Sheet'!HU9)</f>
        <v>0</v>
      </c>
      <c r="HW9" s="81">
        <f>-('Balance Sheet'!HW9-'Balance Sheet'!HV9)</f>
        <v>0</v>
      </c>
      <c r="HX9" s="81">
        <f>-('Balance Sheet'!HX9-'Balance Sheet'!HW9)</f>
        <v>0</v>
      </c>
      <c r="HY9" s="81">
        <f>-('Balance Sheet'!HY9-'Balance Sheet'!HX9)</f>
        <v>0</v>
      </c>
      <c r="HZ9" s="81">
        <f>-('Balance Sheet'!HZ9-'Balance Sheet'!HY9)</f>
        <v>0</v>
      </c>
      <c r="IA9" s="81">
        <f>-('Balance Sheet'!IA9-'Balance Sheet'!HZ9)</f>
        <v>0</v>
      </c>
      <c r="IB9" s="81">
        <f>-('Balance Sheet'!IB9-'Balance Sheet'!IA9)</f>
        <v>0</v>
      </c>
      <c r="IC9" s="81">
        <f>-('Balance Sheet'!IC9-'Balance Sheet'!IB9)</f>
        <v>0</v>
      </c>
      <c r="ID9" s="81">
        <f>-('Balance Sheet'!ID9-'Balance Sheet'!IC9)</f>
        <v>0</v>
      </c>
      <c r="IE9" s="81">
        <f>-('Balance Sheet'!IE9-'Balance Sheet'!ID9)</f>
        <v>0</v>
      </c>
      <c r="IF9" s="81">
        <f>-('Balance Sheet'!IF9-'Balance Sheet'!IE9)</f>
        <v>0</v>
      </c>
      <c r="IG9" s="81">
        <f>-('Balance Sheet'!IG9-'Balance Sheet'!IF9)</f>
        <v>0</v>
      </c>
      <c r="IH9" s="81">
        <f>-('Balance Sheet'!IH9-'Balance Sheet'!IG9)</f>
        <v>0</v>
      </c>
    </row>
    <row r="10" spans="1:242" ht="14.65" thickBot="1" x14ac:dyDescent="0.5">
      <c r="A10" s="77" t="s">
        <v>305</v>
      </c>
      <c r="B10" s="78"/>
      <c r="C10" s="82">
        <f>'Balance Sheet'!C23-'Balance Sheet'!C20-'Balance Sheet'!C22</f>
        <v>987966.37936747074</v>
      </c>
      <c r="D10" s="82">
        <f>('Balance Sheet'!D23-'Balance Sheet'!D20-'Balance Sheet'!D22)-('Balance Sheet'!C23-'Balance Sheet'!C20-'Balance Sheet'!C22)</f>
        <v>-439875</v>
      </c>
      <c r="E10" s="82">
        <f>('Balance Sheet'!E23-'Balance Sheet'!E20-'Balance Sheet'!E22)-('Balance Sheet'!D23-'Balance Sheet'!D20-'Balance Sheet'!D22)</f>
        <v>0</v>
      </c>
      <c r="F10" s="82">
        <f>('Balance Sheet'!F23-'Balance Sheet'!F20-'Balance Sheet'!F22)-('Balance Sheet'!E23-'Balance Sheet'!E20-'Balance Sheet'!E22)</f>
        <v>0</v>
      </c>
      <c r="G10" s="82">
        <f>('Balance Sheet'!G23-'Balance Sheet'!G20-'Balance Sheet'!G22)-('Balance Sheet'!F23-'Balance Sheet'!F20-'Balance Sheet'!F22)</f>
        <v>0</v>
      </c>
      <c r="H10" s="82">
        <f>('Balance Sheet'!H23-'Balance Sheet'!H20-'Balance Sheet'!H22)-('Balance Sheet'!G23-'Balance Sheet'!G20-'Balance Sheet'!G22)</f>
        <v>0</v>
      </c>
      <c r="I10" s="82">
        <f>('Balance Sheet'!I23-'Balance Sheet'!I20-'Balance Sheet'!I22)-('Balance Sheet'!H23-'Balance Sheet'!H20-'Balance Sheet'!H22)</f>
        <v>0</v>
      </c>
      <c r="J10" s="82">
        <f>('Balance Sheet'!J23-'Balance Sheet'!J20-'Balance Sheet'!J22)-('Balance Sheet'!I23-'Balance Sheet'!I20-'Balance Sheet'!I22)</f>
        <v>0</v>
      </c>
      <c r="K10" s="82">
        <f>('Balance Sheet'!K23-'Balance Sheet'!K20-'Balance Sheet'!K22)-('Balance Sheet'!J23-'Balance Sheet'!J20-'Balance Sheet'!J22)</f>
        <v>0</v>
      </c>
      <c r="L10" s="82">
        <f>('Balance Sheet'!L23-'Balance Sheet'!L20-'Balance Sheet'!L22)-('Balance Sheet'!K23-'Balance Sheet'!K20-'Balance Sheet'!K22)</f>
        <v>0</v>
      </c>
      <c r="M10" s="82">
        <f>('Balance Sheet'!M23-'Balance Sheet'!M20-'Balance Sheet'!M22)-('Balance Sheet'!L23-'Balance Sheet'!L20-'Balance Sheet'!L22)</f>
        <v>0</v>
      </c>
      <c r="N10" s="82">
        <f>('Balance Sheet'!N23-'Balance Sheet'!N20-'Balance Sheet'!N22)-('Balance Sheet'!M23-'Balance Sheet'!M20-'Balance Sheet'!M22)</f>
        <v>0</v>
      </c>
      <c r="O10" s="82">
        <f>('Balance Sheet'!O23-'Balance Sheet'!O20-'Balance Sheet'!O22)-('Balance Sheet'!N23-'Balance Sheet'!N20-'Balance Sheet'!N22)</f>
        <v>204114.66666667163</v>
      </c>
      <c r="P10" s="82">
        <f>('Balance Sheet'!P23-'Balance Sheet'!P20-'Balance Sheet'!P22)-('Balance Sheet'!O23-'Balance Sheet'!O20-'Balance Sheet'!O22)</f>
        <v>-161000</v>
      </c>
      <c r="Q10" s="82">
        <f>('Balance Sheet'!Q23-'Balance Sheet'!Q20-'Balance Sheet'!Q22)-('Balance Sheet'!P23-'Balance Sheet'!P20-'Balance Sheet'!P22)</f>
        <v>-1.4901161193847656E-8</v>
      </c>
      <c r="R10" s="82">
        <f>('Balance Sheet'!R23-'Balance Sheet'!R20-'Balance Sheet'!R22)-('Balance Sheet'!Q23-'Balance Sheet'!Q20-'Balance Sheet'!Q22)</f>
        <v>0</v>
      </c>
      <c r="S10" s="82">
        <f>('Balance Sheet'!S23-'Balance Sheet'!S20-'Balance Sheet'!S22)-('Balance Sheet'!R23-'Balance Sheet'!R20-'Balance Sheet'!R22)</f>
        <v>0</v>
      </c>
      <c r="T10" s="82">
        <f>('Balance Sheet'!T23-'Balance Sheet'!T20-'Balance Sheet'!T22)-('Balance Sheet'!S23-'Balance Sheet'!S20-'Balance Sheet'!S22)</f>
        <v>0</v>
      </c>
      <c r="U10" s="82">
        <f>('Balance Sheet'!U23-'Balance Sheet'!U20-'Balance Sheet'!U22)-('Balance Sheet'!T23-'Balance Sheet'!T20-'Balance Sheet'!T22)</f>
        <v>0</v>
      </c>
      <c r="V10" s="82">
        <f>('Balance Sheet'!V23-'Balance Sheet'!V20-'Balance Sheet'!V22)-('Balance Sheet'!U23-'Balance Sheet'!U20-'Balance Sheet'!U22)</f>
        <v>0</v>
      </c>
      <c r="W10" s="82">
        <f>('Balance Sheet'!W23-'Balance Sheet'!W20-'Balance Sheet'!W22)-('Balance Sheet'!V23-'Balance Sheet'!V20-'Balance Sheet'!V22)</f>
        <v>0</v>
      </c>
      <c r="X10" s="82">
        <f>('Balance Sheet'!X23-'Balance Sheet'!X20-'Balance Sheet'!X22)-('Balance Sheet'!W23-'Balance Sheet'!W20-'Balance Sheet'!W22)</f>
        <v>0</v>
      </c>
      <c r="Y10" s="82">
        <f>('Balance Sheet'!Y23-'Balance Sheet'!Y20-'Balance Sheet'!Y22)-('Balance Sheet'!X23-'Balance Sheet'!X20-'Balance Sheet'!X22)</f>
        <v>0</v>
      </c>
      <c r="Z10" s="82">
        <f>('Balance Sheet'!Z23-'Balance Sheet'!Z20-'Balance Sheet'!Z22)-('Balance Sheet'!Y23-'Balance Sheet'!Y20-'Balance Sheet'!Y22)</f>
        <v>0</v>
      </c>
      <c r="AA10" s="82">
        <f>('Balance Sheet'!AA23-'Balance Sheet'!AA20-'Balance Sheet'!AA22)-('Balance Sheet'!Z23-'Balance Sheet'!Z20-'Balance Sheet'!Z22)</f>
        <v>1005320.5644090176</v>
      </c>
      <c r="AB10" s="82">
        <f>('Balance Sheet'!AB23-'Balance Sheet'!AB20-'Balance Sheet'!AB22)-('Balance Sheet'!AA23-'Balance Sheet'!AA20-'Balance Sheet'!AA22)</f>
        <v>0</v>
      </c>
      <c r="AC10" s="82">
        <f>('Balance Sheet'!AC23-'Balance Sheet'!AC20-'Balance Sheet'!AC22)-('Balance Sheet'!AB23-'Balance Sheet'!AB20-'Balance Sheet'!AB22)</f>
        <v>0</v>
      </c>
      <c r="AD10" s="82">
        <f>('Balance Sheet'!AD23-'Balance Sheet'!AD20-'Balance Sheet'!AD22)-('Balance Sheet'!AC23-'Balance Sheet'!AC20-'Balance Sheet'!AC22)</f>
        <v>0</v>
      </c>
      <c r="AE10" s="82">
        <f>('Balance Sheet'!AE23-'Balance Sheet'!AE20-'Balance Sheet'!AE22)-('Balance Sheet'!AD23-'Balance Sheet'!AD20-'Balance Sheet'!AD22)</f>
        <v>-2.9802322387695313E-8</v>
      </c>
      <c r="AF10" s="82">
        <f>('Balance Sheet'!AF23-'Balance Sheet'!AF20-'Balance Sheet'!AF22)-('Balance Sheet'!AE23-'Balance Sheet'!AE20-'Balance Sheet'!AE22)</f>
        <v>0</v>
      </c>
      <c r="AG10" s="82">
        <f>('Balance Sheet'!AG23-'Balance Sheet'!AG20-'Balance Sheet'!AG22)-('Balance Sheet'!AF23-'Balance Sheet'!AF20-'Balance Sheet'!AF22)</f>
        <v>0</v>
      </c>
      <c r="AH10" s="82">
        <f>('Balance Sheet'!AH23-'Balance Sheet'!AH20-'Balance Sheet'!AH22)-('Balance Sheet'!AG23-'Balance Sheet'!AG20-'Balance Sheet'!AG22)</f>
        <v>0</v>
      </c>
      <c r="AI10" s="82">
        <f>('Balance Sheet'!AI23-'Balance Sheet'!AI20-'Balance Sheet'!AI22)-('Balance Sheet'!AH23-'Balance Sheet'!AH20-'Balance Sheet'!AH22)</f>
        <v>0</v>
      </c>
      <c r="AJ10" s="82">
        <f>('Balance Sheet'!AJ23-'Balance Sheet'!AJ20-'Balance Sheet'!AJ22)-('Balance Sheet'!AI23-'Balance Sheet'!AI20-'Balance Sheet'!AI22)</f>
        <v>0</v>
      </c>
      <c r="AK10" s="82">
        <f>('Balance Sheet'!AK23-'Balance Sheet'!AK20-'Balance Sheet'!AK22)-('Balance Sheet'!AJ23-'Balance Sheet'!AJ20-'Balance Sheet'!AJ22)</f>
        <v>0</v>
      </c>
      <c r="AL10" s="82">
        <f>('Balance Sheet'!AL23-'Balance Sheet'!AL20-'Balance Sheet'!AL22)-('Balance Sheet'!AK23-'Balance Sheet'!AK20-'Balance Sheet'!AK22)</f>
        <v>0</v>
      </c>
      <c r="AM10" s="82">
        <f>('Balance Sheet'!AM23-'Balance Sheet'!AM20-'Balance Sheet'!AM22)-('Balance Sheet'!AL23-'Balance Sheet'!AL20-'Balance Sheet'!AL22)</f>
        <v>111873.20378273726</v>
      </c>
      <c r="AN10" s="82">
        <f>('Balance Sheet'!AN23-'Balance Sheet'!AN20-'Balance Sheet'!AN22)-('Balance Sheet'!AM23-'Balance Sheet'!AM20-'Balance Sheet'!AM22)</f>
        <v>0</v>
      </c>
      <c r="AO10" s="82">
        <f>('Balance Sheet'!AO23-'Balance Sheet'!AO20-'Balance Sheet'!AO22)-('Balance Sheet'!AN23-'Balance Sheet'!AN20-'Balance Sheet'!AN22)</f>
        <v>0</v>
      </c>
      <c r="AP10" s="82">
        <f>('Balance Sheet'!AP23-'Balance Sheet'!AP20-'Balance Sheet'!AP22)-('Balance Sheet'!AO23-'Balance Sheet'!AO20-'Balance Sheet'!AO22)</f>
        <v>0</v>
      </c>
      <c r="AQ10" s="82">
        <f>('Balance Sheet'!AQ23-'Balance Sheet'!AQ20-'Balance Sheet'!AQ22)-('Balance Sheet'!AP23-'Balance Sheet'!AP20-'Balance Sheet'!AP22)</f>
        <v>0</v>
      </c>
      <c r="AR10" s="82">
        <f>('Balance Sheet'!AR23-'Balance Sheet'!AR20-'Balance Sheet'!AR22)-('Balance Sheet'!AQ23-'Balance Sheet'!AQ20-'Balance Sheet'!AQ22)</f>
        <v>0</v>
      </c>
      <c r="AS10" s="82">
        <f>('Balance Sheet'!AS23-'Balance Sheet'!AS20-'Balance Sheet'!AS22)-('Balance Sheet'!AR23-'Balance Sheet'!AR20-'Balance Sheet'!AR22)</f>
        <v>0</v>
      </c>
      <c r="AT10" s="82">
        <f>('Balance Sheet'!AT23-'Balance Sheet'!AT20-'Balance Sheet'!AT22)-('Balance Sheet'!AS23-'Balance Sheet'!AS20-'Balance Sheet'!AS22)</f>
        <v>0</v>
      </c>
      <c r="AU10" s="82">
        <f>('Balance Sheet'!AU23-'Balance Sheet'!AU20-'Balance Sheet'!AU22)-('Balance Sheet'!AT23-'Balance Sheet'!AT20-'Balance Sheet'!AT22)</f>
        <v>0</v>
      </c>
      <c r="AV10" s="82">
        <f>('Balance Sheet'!AV23-'Balance Sheet'!AV20-'Balance Sheet'!AV22)-('Balance Sheet'!AU23-'Balance Sheet'!AU20-'Balance Sheet'!AU22)</f>
        <v>0</v>
      </c>
      <c r="AW10" s="82">
        <f>('Balance Sheet'!AW23-'Balance Sheet'!AW20-'Balance Sheet'!AW22)-('Balance Sheet'!AV23-'Balance Sheet'!AV20-'Balance Sheet'!AV22)</f>
        <v>0</v>
      </c>
      <c r="AX10" s="82">
        <f>('Balance Sheet'!AX23-'Balance Sheet'!AX20-'Balance Sheet'!AX22)-('Balance Sheet'!AW23-'Balance Sheet'!AW20-'Balance Sheet'!AW22)</f>
        <v>0</v>
      </c>
      <c r="AY10" s="82">
        <f>('Balance Sheet'!AY23-'Balance Sheet'!AY20-'Balance Sheet'!AY22)-('Balance Sheet'!AX23-'Balance Sheet'!AX20-'Balance Sheet'!AX22)</f>
        <v>131604.91444468498</v>
      </c>
      <c r="AZ10" s="82">
        <f>('Balance Sheet'!AZ23-'Balance Sheet'!AZ20-'Balance Sheet'!AZ22)-('Balance Sheet'!AY23-'Balance Sheet'!AY20-'Balance Sheet'!AY22)</f>
        <v>0</v>
      </c>
      <c r="BA10" s="82">
        <f>('Balance Sheet'!BA23-'Balance Sheet'!BA20-'Balance Sheet'!BA22)-('Balance Sheet'!AZ23-'Balance Sheet'!AZ20-'Balance Sheet'!AZ22)</f>
        <v>0</v>
      </c>
      <c r="BB10" s="82">
        <f>('Balance Sheet'!BB23-'Balance Sheet'!BB20-'Balance Sheet'!BB22)-('Balance Sheet'!BA23-'Balance Sheet'!BA20-'Balance Sheet'!BA22)</f>
        <v>0</v>
      </c>
      <c r="BC10" s="82">
        <f>('Balance Sheet'!BC23-'Balance Sheet'!BC20-'Balance Sheet'!BC22)-('Balance Sheet'!BB23-'Balance Sheet'!BB20-'Balance Sheet'!BB22)</f>
        <v>0</v>
      </c>
      <c r="BD10" s="82">
        <f>('Balance Sheet'!BD23-'Balance Sheet'!BD20-'Balance Sheet'!BD22)-('Balance Sheet'!BC23-'Balance Sheet'!BC20-'Balance Sheet'!BC22)</f>
        <v>0</v>
      </c>
      <c r="BE10" s="82">
        <f>('Balance Sheet'!BE23-'Balance Sheet'!BE20-'Balance Sheet'!BE22)-('Balance Sheet'!BD23-'Balance Sheet'!BD20-'Balance Sheet'!BD22)</f>
        <v>0</v>
      </c>
      <c r="BF10" s="82">
        <f>('Balance Sheet'!BF23-'Balance Sheet'!BF20-'Balance Sheet'!BF22)-('Balance Sheet'!BE23-'Balance Sheet'!BE20-'Balance Sheet'!BE22)</f>
        <v>0</v>
      </c>
      <c r="BG10" s="82">
        <f>('Balance Sheet'!BG23-'Balance Sheet'!BG20-'Balance Sheet'!BG22)-('Balance Sheet'!BF23-'Balance Sheet'!BF20-'Balance Sheet'!BF22)</f>
        <v>-5.9604644775390625E-8</v>
      </c>
      <c r="BH10" s="82">
        <f>('Balance Sheet'!BH23-'Balance Sheet'!BH20-'Balance Sheet'!BH22)-('Balance Sheet'!BG23-'Balance Sheet'!BG20-'Balance Sheet'!BG22)</f>
        <v>0</v>
      </c>
      <c r="BI10" s="82">
        <f>('Balance Sheet'!BI23-'Balance Sheet'!BI20-'Balance Sheet'!BI22)-('Balance Sheet'!BH23-'Balance Sheet'!BH20-'Balance Sheet'!BH22)</f>
        <v>0</v>
      </c>
      <c r="BJ10" s="82">
        <f>('Balance Sheet'!BJ23-'Balance Sheet'!BJ20-'Balance Sheet'!BJ22)-('Balance Sheet'!BI23-'Balance Sheet'!BI20-'Balance Sheet'!BI22)</f>
        <v>0</v>
      </c>
      <c r="BK10" s="82">
        <f>('Balance Sheet'!BK23-'Balance Sheet'!BK20-'Balance Sheet'!BK22)-('Balance Sheet'!BJ23-'Balance Sheet'!BJ20-'Balance Sheet'!BJ22)</f>
        <v>88100.147978901863</v>
      </c>
      <c r="BL10" s="82">
        <f>('Balance Sheet'!BL23-'Balance Sheet'!BL20-'Balance Sheet'!BL22)-('Balance Sheet'!BK23-'Balance Sheet'!BK20-'Balance Sheet'!BK22)</f>
        <v>0</v>
      </c>
      <c r="BM10" s="82">
        <f>('Balance Sheet'!BM23-'Balance Sheet'!BM20-'Balance Sheet'!BM22)-('Balance Sheet'!BL23-'Balance Sheet'!BL20-'Balance Sheet'!BL22)</f>
        <v>0</v>
      </c>
      <c r="BN10" s="82">
        <f>('Balance Sheet'!BN23-'Balance Sheet'!BN20-'Balance Sheet'!BN22)-('Balance Sheet'!BM23-'Balance Sheet'!BM20-'Balance Sheet'!BM22)</f>
        <v>0</v>
      </c>
      <c r="BO10" s="82">
        <f>('Balance Sheet'!BO23-'Balance Sheet'!BO20-'Balance Sheet'!BO22)-('Balance Sheet'!BN23-'Balance Sheet'!BN20-'Balance Sheet'!BN22)</f>
        <v>0</v>
      </c>
      <c r="BP10" s="82">
        <f>('Balance Sheet'!BP23-'Balance Sheet'!BP20-'Balance Sheet'!BP22)-('Balance Sheet'!BO23-'Balance Sheet'!BO20-'Balance Sheet'!BO22)</f>
        <v>0</v>
      </c>
      <c r="BQ10" s="82">
        <f>('Balance Sheet'!BQ23-'Balance Sheet'!BQ20-'Balance Sheet'!BQ22)-('Balance Sheet'!BP23-'Balance Sheet'!BP20-'Balance Sheet'!BP22)</f>
        <v>0</v>
      </c>
      <c r="BR10" s="82">
        <f>('Balance Sheet'!BR23-'Balance Sheet'!BR20-'Balance Sheet'!BR22)-('Balance Sheet'!BQ23-'Balance Sheet'!BQ20-'Balance Sheet'!BQ22)</f>
        <v>0</v>
      </c>
      <c r="BS10" s="82">
        <f>('Balance Sheet'!BS23-'Balance Sheet'!BS20-'Balance Sheet'!BS22)-('Balance Sheet'!BR23-'Balance Sheet'!BR20-'Balance Sheet'!BR22)</f>
        <v>0</v>
      </c>
      <c r="BT10" s="82">
        <f>('Balance Sheet'!BT23-'Balance Sheet'!BT20-'Balance Sheet'!BT22)-('Balance Sheet'!BS23-'Balance Sheet'!BS20-'Balance Sheet'!BS22)</f>
        <v>0</v>
      </c>
      <c r="BU10" s="82">
        <f>('Balance Sheet'!BU23-'Balance Sheet'!BU20-'Balance Sheet'!BU22)-('Balance Sheet'!BT23-'Balance Sheet'!BT20-'Balance Sheet'!BT22)</f>
        <v>0</v>
      </c>
      <c r="BV10" s="82">
        <f>('Balance Sheet'!BV23-'Balance Sheet'!BV20-'Balance Sheet'!BV22)-('Balance Sheet'!BU23-'Balance Sheet'!BU20-'Balance Sheet'!BU22)</f>
        <v>0</v>
      </c>
      <c r="BW10" s="82">
        <f>('Balance Sheet'!BW23-'Balance Sheet'!BW20-'Balance Sheet'!BW22)-('Balance Sheet'!BV23-'Balance Sheet'!BV20-'Balance Sheet'!BV22)</f>
        <v>474268.3351713419</v>
      </c>
      <c r="BX10" s="82">
        <f>('Balance Sheet'!BX23-'Balance Sheet'!BX20-'Balance Sheet'!BX22)-('Balance Sheet'!BW23-'Balance Sheet'!BW20-'Balance Sheet'!BW22)</f>
        <v>0</v>
      </c>
      <c r="BY10" s="82">
        <f>('Balance Sheet'!BY23-'Balance Sheet'!BY20-'Balance Sheet'!BY22)-('Balance Sheet'!BX23-'Balance Sheet'!BX20-'Balance Sheet'!BX22)</f>
        <v>0</v>
      </c>
      <c r="BZ10" s="82">
        <f>('Balance Sheet'!BZ23-'Balance Sheet'!BZ20-'Balance Sheet'!BZ22)-('Balance Sheet'!BY23-'Balance Sheet'!BY20-'Balance Sheet'!BY22)</f>
        <v>0</v>
      </c>
      <c r="CA10" s="82">
        <f>('Balance Sheet'!CA23-'Balance Sheet'!CA20-'Balance Sheet'!CA22)-('Balance Sheet'!BZ23-'Balance Sheet'!BZ20-'Balance Sheet'!BZ22)</f>
        <v>0</v>
      </c>
      <c r="CB10" s="82">
        <f>('Balance Sheet'!CB23-'Balance Sheet'!CB20-'Balance Sheet'!CB22)-('Balance Sheet'!CA23-'Balance Sheet'!CA20-'Balance Sheet'!CA22)</f>
        <v>0</v>
      </c>
      <c r="CC10" s="82">
        <f>('Balance Sheet'!CC23-'Balance Sheet'!CC20-'Balance Sheet'!CC22)-('Balance Sheet'!CB23-'Balance Sheet'!CB20-'Balance Sheet'!CB22)</f>
        <v>0</v>
      </c>
      <c r="CD10" s="82">
        <f>('Balance Sheet'!CD23-'Balance Sheet'!CD20-'Balance Sheet'!CD22)-('Balance Sheet'!CC23-'Balance Sheet'!CC20-'Balance Sheet'!CC22)</f>
        <v>0</v>
      </c>
      <c r="CE10" s="82">
        <f>('Balance Sheet'!CE23-'Balance Sheet'!CE20-'Balance Sheet'!CE22)-('Balance Sheet'!CD23-'Balance Sheet'!CD20-'Balance Sheet'!CD22)</f>
        <v>0</v>
      </c>
      <c r="CF10" s="82">
        <f>('Balance Sheet'!CF23-'Balance Sheet'!CF20-'Balance Sheet'!CF22)-('Balance Sheet'!CE23-'Balance Sheet'!CE20-'Balance Sheet'!CE22)</f>
        <v>0</v>
      </c>
      <c r="CG10" s="82">
        <f>('Balance Sheet'!CG23-'Balance Sheet'!CG20-'Balance Sheet'!CG22)-('Balance Sheet'!CF23-'Balance Sheet'!CF20-'Balance Sheet'!CF22)</f>
        <v>0</v>
      </c>
      <c r="CH10" s="82">
        <f>('Balance Sheet'!CH23-'Balance Sheet'!CH20-'Balance Sheet'!CH22)-('Balance Sheet'!CG23-'Balance Sheet'!CG20-'Balance Sheet'!CG22)</f>
        <v>0</v>
      </c>
      <c r="CI10" s="82">
        <f>('Balance Sheet'!CI23-'Balance Sheet'!CI20-'Balance Sheet'!CI22)-('Balance Sheet'!CH23-'Balance Sheet'!CH20-'Balance Sheet'!CH22)</f>
        <v>0</v>
      </c>
      <c r="CJ10" s="82">
        <f>('Balance Sheet'!CJ23-'Balance Sheet'!CJ20-'Balance Sheet'!CJ22)-('Balance Sheet'!CI23-'Balance Sheet'!CI20-'Balance Sheet'!CI22)</f>
        <v>0</v>
      </c>
      <c r="CK10" s="82">
        <f>('Balance Sheet'!CK23-'Balance Sheet'!CK20-'Balance Sheet'!CK22)-('Balance Sheet'!CJ23-'Balance Sheet'!CJ20-'Balance Sheet'!CJ22)</f>
        <v>0</v>
      </c>
      <c r="CL10" s="82">
        <f>('Balance Sheet'!CL23-'Balance Sheet'!CL20-'Balance Sheet'!CL22)-('Balance Sheet'!CK23-'Balance Sheet'!CK20-'Balance Sheet'!CK22)</f>
        <v>0</v>
      </c>
      <c r="CM10" s="82">
        <f>('Balance Sheet'!CM23-'Balance Sheet'!CM20-'Balance Sheet'!CM22)-('Balance Sheet'!CL23-'Balance Sheet'!CL20-'Balance Sheet'!CL22)</f>
        <v>0</v>
      </c>
      <c r="CN10" s="82">
        <f>('Balance Sheet'!CN23-'Balance Sheet'!CN20-'Balance Sheet'!CN22)-('Balance Sheet'!CM23-'Balance Sheet'!CM20-'Balance Sheet'!CM22)</f>
        <v>54040.965524077415</v>
      </c>
      <c r="CO10" s="82">
        <f>('Balance Sheet'!CO23-'Balance Sheet'!CO20-'Balance Sheet'!CO22)-('Balance Sheet'!CN23-'Balance Sheet'!CN20-'Balance Sheet'!CN22)</f>
        <v>0</v>
      </c>
      <c r="CP10" s="82">
        <f>('Balance Sheet'!CP23-'Balance Sheet'!CP20-'Balance Sheet'!CP22)-('Balance Sheet'!CO23-'Balance Sheet'!CO20-'Balance Sheet'!CO22)</f>
        <v>0</v>
      </c>
      <c r="CQ10" s="82">
        <f>('Balance Sheet'!CQ23-'Balance Sheet'!CQ20-'Balance Sheet'!CQ22)-('Balance Sheet'!CP23-'Balance Sheet'!CP20-'Balance Sheet'!CP22)</f>
        <v>0</v>
      </c>
      <c r="CR10" s="82">
        <f>('Balance Sheet'!CR23-'Balance Sheet'!CR20-'Balance Sheet'!CR22)-('Balance Sheet'!CQ23-'Balance Sheet'!CQ20-'Balance Sheet'!CQ22)</f>
        <v>0</v>
      </c>
      <c r="CS10" s="82">
        <f>('Balance Sheet'!CS23-'Balance Sheet'!CS20-'Balance Sheet'!CS22)-('Balance Sheet'!CR23-'Balance Sheet'!CR20-'Balance Sheet'!CR22)</f>
        <v>0</v>
      </c>
      <c r="CT10" s="82">
        <f>('Balance Sheet'!CT23-'Balance Sheet'!CT20-'Balance Sheet'!CT22)-('Balance Sheet'!CS23-'Balance Sheet'!CS20-'Balance Sheet'!CS22)</f>
        <v>0</v>
      </c>
      <c r="CU10" s="82">
        <f>('Balance Sheet'!CU23-'Balance Sheet'!CU20-'Balance Sheet'!CU22)-('Balance Sheet'!CT23-'Balance Sheet'!CT20-'Balance Sheet'!CT22)</f>
        <v>77967.92132794857</v>
      </c>
      <c r="CV10" s="82">
        <f>('Balance Sheet'!CV23-'Balance Sheet'!CV20-'Balance Sheet'!CV22)-('Balance Sheet'!CU23-'Balance Sheet'!CU20-'Balance Sheet'!CU22)</f>
        <v>0</v>
      </c>
      <c r="CW10" s="82">
        <f>('Balance Sheet'!CW23-'Balance Sheet'!CW20-'Balance Sheet'!CW22)-('Balance Sheet'!CV23-'Balance Sheet'!CV20-'Balance Sheet'!CV22)</f>
        <v>0</v>
      </c>
      <c r="CX10" s="82">
        <f>('Balance Sheet'!CX23-'Balance Sheet'!CX20-'Balance Sheet'!CX22)-('Balance Sheet'!CW23-'Balance Sheet'!CW20-'Balance Sheet'!CW22)</f>
        <v>0</v>
      </c>
      <c r="CY10" s="82">
        <f>('Balance Sheet'!CY23-'Balance Sheet'!CY20-'Balance Sheet'!CY22)-('Balance Sheet'!CX23-'Balance Sheet'!CX20-'Balance Sheet'!CX22)</f>
        <v>0</v>
      </c>
      <c r="CZ10" s="82">
        <f>('Balance Sheet'!CZ23-'Balance Sheet'!CZ20-'Balance Sheet'!CZ22)-('Balance Sheet'!CY23-'Balance Sheet'!CY20-'Balance Sheet'!CY22)</f>
        <v>0</v>
      </c>
      <c r="DA10" s="82">
        <f>('Balance Sheet'!DA23-'Balance Sheet'!DA20-'Balance Sheet'!DA22)-('Balance Sheet'!CZ23-'Balance Sheet'!CZ20-'Balance Sheet'!CZ22)</f>
        <v>0</v>
      </c>
      <c r="DB10" s="82">
        <f>('Balance Sheet'!DB23-'Balance Sheet'!DB20-'Balance Sheet'!DB22)-('Balance Sheet'!DA23-'Balance Sheet'!DA20-'Balance Sheet'!DA22)</f>
        <v>0</v>
      </c>
      <c r="DC10" s="82">
        <f>('Balance Sheet'!DC23-'Balance Sheet'!DC20-'Balance Sheet'!DC22)-('Balance Sheet'!DB23-'Balance Sheet'!DB20-'Balance Sheet'!DB22)</f>
        <v>0</v>
      </c>
      <c r="DD10" s="82">
        <f>('Balance Sheet'!DD23-'Balance Sheet'!DD20-'Balance Sheet'!DD22)-('Balance Sheet'!DC23-'Balance Sheet'!DC20-'Balance Sheet'!DC22)</f>
        <v>0</v>
      </c>
      <c r="DE10" s="82">
        <f>('Balance Sheet'!DE23-'Balance Sheet'!DE20-'Balance Sheet'!DE22)-('Balance Sheet'!DD23-'Balance Sheet'!DD20-'Balance Sheet'!DD22)</f>
        <v>0</v>
      </c>
      <c r="DF10" s="82">
        <f>('Balance Sheet'!DF23-'Balance Sheet'!DF20-'Balance Sheet'!DF22)-('Balance Sheet'!DE23-'Balance Sheet'!DE20-'Balance Sheet'!DE22)</f>
        <v>0</v>
      </c>
      <c r="DG10" s="82">
        <f>('Balance Sheet'!DG23-'Balance Sheet'!DG20-'Balance Sheet'!DG22)-('Balance Sheet'!DF23-'Balance Sheet'!DF20-'Balance Sheet'!DF22)</f>
        <v>54040.965524077415</v>
      </c>
      <c r="DH10" s="82">
        <f>('Balance Sheet'!DH23-'Balance Sheet'!DH20-'Balance Sheet'!DH22)-('Balance Sheet'!DG23-'Balance Sheet'!DG20-'Balance Sheet'!DG22)</f>
        <v>0</v>
      </c>
      <c r="DI10" s="82">
        <f>('Balance Sheet'!DI23-'Balance Sheet'!DI20-'Balance Sheet'!DI22)-('Balance Sheet'!DH23-'Balance Sheet'!DH20-'Balance Sheet'!DH22)</f>
        <v>0</v>
      </c>
      <c r="DJ10" s="82">
        <f>('Balance Sheet'!DJ23-'Balance Sheet'!DJ20-'Balance Sheet'!DJ22)-('Balance Sheet'!DI23-'Balance Sheet'!DI20-'Balance Sheet'!DI22)</f>
        <v>0</v>
      </c>
      <c r="DK10" s="82">
        <f>('Balance Sheet'!DK23-'Balance Sheet'!DK20-'Balance Sheet'!DK22)-('Balance Sheet'!DJ23-'Balance Sheet'!DJ20-'Balance Sheet'!DJ22)</f>
        <v>0</v>
      </c>
      <c r="DL10" s="82">
        <f>('Balance Sheet'!DL23-'Balance Sheet'!DL20-'Balance Sheet'!DL22)-('Balance Sheet'!DK23-'Balance Sheet'!DK20-'Balance Sheet'!DK22)</f>
        <v>0</v>
      </c>
      <c r="DM10" s="82">
        <f>('Balance Sheet'!DM23-'Balance Sheet'!DM20-'Balance Sheet'!DM22)-('Balance Sheet'!DL23-'Balance Sheet'!DL20-'Balance Sheet'!DL22)</f>
        <v>0</v>
      </c>
      <c r="DN10" s="82">
        <f>('Balance Sheet'!DN23-'Balance Sheet'!DN20-'Balance Sheet'!DN22)-('Balance Sheet'!DM23-'Balance Sheet'!DM20-'Balance Sheet'!DM22)</f>
        <v>0</v>
      </c>
      <c r="DO10" s="82">
        <f>('Balance Sheet'!DO23-'Balance Sheet'!DO20-'Balance Sheet'!DO22)-('Balance Sheet'!DN23-'Balance Sheet'!DN20-'Balance Sheet'!DN22)</f>
        <v>0</v>
      </c>
      <c r="DP10" s="82">
        <f>('Balance Sheet'!DP23-'Balance Sheet'!DP20-'Balance Sheet'!DP22)-('Balance Sheet'!DO23-'Balance Sheet'!DO20-'Balance Sheet'!DO22)</f>
        <v>0</v>
      </c>
      <c r="DQ10" s="82">
        <f>('Balance Sheet'!DQ23-'Balance Sheet'!DQ20-'Balance Sheet'!DQ22)-('Balance Sheet'!DP23-'Balance Sheet'!DP20-'Balance Sheet'!DP22)</f>
        <v>0</v>
      </c>
      <c r="DR10" s="82">
        <f>('Balance Sheet'!DR23-'Balance Sheet'!DR20-'Balance Sheet'!DR22)-('Balance Sheet'!DQ23-'Balance Sheet'!DQ20-'Balance Sheet'!DQ22)</f>
        <v>0</v>
      </c>
      <c r="DS10" s="82">
        <f>('Balance Sheet'!DS23-'Balance Sheet'!DS20-'Balance Sheet'!DS22)-('Balance Sheet'!DR23-'Balance Sheet'!DR20-'Balance Sheet'!DR22)</f>
        <v>77967.921327829361</v>
      </c>
      <c r="DT10" s="82">
        <f>('Balance Sheet'!DT23-'Balance Sheet'!DT20-'Balance Sheet'!DT22)-('Balance Sheet'!DS23-'Balance Sheet'!DS20-'Balance Sheet'!DS22)</f>
        <v>0</v>
      </c>
      <c r="DU10" s="82">
        <f>('Balance Sheet'!DU23-'Balance Sheet'!DU20-'Balance Sheet'!DU22)-('Balance Sheet'!DT23-'Balance Sheet'!DT20-'Balance Sheet'!DT22)</f>
        <v>0</v>
      </c>
      <c r="DV10" s="82">
        <f>('Balance Sheet'!DV23-'Balance Sheet'!DV20-'Balance Sheet'!DV22)-('Balance Sheet'!DU23-'Balance Sheet'!DU20-'Balance Sheet'!DU22)</f>
        <v>0</v>
      </c>
      <c r="DW10" s="82">
        <f>('Balance Sheet'!DW23-'Balance Sheet'!DW20-'Balance Sheet'!DW22)-('Balance Sheet'!DV23-'Balance Sheet'!DV20-'Balance Sheet'!DV22)</f>
        <v>0</v>
      </c>
      <c r="DX10" s="82">
        <f>('Balance Sheet'!DX23-'Balance Sheet'!DX20-'Balance Sheet'!DX22)-('Balance Sheet'!DW23-'Balance Sheet'!DW20-'Balance Sheet'!DW22)</f>
        <v>0</v>
      </c>
      <c r="DY10" s="82">
        <f>('Balance Sheet'!DY23-'Balance Sheet'!DY20-'Balance Sheet'!DY22)-('Balance Sheet'!DX23-'Balance Sheet'!DX20-'Balance Sheet'!DX22)</f>
        <v>0</v>
      </c>
      <c r="DZ10" s="82">
        <f>('Balance Sheet'!DZ23-'Balance Sheet'!DZ20-'Balance Sheet'!DZ22)-('Balance Sheet'!DY23-'Balance Sheet'!DY20-'Balance Sheet'!DY22)</f>
        <v>0</v>
      </c>
      <c r="EA10" s="82">
        <f>('Balance Sheet'!EA23-'Balance Sheet'!EA20-'Balance Sheet'!EA22)-('Balance Sheet'!DZ23-'Balance Sheet'!DZ20-'Balance Sheet'!DZ22)</f>
        <v>0</v>
      </c>
      <c r="EB10" s="82">
        <f>('Balance Sheet'!EB23-'Balance Sheet'!EB20-'Balance Sheet'!EB22)-('Balance Sheet'!EA23-'Balance Sheet'!EA20-'Balance Sheet'!EA22)</f>
        <v>0</v>
      </c>
      <c r="EC10" s="82">
        <f>('Balance Sheet'!EC23-'Balance Sheet'!EC20-'Balance Sheet'!EC22)-('Balance Sheet'!EB23-'Balance Sheet'!EB20-'Balance Sheet'!EB22)</f>
        <v>0</v>
      </c>
      <c r="ED10" s="82">
        <f>('Balance Sheet'!ED23-'Balance Sheet'!ED20-'Balance Sheet'!ED22)-('Balance Sheet'!EC23-'Balance Sheet'!EC20-'Balance Sheet'!EC22)</f>
        <v>0</v>
      </c>
      <c r="EE10" s="82">
        <f>('Balance Sheet'!EE23-'Balance Sheet'!EE20-'Balance Sheet'!EE22)-('Balance Sheet'!ED23-'Balance Sheet'!ED20-'Balance Sheet'!ED22)</f>
        <v>54040.965524196625</v>
      </c>
      <c r="EF10" s="82">
        <f>('Balance Sheet'!EF23-'Balance Sheet'!EF20-'Balance Sheet'!EF22)-('Balance Sheet'!EE23-'Balance Sheet'!EE20-'Balance Sheet'!EE22)</f>
        <v>0</v>
      </c>
      <c r="EG10" s="82">
        <f>('Balance Sheet'!EG23-'Balance Sheet'!EG20-'Balance Sheet'!EG22)-('Balance Sheet'!EF23-'Balance Sheet'!EF20-'Balance Sheet'!EF22)</f>
        <v>0</v>
      </c>
      <c r="EH10" s="82">
        <f>('Balance Sheet'!EH23-'Balance Sheet'!EH20-'Balance Sheet'!EH22)-('Balance Sheet'!EG23-'Balance Sheet'!EG20-'Balance Sheet'!EG22)</f>
        <v>0</v>
      </c>
      <c r="EI10" s="82">
        <f>('Balance Sheet'!EI23-'Balance Sheet'!EI20-'Balance Sheet'!EI22)-('Balance Sheet'!EH23-'Balance Sheet'!EH20-'Balance Sheet'!EH22)</f>
        <v>0</v>
      </c>
      <c r="EJ10" s="82">
        <f>('Balance Sheet'!EJ23-'Balance Sheet'!EJ20-'Balance Sheet'!EJ22)-('Balance Sheet'!EI23-'Balance Sheet'!EI20-'Balance Sheet'!EI22)</f>
        <v>0</v>
      </c>
      <c r="EK10" s="82">
        <f>('Balance Sheet'!EK23-'Balance Sheet'!EK20-'Balance Sheet'!EK22)-('Balance Sheet'!EJ23-'Balance Sheet'!EJ20-'Balance Sheet'!EJ22)</f>
        <v>0</v>
      </c>
      <c r="EL10" s="82">
        <f>('Balance Sheet'!EL23-'Balance Sheet'!EL20-'Balance Sheet'!EL22)-('Balance Sheet'!EK23-'Balance Sheet'!EK20-'Balance Sheet'!EK22)</f>
        <v>0</v>
      </c>
      <c r="EM10" s="82">
        <f>('Balance Sheet'!EM23-'Balance Sheet'!EM20-'Balance Sheet'!EM22)-('Balance Sheet'!EL23-'Balance Sheet'!EL20-'Balance Sheet'!EL22)</f>
        <v>0</v>
      </c>
      <c r="EN10" s="82">
        <f>('Balance Sheet'!EN23-'Balance Sheet'!EN20-'Balance Sheet'!EN22)-('Balance Sheet'!EM23-'Balance Sheet'!EM20-'Balance Sheet'!EM22)</f>
        <v>0</v>
      </c>
      <c r="EO10" s="82">
        <f>('Balance Sheet'!EO23-'Balance Sheet'!EO20-'Balance Sheet'!EO22)-('Balance Sheet'!EN23-'Balance Sheet'!EN20-'Balance Sheet'!EN22)</f>
        <v>0</v>
      </c>
      <c r="EP10" s="82">
        <f>('Balance Sheet'!EP23-'Balance Sheet'!EP20-'Balance Sheet'!EP22)-('Balance Sheet'!EO23-'Balance Sheet'!EO20-'Balance Sheet'!EO22)</f>
        <v>0</v>
      </c>
      <c r="EQ10" s="82">
        <f>('Balance Sheet'!EQ23-'Balance Sheet'!EQ20-'Balance Sheet'!EQ22)-('Balance Sheet'!EP23-'Balance Sheet'!EP20-'Balance Sheet'!EP22)</f>
        <v>77967.921327829361</v>
      </c>
      <c r="ER10" s="82">
        <f>('Balance Sheet'!ER23-'Balance Sheet'!ER20-'Balance Sheet'!ER22)-('Balance Sheet'!EQ23-'Balance Sheet'!EQ20-'Balance Sheet'!EQ22)</f>
        <v>0</v>
      </c>
      <c r="ES10" s="82">
        <f>('Balance Sheet'!ES23-'Balance Sheet'!ES20-'Balance Sheet'!ES22)-('Balance Sheet'!ER23-'Balance Sheet'!ER20-'Balance Sheet'!ER22)</f>
        <v>0</v>
      </c>
      <c r="ET10" s="82">
        <f>('Balance Sheet'!ET23-'Balance Sheet'!ET20-'Balance Sheet'!ET22)-('Balance Sheet'!ES23-'Balance Sheet'!ES20-'Balance Sheet'!ES22)</f>
        <v>0</v>
      </c>
      <c r="EU10" s="82">
        <f>('Balance Sheet'!EU23-'Balance Sheet'!EU20-'Balance Sheet'!EU22)-('Balance Sheet'!ET23-'Balance Sheet'!ET20-'Balance Sheet'!ET22)</f>
        <v>0</v>
      </c>
      <c r="EV10" s="82">
        <f>('Balance Sheet'!EV23-'Balance Sheet'!EV20-'Balance Sheet'!EV22)-('Balance Sheet'!EU23-'Balance Sheet'!EU20-'Balance Sheet'!EU22)</f>
        <v>0</v>
      </c>
      <c r="EW10" s="82">
        <f>('Balance Sheet'!EW23-'Balance Sheet'!EW20-'Balance Sheet'!EW22)-('Balance Sheet'!EV23-'Balance Sheet'!EV20-'Balance Sheet'!EV22)</f>
        <v>0</v>
      </c>
      <c r="EX10" s="82">
        <f>('Balance Sheet'!EX23-'Balance Sheet'!EX20-'Balance Sheet'!EX22)-('Balance Sheet'!EW23-'Balance Sheet'!EW20-'Balance Sheet'!EW22)</f>
        <v>0</v>
      </c>
      <c r="EY10" s="82">
        <f>('Balance Sheet'!EY23-'Balance Sheet'!EY20-'Balance Sheet'!EY22)-('Balance Sheet'!EX23-'Balance Sheet'!EX20-'Balance Sheet'!EX22)</f>
        <v>0</v>
      </c>
      <c r="EZ10" s="82">
        <f>('Balance Sheet'!EZ23-'Balance Sheet'!EZ20-'Balance Sheet'!EZ22)-('Balance Sheet'!EY23-'Balance Sheet'!EY20-'Balance Sheet'!EY22)</f>
        <v>0</v>
      </c>
      <c r="FA10" s="82">
        <f>('Balance Sheet'!FA23-'Balance Sheet'!FA20-'Balance Sheet'!FA22)-('Balance Sheet'!EZ23-'Balance Sheet'!EZ20-'Balance Sheet'!EZ22)</f>
        <v>0</v>
      </c>
      <c r="FB10" s="82">
        <f>('Balance Sheet'!FB23-'Balance Sheet'!FB20-'Balance Sheet'!FB22)-('Balance Sheet'!FA23-'Balance Sheet'!FA20-'Balance Sheet'!FA22)</f>
        <v>0</v>
      </c>
      <c r="FC10" s="82">
        <f>('Balance Sheet'!FC23-'Balance Sheet'!FC20-'Balance Sheet'!FC22)-('Balance Sheet'!FB23-'Balance Sheet'!FB20-'Balance Sheet'!FB22)</f>
        <v>54040.965524196625</v>
      </c>
      <c r="FD10" s="82">
        <f>('Balance Sheet'!FD23-'Balance Sheet'!FD20-'Balance Sheet'!FD22)-('Balance Sheet'!FC23-'Balance Sheet'!FC20-'Balance Sheet'!FC22)</f>
        <v>0</v>
      </c>
      <c r="FE10" s="82">
        <f>('Balance Sheet'!FE23-'Balance Sheet'!FE20-'Balance Sheet'!FE22)-('Balance Sheet'!FD23-'Balance Sheet'!FD20-'Balance Sheet'!FD22)</f>
        <v>0</v>
      </c>
      <c r="FF10" s="82">
        <f>('Balance Sheet'!FF23-'Balance Sheet'!FF20-'Balance Sheet'!FF22)-('Balance Sheet'!FE23-'Balance Sheet'!FE20-'Balance Sheet'!FE22)</f>
        <v>0</v>
      </c>
      <c r="FG10" s="82">
        <f>('Balance Sheet'!FG23-'Balance Sheet'!FG20-'Balance Sheet'!FG22)-('Balance Sheet'!FF23-'Balance Sheet'!FF20-'Balance Sheet'!FF22)</f>
        <v>0</v>
      </c>
      <c r="FH10" s="82">
        <f>('Balance Sheet'!FH23-'Balance Sheet'!FH20-'Balance Sheet'!FH22)-('Balance Sheet'!FG23-'Balance Sheet'!FG20-'Balance Sheet'!FG22)</f>
        <v>0</v>
      </c>
      <c r="FI10" s="82">
        <f>('Balance Sheet'!FI23-'Balance Sheet'!FI20-'Balance Sheet'!FI22)-('Balance Sheet'!FH23-'Balance Sheet'!FH20-'Balance Sheet'!FH22)</f>
        <v>0</v>
      </c>
      <c r="FJ10" s="82">
        <f>('Balance Sheet'!FJ23-'Balance Sheet'!FJ20-'Balance Sheet'!FJ22)-('Balance Sheet'!FI23-'Balance Sheet'!FI20-'Balance Sheet'!FI22)</f>
        <v>0</v>
      </c>
      <c r="FK10" s="82">
        <f>('Balance Sheet'!FK23-'Balance Sheet'!FK20-'Balance Sheet'!FK22)-('Balance Sheet'!FJ23-'Balance Sheet'!FJ20-'Balance Sheet'!FJ22)</f>
        <v>0</v>
      </c>
      <c r="FL10" s="82">
        <f>('Balance Sheet'!FL23-'Balance Sheet'!FL20-'Balance Sheet'!FL22)-('Balance Sheet'!FK23-'Balance Sheet'!FK20-'Balance Sheet'!FK22)</f>
        <v>0</v>
      </c>
      <c r="FM10" s="82">
        <f>('Balance Sheet'!FM23-'Balance Sheet'!FM20-'Balance Sheet'!FM22)-('Balance Sheet'!FL23-'Balance Sheet'!FL20-'Balance Sheet'!FL22)</f>
        <v>0</v>
      </c>
      <c r="FN10" s="82">
        <f>('Balance Sheet'!FN23-'Balance Sheet'!FN20-'Balance Sheet'!FN22)-('Balance Sheet'!FM23-'Balance Sheet'!FM20-'Balance Sheet'!FM22)</f>
        <v>0</v>
      </c>
      <c r="FO10" s="82">
        <f>('Balance Sheet'!FO23-'Balance Sheet'!FO20-'Balance Sheet'!FO22)-('Balance Sheet'!FN23-'Balance Sheet'!FN20-'Balance Sheet'!FN22)</f>
        <v>77967.921327829361</v>
      </c>
      <c r="FP10" s="82">
        <f>('Balance Sheet'!FP23-'Balance Sheet'!FP20-'Balance Sheet'!FP22)-('Balance Sheet'!FO23-'Balance Sheet'!FO20-'Balance Sheet'!FO22)</f>
        <v>0</v>
      </c>
      <c r="FQ10" s="82">
        <f>('Balance Sheet'!FQ23-'Balance Sheet'!FQ20-'Balance Sheet'!FQ22)-('Balance Sheet'!FP23-'Balance Sheet'!FP20-'Balance Sheet'!FP22)</f>
        <v>0</v>
      </c>
      <c r="FR10" s="82">
        <f>('Balance Sheet'!FR23-'Balance Sheet'!FR20-'Balance Sheet'!FR22)-('Balance Sheet'!FQ23-'Balance Sheet'!FQ20-'Balance Sheet'!FQ22)</f>
        <v>0</v>
      </c>
      <c r="FS10" s="82">
        <f>('Balance Sheet'!FS23-'Balance Sheet'!FS20-'Balance Sheet'!FS22)-('Balance Sheet'!FR23-'Balance Sheet'!FR20-'Balance Sheet'!FR22)</f>
        <v>0</v>
      </c>
      <c r="FT10" s="82">
        <f>('Balance Sheet'!FT23-'Balance Sheet'!FT20-'Balance Sheet'!FT22)-('Balance Sheet'!FS23-'Balance Sheet'!FS20-'Balance Sheet'!FS22)</f>
        <v>0</v>
      </c>
      <c r="FU10" s="82">
        <f>('Balance Sheet'!FU23-'Balance Sheet'!FU20-'Balance Sheet'!FU22)-('Balance Sheet'!FT23-'Balance Sheet'!FT20-'Balance Sheet'!FT22)</f>
        <v>0</v>
      </c>
      <c r="FV10" s="82">
        <f>('Balance Sheet'!FV23-'Balance Sheet'!FV20-'Balance Sheet'!FV22)-('Balance Sheet'!FU23-'Balance Sheet'!FU20-'Balance Sheet'!FU22)</f>
        <v>0</v>
      </c>
      <c r="FW10" s="82">
        <f>('Balance Sheet'!FW23-'Balance Sheet'!FW20-'Balance Sheet'!FW22)-('Balance Sheet'!FV23-'Balance Sheet'!FV20-'Balance Sheet'!FV22)</f>
        <v>0</v>
      </c>
      <c r="FX10" s="82">
        <f>('Balance Sheet'!FX23-'Balance Sheet'!FX20-'Balance Sheet'!FX22)-('Balance Sheet'!FW23-'Balance Sheet'!FW20-'Balance Sheet'!FW22)</f>
        <v>0</v>
      </c>
      <c r="FY10" s="82">
        <f>('Balance Sheet'!FY23-'Balance Sheet'!FY20-'Balance Sheet'!FY22)-('Balance Sheet'!FX23-'Balance Sheet'!FX20-'Balance Sheet'!FX22)</f>
        <v>0</v>
      </c>
      <c r="FZ10" s="82">
        <f>('Balance Sheet'!FZ23-'Balance Sheet'!FZ20-'Balance Sheet'!FZ22)-('Balance Sheet'!FY23-'Balance Sheet'!FY20-'Balance Sheet'!FY22)</f>
        <v>0</v>
      </c>
      <c r="GA10" s="82">
        <f>('Balance Sheet'!GA23-'Balance Sheet'!GA20-'Balance Sheet'!GA22)-('Balance Sheet'!FZ23-'Balance Sheet'!FZ20-'Balance Sheet'!FZ22)</f>
        <v>54040.965524196625</v>
      </c>
      <c r="GB10" s="82">
        <f>('Balance Sheet'!GB23-'Balance Sheet'!GB20-'Balance Sheet'!GB22)-('Balance Sheet'!GA23-'Balance Sheet'!GA20-'Balance Sheet'!GA22)</f>
        <v>0</v>
      </c>
      <c r="GC10" s="82">
        <f>('Balance Sheet'!GC23-'Balance Sheet'!GC20-'Balance Sheet'!GC22)-('Balance Sheet'!GB23-'Balance Sheet'!GB20-'Balance Sheet'!GB22)</f>
        <v>0</v>
      </c>
      <c r="GD10" s="82">
        <f>('Balance Sheet'!GD23-'Balance Sheet'!GD20-'Balance Sheet'!GD22)-('Balance Sheet'!GC23-'Balance Sheet'!GC20-'Balance Sheet'!GC22)</f>
        <v>0</v>
      </c>
      <c r="GE10" s="82">
        <f>('Balance Sheet'!GE23-'Balance Sheet'!GE20-'Balance Sheet'!GE22)-('Balance Sheet'!GD23-'Balance Sheet'!GD20-'Balance Sheet'!GD22)</f>
        <v>0</v>
      </c>
      <c r="GF10" s="82">
        <f>('Balance Sheet'!GF23-'Balance Sheet'!GF20-'Balance Sheet'!GF22)-('Balance Sheet'!GE23-'Balance Sheet'!GE20-'Balance Sheet'!GE22)</f>
        <v>0</v>
      </c>
      <c r="GG10" s="82">
        <f>('Balance Sheet'!GG23-'Balance Sheet'!GG20-'Balance Sheet'!GG22)-('Balance Sheet'!GF23-'Balance Sheet'!GF20-'Balance Sheet'!GF22)</f>
        <v>0</v>
      </c>
      <c r="GH10" s="82">
        <f>('Balance Sheet'!GH23-'Balance Sheet'!GH20-'Balance Sheet'!GH22)-('Balance Sheet'!GG23-'Balance Sheet'!GG20-'Balance Sheet'!GG22)</f>
        <v>0</v>
      </c>
      <c r="GI10" s="82">
        <f>('Balance Sheet'!GI23-'Balance Sheet'!GI20-'Balance Sheet'!GI22)-('Balance Sheet'!GH23-'Balance Sheet'!GH20-'Balance Sheet'!GH22)</f>
        <v>0</v>
      </c>
      <c r="GJ10" s="82">
        <f>('Balance Sheet'!GJ23-'Balance Sheet'!GJ20-'Balance Sheet'!GJ22)-('Balance Sheet'!GI23-'Balance Sheet'!GI20-'Balance Sheet'!GI22)</f>
        <v>0</v>
      </c>
      <c r="GK10" s="82">
        <f>('Balance Sheet'!GK23-'Balance Sheet'!GK20-'Balance Sheet'!GK22)-('Balance Sheet'!GJ23-'Balance Sheet'!GJ20-'Balance Sheet'!GJ22)</f>
        <v>0</v>
      </c>
      <c r="GL10" s="82">
        <f>('Balance Sheet'!GL23-'Balance Sheet'!GL20-'Balance Sheet'!GL22)-('Balance Sheet'!GK23-'Balance Sheet'!GK20-'Balance Sheet'!GK22)</f>
        <v>0</v>
      </c>
      <c r="GM10" s="82">
        <f>('Balance Sheet'!GM23-'Balance Sheet'!GM20-'Balance Sheet'!GM22)-('Balance Sheet'!GL23-'Balance Sheet'!GL20-'Balance Sheet'!GL22)</f>
        <v>77967.921327829361</v>
      </c>
      <c r="GN10" s="82">
        <f>('Balance Sheet'!GN23-'Balance Sheet'!GN20-'Balance Sheet'!GN22)-('Balance Sheet'!GM23-'Balance Sheet'!GM20-'Balance Sheet'!GM22)</f>
        <v>0</v>
      </c>
      <c r="GO10" s="82">
        <f>('Balance Sheet'!GO23-'Balance Sheet'!GO20-'Balance Sheet'!GO22)-('Balance Sheet'!GN23-'Balance Sheet'!GN20-'Balance Sheet'!GN22)</f>
        <v>0</v>
      </c>
      <c r="GP10" s="82">
        <f>('Balance Sheet'!GP23-'Balance Sheet'!GP20-'Balance Sheet'!GP22)-('Balance Sheet'!GO23-'Balance Sheet'!GO20-'Balance Sheet'!GO22)</f>
        <v>0</v>
      </c>
      <c r="GQ10" s="82">
        <f>('Balance Sheet'!GQ23-'Balance Sheet'!GQ20-'Balance Sheet'!GQ22)-('Balance Sheet'!GP23-'Balance Sheet'!GP20-'Balance Sheet'!GP22)</f>
        <v>0</v>
      </c>
      <c r="GR10" s="82">
        <f>('Balance Sheet'!GR23-'Balance Sheet'!GR20-'Balance Sheet'!GR22)-('Balance Sheet'!GQ23-'Balance Sheet'!GQ20-'Balance Sheet'!GQ22)</f>
        <v>0</v>
      </c>
      <c r="GS10" s="82">
        <f>('Balance Sheet'!GS23-'Balance Sheet'!GS20-'Balance Sheet'!GS22)-('Balance Sheet'!GR23-'Balance Sheet'!GR20-'Balance Sheet'!GR22)</f>
        <v>0</v>
      </c>
      <c r="GT10" s="82">
        <f>('Balance Sheet'!GT23-'Balance Sheet'!GT20-'Balance Sheet'!GT22)-('Balance Sheet'!GS23-'Balance Sheet'!GS20-'Balance Sheet'!GS22)</f>
        <v>0</v>
      </c>
      <c r="GU10" s="82">
        <f>('Balance Sheet'!GU23-'Balance Sheet'!GU20-'Balance Sheet'!GU22)-('Balance Sheet'!GT23-'Balance Sheet'!GT20-'Balance Sheet'!GT22)</f>
        <v>0</v>
      </c>
      <c r="GV10" s="82">
        <f>('Balance Sheet'!GV23-'Balance Sheet'!GV20-'Balance Sheet'!GV22)-('Balance Sheet'!GU23-'Balance Sheet'!GU20-'Balance Sheet'!GU22)</f>
        <v>0</v>
      </c>
      <c r="GW10" s="82">
        <f>('Balance Sheet'!GW23-'Balance Sheet'!GW20-'Balance Sheet'!GW22)-('Balance Sheet'!GV23-'Balance Sheet'!GV20-'Balance Sheet'!GV22)</f>
        <v>0</v>
      </c>
      <c r="GX10" s="82">
        <f>('Balance Sheet'!GX23-'Balance Sheet'!GX20-'Balance Sheet'!GX22)-('Balance Sheet'!GW23-'Balance Sheet'!GW20-'Balance Sheet'!GW22)</f>
        <v>0</v>
      </c>
      <c r="GY10" s="82">
        <f>('Balance Sheet'!GY23-'Balance Sheet'!GY20-'Balance Sheet'!GY22)-('Balance Sheet'!GX23-'Balance Sheet'!GX20-'Balance Sheet'!GX22)</f>
        <v>54040.965524196625</v>
      </c>
      <c r="GZ10" s="82">
        <f>('Balance Sheet'!GZ23-'Balance Sheet'!GZ20-'Balance Sheet'!GZ22)-('Balance Sheet'!GY23-'Balance Sheet'!GY20-'Balance Sheet'!GY22)</f>
        <v>0</v>
      </c>
      <c r="HA10" s="82">
        <f>('Balance Sheet'!HA23-'Balance Sheet'!HA20-'Balance Sheet'!HA22)-('Balance Sheet'!GZ23-'Balance Sheet'!GZ20-'Balance Sheet'!GZ22)</f>
        <v>0</v>
      </c>
      <c r="HB10" s="82">
        <f>('Balance Sheet'!HB23-'Balance Sheet'!HB20-'Balance Sheet'!HB22)-('Balance Sheet'!HA23-'Balance Sheet'!HA20-'Balance Sheet'!HA22)</f>
        <v>0</v>
      </c>
      <c r="HC10" s="82">
        <f>('Balance Sheet'!HC23-'Balance Sheet'!HC20-'Balance Sheet'!HC22)-('Balance Sheet'!HB23-'Balance Sheet'!HB20-'Balance Sheet'!HB22)</f>
        <v>0</v>
      </c>
      <c r="HD10" s="82">
        <f>('Balance Sheet'!HD23-'Balance Sheet'!HD20-'Balance Sheet'!HD22)-('Balance Sheet'!HC23-'Balance Sheet'!HC20-'Balance Sheet'!HC22)</f>
        <v>0</v>
      </c>
      <c r="HE10" s="82">
        <f>('Balance Sheet'!HE23-'Balance Sheet'!HE20-'Balance Sheet'!HE22)-('Balance Sheet'!HD23-'Balance Sheet'!HD20-'Balance Sheet'!HD22)</f>
        <v>0</v>
      </c>
      <c r="HF10" s="82">
        <f>('Balance Sheet'!HF23-'Balance Sheet'!HF20-'Balance Sheet'!HF22)-('Balance Sheet'!HE23-'Balance Sheet'!HE20-'Balance Sheet'!HE22)</f>
        <v>0</v>
      </c>
      <c r="HG10" s="82">
        <f>('Balance Sheet'!HG23-'Balance Sheet'!HG20-'Balance Sheet'!HG22)-('Balance Sheet'!HF23-'Balance Sheet'!HF20-'Balance Sheet'!HF22)</f>
        <v>0</v>
      </c>
      <c r="HH10" s="82">
        <f>('Balance Sheet'!HH23-'Balance Sheet'!HH20-'Balance Sheet'!HH22)-('Balance Sheet'!HG23-'Balance Sheet'!HG20-'Balance Sheet'!HG22)</f>
        <v>0</v>
      </c>
      <c r="HI10" s="82">
        <f>('Balance Sheet'!HI23-'Balance Sheet'!HI20-'Balance Sheet'!HI22)-('Balance Sheet'!HH23-'Balance Sheet'!HH20-'Balance Sheet'!HH22)</f>
        <v>0</v>
      </c>
      <c r="HJ10" s="82">
        <f>('Balance Sheet'!HJ23-'Balance Sheet'!HJ20-'Balance Sheet'!HJ22)-('Balance Sheet'!HI23-'Balance Sheet'!HI20-'Balance Sheet'!HI22)</f>
        <v>0</v>
      </c>
      <c r="HK10" s="82">
        <f>('Balance Sheet'!HK23-'Balance Sheet'!HK20-'Balance Sheet'!HK22)-('Balance Sheet'!HJ23-'Balance Sheet'!HJ20-'Balance Sheet'!HJ22)</f>
        <v>23926.955803871155</v>
      </c>
      <c r="HL10" s="82">
        <f>('Balance Sheet'!HL23-'Balance Sheet'!HL20-'Balance Sheet'!HL22)-('Balance Sheet'!HK23-'Balance Sheet'!HK20-'Balance Sheet'!HK22)</f>
        <v>0</v>
      </c>
      <c r="HM10" s="82">
        <f>('Balance Sheet'!HM23-'Balance Sheet'!HM20-'Balance Sheet'!HM22)-('Balance Sheet'!HL23-'Balance Sheet'!HL20-'Balance Sheet'!HL22)</f>
        <v>0</v>
      </c>
      <c r="HN10" s="82">
        <f>('Balance Sheet'!HN23-'Balance Sheet'!HN20-'Balance Sheet'!HN22)-('Balance Sheet'!HM23-'Balance Sheet'!HM20-'Balance Sheet'!HM22)</f>
        <v>0</v>
      </c>
      <c r="HO10" s="82">
        <f>('Balance Sheet'!HO23-'Balance Sheet'!HO20-'Balance Sheet'!HO22)-('Balance Sheet'!HN23-'Balance Sheet'!HN20-'Balance Sheet'!HN22)</f>
        <v>0</v>
      </c>
      <c r="HP10" s="82">
        <f>('Balance Sheet'!HP23-'Balance Sheet'!HP20-'Balance Sheet'!HP22)-('Balance Sheet'!HO23-'Balance Sheet'!HO20-'Balance Sheet'!HO22)</f>
        <v>0</v>
      </c>
      <c r="HQ10" s="82">
        <f>('Balance Sheet'!HQ23-'Balance Sheet'!HQ20-'Balance Sheet'!HQ22)-('Balance Sheet'!HP23-'Balance Sheet'!HP20-'Balance Sheet'!HP22)</f>
        <v>0</v>
      </c>
      <c r="HR10" s="82">
        <f>('Balance Sheet'!HR23-'Balance Sheet'!HR20-'Balance Sheet'!HR22)-('Balance Sheet'!HQ23-'Balance Sheet'!HQ20-'Balance Sheet'!HQ22)</f>
        <v>0</v>
      </c>
      <c r="HS10" s="82">
        <f>('Balance Sheet'!HS23-'Balance Sheet'!HS20-'Balance Sheet'!HS22)-('Balance Sheet'!HR23-'Balance Sheet'!HR20-'Balance Sheet'!HR22)</f>
        <v>0</v>
      </c>
      <c r="HT10" s="82">
        <f>('Balance Sheet'!HT23-'Balance Sheet'!HT20-'Balance Sheet'!HT22)-('Balance Sheet'!HS23-'Balance Sheet'!HS20-'Balance Sheet'!HS22)</f>
        <v>0</v>
      </c>
      <c r="HU10" s="82">
        <f>('Balance Sheet'!HU23-'Balance Sheet'!HU20-'Balance Sheet'!HU22)-('Balance Sheet'!HT23-'Balance Sheet'!HT20-'Balance Sheet'!HT22)</f>
        <v>0</v>
      </c>
      <c r="HV10" s="82">
        <f>('Balance Sheet'!HV23-'Balance Sheet'!HV20-'Balance Sheet'!HV22)-('Balance Sheet'!HU23-'Balance Sheet'!HU20-'Balance Sheet'!HU22)</f>
        <v>0</v>
      </c>
      <c r="HW10" s="82">
        <f>('Balance Sheet'!HW23-'Balance Sheet'!HW20-'Balance Sheet'!HW22)-('Balance Sheet'!HV23-'Balance Sheet'!HV20-'Balance Sheet'!HV22)</f>
        <v>0</v>
      </c>
      <c r="HX10" s="82">
        <f>('Balance Sheet'!HX23-'Balance Sheet'!HX20-'Balance Sheet'!HX22)-('Balance Sheet'!HW23-'Balance Sheet'!HW20-'Balance Sheet'!HW22)</f>
        <v>0</v>
      </c>
      <c r="HY10" s="82">
        <f>('Balance Sheet'!HY23-'Balance Sheet'!HY20-'Balance Sheet'!HY22)-('Balance Sheet'!HX23-'Balance Sheet'!HX20-'Balance Sheet'!HX22)</f>
        <v>0</v>
      </c>
      <c r="HZ10" s="82">
        <f>('Balance Sheet'!HZ23-'Balance Sheet'!HZ20-'Balance Sheet'!HZ22)-('Balance Sheet'!HY23-'Balance Sheet'!HY20-'Balance Sheet'!HY22)</f>
        <v>0</v>
      </c>
      <c r="IA10" s="82">
        <f>('Balance Sheet'!IA23-'Balance Sheet'!IA20-'Balance Sheet'!IA22)-('Balance Sheet'!HZ23-'Balance Sheet'!HZ20-'Balance Sheet'!HZ22)</f>
        <v>0</v>
      </c>
      <c r="IB10" s="82">
        <f>('Balance Sheet'!IB23-'Balance Sheet'!IB20-'Balance Sheet'!IB22)-('Balance Sheet'!IA23-'Balance Sheet'!IA20-'Balance Sheet'!IA22)</f>
        <v>0</v>
      </c>
      <c r="IC10" s="82">
        <f>('Balance Sheet'!IC23-'Balance Sheet'!IC20-'Balance Sheet'!IC22)-('Balance Sheet'!IB23-'Balance Sheet'!IB20-'Balance Sheet'!IB22)</f>
        <v>0</v>
      </c>
      <c r="ID10" s="82">
        <f>('Balance Sheet'!ID23-'Balance Sheet'!ID20-'Balance Sheet'!ID22)-('Balance Sheet'!IC23-'Balance Sheet'!IC20-'Balance Sheet'!IC22)</f>
        <v>0</v>
      </c>
      <c r="IE10" s="82">
        <f>('Balance Sheet'!IE23-'Balance Sheet'!IE20-'Balance Sheet'!IE22)-('Balance Sheet'!ID23-'Balance Sheet'!ID20-'Balance Sheet'!ID22)</f>
        <v>0</v>
      </c>
      <c r="IF10" s="82">
        <f>('Balance Sheet'!IF23-'Balance Sheet'!IF20-'Balance Sheet'!IF22)-('Balance Sheet'!IE23-'Balance Sheet'!IE20-'Balance Sheet'!IE22)</f>
        <v>0</v>
      </c>
      <c r="IG10" s="82">
        <f>('Balance Sheet'!IG23-'Balance Sheet'!IG20-'Balance Sheet'!IG22)-('Balance Sheet'!IF23-'Balance Sheet'!IF20-'Balance Sheet'!IF22)</f>
        <v>0</v>
      </c>
      <c r="IH10" s="82">
        <f>('Balance Sheet'!IH23-'Balance Sheet'!IH20-'Balance Sheet'!IH22)-('Balance Sheet'!IG23-'Balance Sheet'!IG20-'Balance Sheet'!IG22)</f>
        <v>0</v>
      </c>
    </row>
    <row r="11" spans="1:242" ht="14.65" thickTop="1" x14ac:dyDescent="0.45">
      <c r="A11" s="77"/>
      <c r="B11" s="78"/>
      <c r="C11" s="85">
        <f>SUM(C7:C10)</f>
        <v>-4358937.3372014211</v>
      </c>
      <c r="D11" s="85">
        <f t="shared" ref="D11:BO11" si="0">SUM(D7:D10)</f>
        <v>-5377629.5570717733</v>
      </c>
      <c r="E11" s="85">
        <f t="shared" si="0"/>
        <v>-4910961.0479607107</v>
      </c>
      <c r="F11" s="85">
        <f t="shared" si="0"/>
        <v>-4884022.4073419664</v>
      </c>
      <c r="G11" s="85">
        <f t="shared" si="0"/>
        <v>-4856937.8490865342</v>
      </c>
      <c r="H11" s="85">
        <f t="shared" si="0"/>
        <v>-4829706.5828072205</v>
      </c>
      <c r="I11" s="85">
        <f t="shared" si="0"/>
        <v>-4802327.8138355594</v>
      </c>
      <c r="J11" s="85">
        <f t="shared" si="0"/>
        <v>-4774800.7431986332</v>
      </c>
      <c r="K11" s="85">
        <f t="shared" si="0"/>
        <v>-4747124.5675957594</v>
      </c>
      <c r="L11" s="85">
        <f t="shared" si="0"/>
        <v>-4719298.4793750374</v>
      </c>
      <c r="M11" s="85">
        <f t="shared" si="0"/>
        <v>-4691321.6665097848</v>
      </c>
      <c r="N11" s="85">
        <f t="shared" si="0"/>
        <v>-4663193.3125748467</v>
      </c>
      <c r="O11" s="85">
        <f t="shared" si="0"/>
        <v>-4613912.5967227556</v>
      </c>
      <c r="P11" s="85">
        <f t="shared" si="0"/>
        <v>-4810593.3603264745</v>
      </c>
      <c r="Q11" s="85">
        <f t="shared" si="0"/>
        <v>-4621005.4402886126</v>
      </c>
      <c r="R11" s="85">
        <f t="shared" si="0"/>
        <v>-4592262.6690171845</v>
      </c>
      <c r="S11" s="85">
        <f t="shared" si="0"/>
        <v>-4563364.2077347152</v>
      </c>
      <c r="T11" s="85">
        <f t="shared" si="0"/>
        <v>-4534309.2131203003</v>
      </c>
      <c r="U11" s="85">
        <f t="shared" si="0"/>
        <v>-4505096.8372850586</v>
      </c>
      <c r="V11" s="85">
        <f t="shared" si="0"/>
        <v>-4475726.2277473733</v>
      </c>
      <c r="W11" s="85">
        <f t="shared" si="0"/>
        <v>-4446196.527408028</v>
      </c>
      <c r="X11" s="85">
        <f t="shared" si="0"/>
        <v>-4416506.8745251764</v>
      </c>
      <c r="Y11" s="85">
        <f t="shared" si="0"/>
        <v>-4386656.4026892111</v>
      </c>
      <c r="Z11" s="85">
        <f t="shared" si="0"/>
        <v>-4356644.2407974657</v>
      </c>
      <c r="AA11" s="85">
        <f t="shared" si="0"/>
        <v>-2511361.0964532518</v>
      </c>
      <c r="AB11" s="85">
        <f t="shared" si="0"/>
        <v>501038.64574306272</v>
      </c>
      <c r="AC11" s="85">
        <f t="shared" si="0"/>
        <v>531541.15173077583</v>
      </c>
      <c r="AD11" s="85">
        <f t="shared" si="0"/>
        <v>562208.87962592393</v>
      </c>
      <c r="AE11" s="85">
        <f t="shared" si="0"/>
        <v>593042.72438047267</v>
      </c>
      <c r="AF11" s="85">
        <f t="shared" si="0"/>
        <v>624043.58579416759</v>
      </c>
      <c r="AG11" s="85">
        <f t="shared" si="0"/>
        <v>655212.36854049191</v>
      </c>
      <c r="AH11" s="85">
        <f t="shared" si="0"/>
        <v>686549.98219335824</v>
      </c>
      <c r="AI11" s="85">
        <f t="shared" si="0"/>
        <v>718057.34125350975</v>
      </c>
      <c r="AJ11" s="85">
        <f t="shared" si="0"/>
        <v>749735.36517523881</v>
      </c>
      <c r="AK11" s="85">
        <f t="shared" si="0"/>
        <v>781584.9783932101</v>
      </c>
      <c r="AL11" s="85">
        <f t="shared" si="0"/>
        <v>813607.11034944467</v>
      </c>
      <c r="AM11" s="85">
        <f t="shared" si="0"/>
        <v>1964534.7333475049</v>
      </c>
      <c r="AN11" s="85">
        <f t="shared" si="0"/>
        <v>4495406.2624185048</v>
      </c>
      <c r="AO11" s="85">
        <f t="shared" si="0"/>
        <v>4527951.5777229341</v>
      </c>
      <c r="AP11" s="85">
        <f t="shared" si="0"/>
        <v>4560673.1801519282</v>
      </c>
      <c r="AQ11" s="85">
        <f t="shared" si="0"/>
        <v>4593572.0245940806</v>
      </c>
      <c r="AR11" s="85">
        <f t="shared" si="0"/>
        <v>4626649.0711102942</v>
      </c>
      <c r="AS11" s="85">
        <f t="shared" si="0"/>
        <v>4659905.2849618047</v>
      </c>
      <c r="AT11" s="85">
        <f t="shared" si="0"/>
        <v>4693341.6366383433</v>
      </c>
      <c r="AU11" s="85">
        <f t="shared" si="0"/>
        <v>4726959.1018864624</v>
      </c>
      <c r="AV11" s="85">
        <f t="shared" si="0"/>
        <v>4760758.6617380101</v>
      </c>
      <c r="AW11" s="85">
        <f t="shared" si="0"/>
        <v>4794741.3025387526</v>
      </c>
      <c r="AX11" s="85">
        <f t="shared" si="0"/>
        <v>4828908.0159771675</v>
      </c>
      <c r="AY11" s="85">
        <f t="shared" si="0"/>
        <v>5674575.0842362484</v>
      </c>
      <c r="AZ11" s="85">
        <f t="shared" si="0"/>
        <v>8643108.6838346273</v>
      </c>
      <c r="BA11" s="85">
        <f t="shared" si="0"/>
        <v>8672624.8788773436</v>
      </c>
      <c r="BB11" s="85">
        <f t="shared" si="0"/>
        <v>8702300.9533098768</v>
      </c>
      <c r="BC11" s="85">
        <f t="shared" si="0"/>
        <v>8732137.7731455863</v>
      </c>
      <c r="BD11" s="85">
        <f t="shared" si="0"/>
        <v>8762136.2090887371</v>
      </c>
      <c r="BE11" s="85">
        <f t="shared" si="0"/>
        <v>8792297.1365599148</v>
      </c>
      <c r="BF11" s="85">
        <f t="shared" si="0"/>
        <v>8822621.4357215613</v>
      </c>
      <c r="BG11" s="85">
        <f t="shared" si="0"/>
        <v>8853109.9915036056</v>
      </c>
      <c r="BH11" s="85">
        <f t="shared" si="0"/>
        <v>8883763.6936295908</v>
      </c>
      <c r="BI11" s="85">
        <f t="shared" si="0"/>
        <v>8914583.4366420303</v>
      </c>
      <c r="BJ11" s="85">
        <f t="shared" si="0"/>
        <v>8945570.1199291218</v>
      </c>
      <c r="BK11" s="85">
        <f t="shared" si="0"/>
        <v>9430440.4098419305</v>
      </c>
      <c r="BL11" s="85">
        <f t="shared" si="0"/>
        <v>11429333.66288412</v>
      </c>
      <c r="BM11" s="85">
        <f t="shared" si="0"/>
        <v>11460826.612172917</v>
      </c>
      <c r="BN11" s="85">
        <f t="shared" si="0"/>
        <v>11492490.148270361</v>
      </c>
      <c r="BO11" s="85">
        <f t="shared" si="0"/>
        <v>11524325.195188332</v>
      </c>
      <c r="BP11" s="85">
        <f t="shared" ref="BP11:EA11" si="1">SUM(BP7:BP10)</f>
        <v>11556332.681943778</v>
      </c>
      <c r="BQ11" s="85">
        <f t="shared" si="1"/>
        <v>11588513.542585813</v>
      </c>
      <c r="BR11" s="85">
        <f t="shared" si="1"/>
        <v>11620868.716222994</v>
      </c>
      <c r="BS11" s="85">
        <f t="shared" si="1"/>
        <v>11653399.14705071</v>
      </c>
      <c r="BT11" s="85">
        <f t="shared" si="1"/>
        <v>11686105.784378743</v>
      </c>
      <c r="BU11" s="85">
        <f t="shared" si="1"/>
        <v>11718989.582658969</v>
      </c>
      <c r="BV11" s="85">
        <f t="shared" si="1"/>
        <v>11752051.501513213</v>
      </c>
      <c r="BW11" s="85">
        <f t="shared" si="1"/>
        <v>12025996.687985986</v>
      </c>
      <c r="BX11" s="85">
        <f t="shared" si="1"/>
        <v>12143445.047924927</v>
      </c>
      <c r="BY11" s="85">
        <f t="shared" si="1"/>
        <v>12177047.138352618</v>
      </c>
      <c r="BZ11" s="85">
        <f t="shared" si="1"/>
        <v>12210831.240103457</v>
      </c>
      <c r="CA11" s="85">
        <f t="shared" si="1"/>
        <v>12244798.339072112</v>
      </c>
      <c r="CB11" s="85">
        <f t="shared" si="1"/>
        <v>12278949.426493516</v>
      </c>
      <c r="CC11" s="85">
        <f t="shared" si="1"/>
        <v>12313285.498971786</v>
      </c>
      <c r="CD11" s="85">
        <f t="shared" si="1"/>
        <v>12347807.558509313</v>
      </c>
      <c r="CE11" s="85">
        <f t="shared" si="1"/>
        <v>12382516.612536</v>
      </c>
      <c r="CF11" s="85">
        <f t="shared" si="1"/>
        <v>12417413.673938666</v>
      </c>
      <c r="CG11" s="85">
        <f t="shared" si="1"/>
        <v>12452499.761090597</v>
      </c>
      <c r="CH11" s="85">
        <f t="shared" si="1"/>
        <v>12487775.897881268</v>
      </c>
      <c r="CI11" s="85">
        <f t="shared" si="1"/>
        <v>12523243.11374622</v>
      </c>
      <c r="CJ11" s="85">
        <f t="shared" si="1"/>
        <v>12558902.443697108</v>
      </c>
      <c r="CK11" s="85">
        <f t="shared" si="1"/>
        <v>12594754.928351898</v>
      </c>
      <c r="CL11" s="85">
        <f t="shared" si="1"/>
        <v>12630801.613965232</v>
      </c>
      <c r="CM11" s="85">
        <f t="shared" si="1"/>
        <v>12667043.552458975</v>
      </c>
      <c r="CN11" s="85">
        <f t="shared" si="1"/>
        <v>12717579.44463307</v>
      </c>
      <c r="CO11" s="85">
        <f t="shared" si="1"/>
        <v>12700174.101951625</v>
      </c>
      <c r="CP11" s="85">
        <f t="shared" si="1"/>
        <v>12737008.167751323</v>
      </c>
      <c r="CQ11" s="85">
        <f t="shared" si="1"/>
        <v>12774041.751407435</v>
      </c>
      <c r="CR11" s="85">
        <f t="shared" si="1"/>
        <v>12811275.933641683</v>
      </c>
      <c r="CS11" s="85">
        <f t="shared" si="1"/>
        <v>12848711.801029703</v>
      </c>
      <c r="CT11" s="85">
        <f t="shared" si="1"/>
        <v>12886350.446032738</v>
      </c>
      <c r="CU11" s="85">
        <f t="shared" si="1"/>
        <v>13061514.432599463</v>
      </c>
      <c r="CV11" s="85">
        <f t="shared" si="1"/>
        <v>13579889.648012953</v>
      </c>
      <c r="CW11" s="85">
        <f t="shared" si="1"/>
        <v>13618143.239963965</v>
      </c>
      <c r="CX11" s="85">
        <f t="shared" si="1"/>
        <v>13656604.038871381</v>
      </c>
      <c r="CY11" s="85">
        <f t="shared" si="1"/>
        <v>13695273.167106209</v>
      </c>
      <c r="CZ11" s="85">
        <f t="shared" si="1"/>
        <v>13734151.753118977</v>
      </c>
      <c r="DA11" s="85">
        <f t="shared" si="1"/>
        <v>13773240.931472648</v>
      </c>
      <c r="DB11" s="85">
        <f t="shared" si="1"/>
        <v>13812541.842875734</v>
      </c>
      <c r="DC11" s="85">
        <f t="shared" si="1"/>
        <v>13852055.634215586</v>
      </c>
      <c r="DD11" s="85">
        <f t="shared" si="1"/>
        <v>13891783.458591864</v>
      </c>
      <c r="DE11" s="85">
        <f t="shared" si="1"/>
        <v>13931726.475350179</v>
      </c>
      <c r="DF11" s="85">
        <f t="shared" si="1"/>
        <v>13971885.850115936</v>
      </c>
      <c r="DG11" s="85">
        <f t="shared" si="1"/>
        <v>14026360.39800852</v>
      </c>
      <c r="DH11" s="85">
        <f t="shared" si="1"/>
        <v>14012915.045430705</v>
      </c>
      <c r="DI11" s="85">
        <f t="shared" si="1"/>
        <v>14053730.551280428</v>
      </c>
      <c r="DJ11" s="85">
        <f t="shared" si="1"/>
        <v>14094767.141120167</v>
      </c>
      <c r="DK11" s="85">
        <f t="shared" si="1"/>
        <v>14136026.012488209</v>
      </c>
      <c r="DL11" s="85">
        <f t="shared" si="1"/>
        <v>14177508.36940949</v>
      </c>
      <c r="DM11" s="85">
        <f t="shared" si="1"/>
        <v>14219215.422430763</v>
      </c>
      <c r="DN11" s="85">
        <f t="shared" si="1"/>
        <v>14261148.388655903</v>
      </c>
      <c r="DO11" s="85">
        <f t="shared" si="1"/>
        <v>14303308.491781428</v>
      </c>
      <c r="DP11" s="85">
        <f t="shared" si="1"/>
        <v>14345696.962132215</v>
      </c>
      <c r="DQ11" s="85">
        <f t="shared" si="1"/>
        <v>14388315.036697404</v>
      </c>
      <c r="DR11" s="85">
        <f t="shared" si="1"/>
        <v>14431163.959166488</v>
      </c>
      <c r="DS11" s="85">
        <f t="shared" si="1"/>
        <v>14611566.445535416</v>
      </c>
      <c r="DT11" s="85">
        <f t="shared" si="1"/>
        <v>15091894.159630155</v>
      </c>
      <c r="DU11" s="85">
        <f t="shared" si="1"/>
        <v>15091894.159630155</v>
      </c>
      <c r="DV11" s="85">
        <f t="shared" si="1"/>
        <v>15091894.159630155</v>
      </c>
      <c r="DW11" s="85">
        <f t="shared" si="1"/>
        <v>15091894.159630155</v>
      </c>
      <c r="DX11" s="85">
        <f t="shared" si="1"/>
        <v>15091894.159630155</v>
      </c>
      <c r="DY11" s="85">
        <f t="shared" si="1"/>
        <v>15091894.159630155</v>
      </c>
      <c r="DZ11" s="85">
        <f t="shared" si="1"/>
        <v>15091894.159630155</v>
      </c>
      <c r="EA11" s="85">
        <f t="shared" si="1"/>
        <v>15091894.159630155</v>
      </c>
      <c r="EB11" s="85">
        <f t="shared" ref="EB11:GI11" si="2">SUM(EB7:EB10)</f>
        <v>15091894.159630155</v>
      </c>
      <c r="EC11" s="85">
        <f t="shared" si="2"/>
        <v>15091894.159630155</v>
      </c>
      <c r="ED11" s="85">
        <f t="shared" si="2"/>
        <v>15091894.159630155</v>
      </c>
      <c r="EE11" s="85">
        <f t="shared" si="2"/>
        <v>15105991.802810453</v>
      </c>
      <c r="EF11" s="85">
        <f t="shared" si="2"/>
        <v>15051950.837286256</v>
      </c>
      <c r="EG11" s="85">
        <f t="shared" si="2"/>
        <v>15051950.837286256</v>
      </c>
      <c r="EH11" s="85">
        <f t="shared" si="2"/>
        <v>15051950.837286256</v>
      </c>
      <c r="EI11" s="85">
        <f t="shared" si="2"/>
        <v>15051950.837286256</v>
      </c>
      <c r="EJ11" s="85">
        <f t="shared" si="2"/>
        <v>15051950.837286256</v>
      </c>
      <c r="EK11" s="85">
        <f t="shared" si="2"/>
        <v>15051950.837286256</v>
      </c>
      <c r="EL11" s="85">
        <f t="shared" si="2"/>
        <v>15051950.837286256</v>
      </c>
      <c r="EM11" s="85">
        <f t="shared" si="2"/>
        <v>15051950.837286256</v>
      </c>
      <c r="EN11" s="85">
        <f t="shared" si="2"/>
        <v>15051950.837286256</v>
      </c>
      <c r="EO11" s="85">
        <f t="shared" si="2"/>
        <v>15051950.837286256</v>
      </c>
      <c r="EP11" s="85">
        <f t="shared" si="2"/>
        <v>15051950.837286256</v>
      </c>
      <c r="EQ11" s="85">
        <f t="shared" si="2"/>
        <v>15189272.302856063</v>
      </c>
      <c r="ER11" s="85">
        <f t="shared" si="2"/>
        <v>15669600.016950801</v>
      </c>
      <c r="ES11" s="85">
        <f t="shared" si="2"/>
        <v>15669600.016950801</v>
      </c>
      <c r="ET11" s="85">
        <f t="shared" si="2"/>
        <v>15669600.016950801</v>
      </c>
      <c r="EU11" s="85">
        <f t="shared" si="2"/>
        <v>15669600.016950801</v>
      </c>
      <c r="EV11" s="85">
        <f t="shared" si="2"/>
        <v>15669600.016950801</v>
      </c>
      <c r="EW11" s="85">
        <f t="shared" si="2"/>
        <v>15669600.016950801</v>
      </c>
      <c r="EX11" s="85">
        <f t="shared" si="2"/>
        <v>15669600.016950801</v>
      </c>
      <c r="EY11" s="85">
        <f t="shared" si="2"/>
        <v>15669600.016950801</v>
      </c>
      <c r="EZ11" s="85">
        <f t="shared" si="2"/>
        <v>15669600.016950801</v>
      </c>
      <c r="FA11" s="85">
        <f t="shared" si="2"/>
        <v>15669600.016950801</v>
      </c>
      <c r="FB11" s="85">
        <f t="shared" si="2"/>
        <v>15669600.016950801</v>
      </c>
      <c r="FC11" s="85">
        <f t="shared" si="2"/>
        <v>15683697.660131097</v>
      </c>
      <c r="FD11" s="85">
        <f t="shared" si="2"/>
        <v>15629656.6946069</v>
      </c>
      <c r="FE11" s="85">
        <f t="shared" si="2"/>
        <v>15629656.6946069</v>
      </c>
      <c r="FF11" s="85">
        <f t="shared" si="2"/>
        <v>15629656.6946069</v>
      </c>
      <c r="FG11" s="85">
        <f t="shared" si="2"/>
        <v>15629656.6946069</v>
      </c>
      <c r="FH11" s="85">
        <f t="shared" si="2"/>
        <v>15629656.6946069</v>
      </c>
      <c r="FI11" s="85">
        <f t="shared" si="2"/>
        <v>15629656.6946069</v>
      </c>
      <c r="FJ11" s="85">
        <f t="shared" si="2"/>
        <v>15629656.6946069</v>
      </c>
      <c r="FK11" s="85">
        <f t="shared" si="2"/>
        <v>15629656.6946069</v>
      </c>
      <c r="FL11" s="85">
        <f t="shared" si="2"/>
        <v>15629656.6946069</v>
      </c>
      <c r="FM11" s="85">
        <f t="shared" si="2"/>
        <v>15629656.6946069</v>
      </c>
      <c r="FN11" s="85">
        <f t="shared" si="2"/>
        <v>15629656.6946069</v>
      </c>
      <c r="FO11" s="85">
        <f t="shared" si="2"/>
        <v>15766978.160176702</v>
      </c>
      <c r="FP11" s="85">
        <f t="shared" si="2"/>
        <v>16247305.874271439</v>
      </c>
      <c r="FQ11" s="85">
        <f t="shared" si="2"/>
        <v>16247305.874271439</v>
      </c>
      <c r="FR11" s="85">
        <f t="shared" si="2"/>
        <v>16247305.874271439</v>
      </c>
      <c r="FS11" s="85">
        <f t="shared" si="2"/>
        <v>16247305.874271439</v>
      </c>
      <c r="FT11" s="85">
        <f t="shared" si="2"/>
        <v>16247305.874271439</v>
      </c>
      <c r="FU11" s="85">
        <f t="shared" si="2"/>
        <v>16247305.874271439</v>
      </c>
      <c r="FV11" s="85">
        <f t="shared" si="2"/>
        <v>16247305.874271439</v>
      </c>
      <c r="FW11" s="85">
        <f t="shared" si="2"/>
        <v>16247305.874271439</v>
      </c>
      <c r="FX11" s="85">
        <f t="shared" si="2"/>
        <v>16247305.874271439</v>
      </c>
      <c r="FY11" s="85">
        <f t="shared" si="2"/>
        <v>16247305.874271439</v>
      </c>
      <c r="FZ11" s="85">
        <f t="shared" si="2"/>
        <v>16247305.874271439</v>
      </c>
      <c r="GA11" s="85">
        <f t="shared" si="2"/>
        <v>16261403.517451739</v>
      </c>
      <c r="GB11" s="85">
        <f t="shared" si="2"/>
        <v>16207362.551927542</v>
      </c>
      <c r="GC11" s="85">
        <f t="shared" si="2"/>
        <v>16207362.551927542</v>
      </c>
      <c r="GD11" s="85">
        <f t="shared" si="2"/>
        <v>16207362.551927542</v>
      </c>
      <c r="GE11" s="85">
        <f t="shared" si="2"/>
        <v>16207362.551927542</v>
      </c>
      <c r="GF11" s="85">
        <f t="shared" si="2"/>
        <v>16207362.551927542</v>
      </c>
      <c r="GG11" s="85">
        <f t="shared" si="2"/>
        <v>16207362.551927542</v>
      </c>
      <c r="GH11" s="85">
        <f t="shared" si="2"/>
        <v>16207362.551927542</v>
      </c>
      <c r="GI11" s="85">
        <f t="shared" si="2"/>
        <v>16207362.551927542</v>
      </c>
      <c r="GJ11" s="85">
        <f t="shared" ref="GJ11:IH11" si="3">SUM(GJ7:GJ10)</f>
        <v>16207362.551927542</v>
      </c>
      <c r="GK11" s="85">
        <f t="shared" si="3"/>
        <v>16207362.551927542</v>
      </c>
      <c r="GL11" s="85">
        <f t="shared" si="3"/>
        <v>16207362.551927542</v>
      </c>
      <c r="GM11" s="85">
        <f t="shared" si="3"/>
        <v>15481645.071897555</v>
      </c>
      <c r="GN11" s="85">
        <f t="shared" si="3"/>
        <v>15961972.785992295</v>
      </c>
      <c r="GO11" s="85">
        <f t="shared" si="3"/>
        <v>15961972.785992295</v>
      </c>
      <c r="GP11" s="85">
        <f t="shared" si="3"/>
        <v>15961972.785992295</v>
      </c>
      <c r="GQ11" s="85">
        <f t="shared" si="3"/>
        <v>15961972.785992295</v>
      </c>
      <c r="GR11" s="85">
        <f t="shared" si="3"/>
        <v>15961972.785992295</v>
      </c>
      <c r="GS11" s="85">
        <f t="shared" si="3"/>
        <v>15961972.785992295</v>
      </c>
      <c r="GT11" s="85">
        <f t="shared" si="3"/>
        <v>15961972.785992295</v>
      </c>
      <c r="GU11" s="85">
        <f t="shared" si="3"/>
        <v>15961972.785992295</v>
      </c>
      <c r="GV11" s="85">
        <f t="shared" si="3"/>
        <v>15961972.785992295</v>
      </c>
      <c r="GW11" s="85">
        <f t="shared" si="3"/>
        <v>15961972.785992295</v>
      </c>
      <c r="GX11" s="85">
        <f t="shared" si="3"/>
        <v>15961972.785992295</v>
      </c>
      <c r="GY11" s="85">
        <f t="shared" si="3"/>
        <v>15976070.429172594</v>
      </c>
      <c r="GZ11" s="85">
        <f t="shared" si="3"/>
        <v>15922029.463648397</v>
      </c>
      <c r="HA11" s="85">
        <f t="shared" si="3"/>
        <v>15922029.463648397</v>
      </c>
      <c r="HB11" s="85">
        <f t="shared" si="3"/>
        <v>15922029.463648397</v>
      </c>
      <c r="HC11" s="85">
        <f t="shared" si="3"/>
        <v>15922029.463648397</v>
      </c>
      <c r="HD11" s="85">
        <f t="shared" si="3"/>
        <v>15922029.463648397</v>
      </c>
      <c r="HE11" s="85">
        <f t="shared" si="3"/>
        <v>15922029.463648397</v>
      </c>
      <c r="HF11" s="85">
        <f t="shared" si="3"/>
        <v>15922029.463648397</v>
      </c>
      <c r="HG11" s="85">
        <f t="shared" si="3"/>
        <v>15922029.463648397</v>
      </c>
      <c r="HH11" s="85">
        <f t="shared" si="3"/>
        <v>15922029.463648397</v>
      </c>
      <c r="HI11" s="85">
        <f t="shared" si="3"/>
        <v>15922029.463648397</v>
      </c>
      <c r="HJ11" s="85">
        <f t="shared" si="3"/>
        <v>15922029.463648397</v>
      </c>
      <c r="HK11" s="85">
        <f t="shared" si="3"/>
        <v>16045253.286038136</v>
      </c>
      <c r="HL11" s="85">
        <f t="shared" si="3"/>
        <v>16579621.96565683</v>
      </c>
      <c r="HM11" s="85">
        <f t="shared" si="3"/>
        <v>16579621.96565683</v>
      </c>
      <c r="HN11" s="85">
        <f t="shared" si="3"/>
        <v>16579621.96565683</v>
      </c>
      <c r="HO11" s="85">
        <f t="shared" si="3"/>
        <v>16579621.96565683</v>
      </c>
      <c r="HP11" s="85">
        <f t="shared" si="3"/>
        <v>16579621.96565683</v>
      </c>
      <c r="HQ11" s="85">
        <f t="shared" si="3"/>
        <v>16579621.96565683</v>
      </c>
      <c r="HR11" s="85">
        <f t="shared" si="3"/>
        <v>16579621.96565683</v>
      </c>
      <c r="HS11" s="85">
        <f t="shared" si="3"/>
        <v>16579621.96565683</v>
      </c>
      <c r="HT11" s="85">
        <f t="shared" si="3"/>
        <v>16579621.96565683</v>
      </c>
      <c r="HU11" s="85">
        <f t="shared" si="3"/>
        <v>16579621.96565683</v>
      </c>
      <c r="HV11" s="85">
        <f t="shared" si="3"/>
        <v>16579621.96565683</v>
      </c>
      <c r="HW11" s="85">
        <f t="shared" si="3"/>
        <v>16579621.96565683</v>
      </c>
      <c r="HX11" s="85">
        <f t="shared" si="3"/>
        <v>16579621.96565683</v>
      </c>
      <c r="HY11" s="85">
        <f t="shared" si="3"/>
        <v>16579621.96565683</v>
      </c>
      <c r="HZ11" s="85">
        <f t="shared" si="3"/>
        <v>16579621.96565683</v>
      </c>
      <c r="IA11" s="85">
        <f t="shared" si="3"/>
        <v>16579621.96565683</v>
      </c>
      <c r="IB11" s="85">
        <f t="shared" si="3"/>
        <v>16579621.96565683</v>
      </c>
      <c r="IC11" s="85">
        <f t="shared" si="3"/>
        <v>16579621.96565683</v>
      </c>
      <c r="ID11" s="85">
        <f t="shared" si="3"/>
        <v>16579621.96565683</v>
      </c>
      <c r="IE11" s="85">
        <f t="shared" si="3"/>
        <v>16579621.96565683</v>
      </c>
      <c r="IF11" s="85">
        <f t="shared" si="3"/>
        <v>16579621.96565683</v>
      </c>
      <c r="IG11" s="85">
        <f t="shared" si="3"/>
        <v>16579621.96565683</v>
      </c>
      <c r="IH11" s="85">
        <f t="shared" si="3"/>
        <v>16579621.96565683</v>
      </c>
    </row>
    <row r="12" spans="1:242" x14ac:dyDescent="0.45">
      <c r="A12" s="888" t="s">
        <v>306</v>
      </c>
      <c r="B12" s="889"/>
    </row>
    <row r="13" spans="1:242" ht="14.65" thickBot="1" x14ac:dyDescent="0.5">
      <c r="A13" s="895" t="s">
        <v>307</v>
      </c>
      <c r="B13" s="896"/>
      <c r="C13" s="82">
        <f>'CAPEX Schedule'!C13</f>
        <v>226019243.67993751</v>
      </c>
      <c r="D13" s="82">
        <f>'CAPEX Schedule'!D13</f>
        <v>0</v>
      </c>
      <c r="E13" s="82">
        <f>'CAPEX Schedule'!E13</f>
        <v>0</v>
      </c>
      <c r="F13" s="82">
        <f>'CAPEX Schedule'!F13</f>
        <v>0</v>
      </c>
      <c r="G13" s="82">
        <f>'CAPEX Schedule'!G13</f>
        <v>0</v>
      </c>
      <c r="H13" s="82">
        <f>'CAPEX Schedule'!H13</f>
        <v>0</v>
      </c>
      <c r="I13" s="82">
        <f>'CAPEX Schedule'!I13</f>
        <v>90407697.471974999</v>
      </c>
      <c r="J13" s="82">
        <f>'CAPEX Schedule'!J13</f>
        <v>45203848.735987499</v>
      </c>
      <c r="K13" s="82">
        <f>'CAPEX Schedule'!K13</f>
        <v>0</v>
      </c>
      <c r="L13" s="82">
        <f>'CAPEX Schedule'!L13</f>
        <v>45203848.735987499</v>
      </c>
      <c r="M13" s="82">
        <f>'CAPEX Schedule'!M13</f>
        <v>0</v>
      </c>
      <c r="N13" s="82">
        <f>'CAPEX Schedule'!N13</f>
        <v>45203848.735987499</v>
      </c>
      <c r="O13" s="82">
        <f>'CAPEX Schedule'!O13</f>
        <v>226019243.67993751</v>
      </c>
      <c r="P13" s="82">
        <f>'CAPEX Schedule'!P13</f>
        <v>0</v>
      </c>
      <c r="Q13" s="82">
        <f>'CAPEX Schedule'!Q13</f>
        <v>0</v>
      </c>
      <c r="R13" s="82">
        <f>'CAPEX Schedule'!R13</f>
        <v>0</v>
      </c>
      <c r="S13" s="82">
        <f>'CAPEX Schedule'!S13</f>
        <v>0</v>
      </c>
      <c r="T13" s="82">
        <f>'CAPEX Schedule'!T13</f>
        <v>0</v>
      </c>
      <c r="U13" s="82">
        <f>'CAPEX Schedule'!U13</f>
        <v>90407697.471974999</v>
      </c>
      <c r="V13" s="82">
        <f>'CAPEX Schedule'!V13</f>
        <v>0</v>
      </c>
      <c r="W13" s="82">
        <f>'CAPEX Schedule'!W13</f>
        <v>45203848.735987499</v>
      </c>
      <c r="X13" s="82">
        <f>'CAPEX Schedule'!X13</f>
        <v>45203848.735987499</v>
      </c>
      <c r="Y13" s="82">
        <f>'CAPEX Schedule'!Y13</f>
        <v>0</v>
      </c>
      <c r="Z13" s="82">
        <f>'CAPEX Schedule'!Z13</f>
        <v>45203848.735987499</v>
      </c>
      <c r="AA13" s="82">
        <f>'CAPEX Schedule'!AA13</f>
        <v>0</v>
      </c>
      <c r="AB13" s="82">
        <f>'CAPEX Schedule'!AB13</f>
        <v>0</v>
      </c>
      <c r="AC13" s="82">
        <f>'CAPEX Schedule'!AC13</f>
        <v>0</v>
      </c>
      <c r="AD13" s="82">
        <f>'CAPEX Schedule'!AD13</f>
        <v>0</v>
      </c>
      <c r="AE13" s="82">
        <f>'CAPEX Schedule'!AE13</f>
        <v>0</v>
      </c>
      <c r="AF13" s="82">
        <f>'CAPEX Schedule'!AF13</f>
        <v>0</v>
      </c>
      <c r="AG13" s="82">
        <f>'CAPEX Schedule'!AG13</f>
        <v>0</v>
      </c>
      <c r="AH13" s="82">
        <f>'CAPEX Schedule'!AH13</f>
        <v>0</v>
      </c>
      <c r="AI13" s="82">
        <f>'CAPEX Schedule'!AI13</f>
        <v>0</v>
      </c>
      <c r="AJ13" s="82">
        <f>'CAPEX Schedule'!AJ13</f>
        <v>0</v>
      </c>
      <c r="AK13" s="82">
        <f>'CAPEX Schedule'!AK13</f>
        <v>0</v>
      </c>
      <c r="AL13" s="82">
        <f>'CAPEX Schedule'!AL13</f>
        <v>0</v>
      </c>
      <c r="AM13" s="82">
        <f>'CAPEX Schedule'!AM13</f>
        <v>0</v>
      </c>
      <c r="AN13" s="82">
        <f>'CAPEX Schedule'!AN13</f>
        <v>0</v>
      </c>
      <c r="AO13" s="82">
        <f>'CAPEX Schedule'!AO13</f>
        <v>0</v>
      </c>
      <c r="AP13" s="82">
        <f>'CAPEX Schedule'!AP13</f>
        <v>0</v>
      </c>
      <c r="AQ13" s="82">
        <f>'CAPEX Schedule'!AQ13</f>
        <v>0</v>
      </c>
      <c r="AR13" s="82">
        <f>'CAPEX Schedule'!AR13</f>
        <v>0</v>
      </c>
      <c r="AS13" s="82">
        <f>'CAPEX Schedule'!AS13</f>
        <v>0</v>
      </c>
      <c r="AT13" s="82">
        <f>'CAPEX Schedule'!AT13</f>
        <v>0</v>
      </c>
      <c r="AU13" s="82">
        <f>'CAPEX Schedule'!AU13</f>
        <v>0</v>
      </c>
      <c r="AV13" s="82">
        <f>'CAPEX Schedule'!AV13</f>
        <v>0</v>
      </c>
      <c r="AW13" s="82">
        <f>'CAPEX Schedule'!AW13</f>
        <v>0</v>
      </c>
      <c r="AX13" s="82">
        <f>'CAPEX Schedule'!AX13</f>
        <v>0</v>
      </c>
      <c r="AY13" s="82">
        <f>'CAPEX Schedule'!AY13</f>
        <v>0</v>
      </c>
      <c r="AZ13" s="82">
        <f>'CAPEX Schedule'!AZ13</f>
        <v>0</v>
      </c>
      <c r="BA13" s="82">
        <f>'CAPEX Schedule'!BA13</f>
        <v>0</v>
      </c>
      <c r="BB13" s="82">
        <f>'CAPEX Schedule'!BB13</f>
        <v>0</v>
      </c>
      <c r="BC13" s="82">
        <f>'CAPEX Schedule'!BC13</f>
        <v>0</v>
      </c>
      <c r="BD13" s="82">
        <f>'CAPEX Schedule'!BD13</f>
        <v>0</v>
      </c>
      <c r="BE13" s="82">
        <f>'CAPEX Schedule'!BE13</f>
        <v>0</v>
      </c>
      <c r="BF13" s="82">
        <f>'CAPEX Schedule'!BF13</f>
        <v>0</v>
      </c>
      <c r="BG13" s="82">
        <f>'CAPEX Schedule'!BG13</f>
        <v>0</v>
      </c>
      <c r="BH13" s="82">
        <f>'CAPEX Schedule'!BH13</f>
        <v>0</v>
      </c>
      <c r="BI13" s="82">
        <f>'CAPEX Schedule'!BI13</f>
        <v>0</v>
      </c>
      <c r="BJ13" s="82">
        <f>'CAPEX Schedule'!BJ13</f>
        <v>0</v>
      </c>
      <c r="BK13" s="82">
        <f>'CAPEX Schedule'!BK13</f>
        <v>10000000</v>
      </c>
      <c r="BL13" s="82">
        <f>'CAPEX Schedule'!BL13</f>
        <v>0</v>
      </c>
      <c r="BM13" s="82">
        <f>'CAPEX Schedule'!BM13</f>
        <v>0</v>
      </c>
      <c r="BN13" s="82">
        <f>'CAPEX Schedule'!BN13</f>
        <v>6000000</v>
      </c>
      <c r="BO13" s="82">
        <f>'CAPEX Schedule'!BO13</f>
        <v>0</v>
      </c>
      <c r="BP13" s="82">
        <f>'CAPEX Schedule'!BP13</f>
        <v>0</v>
      </c>
      <c r="BQ13" s="82">
        <f>'CAPEX Schedule'!BQ13</f>
        <v>4000000</v>
      </c>
      <c r="BR13" s="82">
        <f>'CAPEX Schedule'!BR13</f>
        <v>0</v>
      </c>
      <c r="BS13" s="82">
        <f>'CAPEX Schedule'!BS13</f>
        <v>0</v>
      </c>
      <c r="BT13" s="82">
        <f>'CAPEX Schedule'!BT13</f>
        <v>0</v>
      </c>
      <c r="BU13" s="82">
        <f>'CAPEX Schedule'!BU13</f>
        <v>0</v>
      </c>
      <c r="BV13" s="82">
        <f>'CAPEX Schedule'!BV13</f>
        <v>0</v>
      </c>
      <c r="BW13" s="82">
        <f>'CAPEX Schedule'!BW13</f>
        <v>0</v>
      </c>
      <c r="BX13" s="82">
        <f>'CAPEX Schedule'!BX13</f>
        <v>0</v>
      </c>
      <c r="BY13" s="82">
        <f>'CAPEX Schedule'!BY13</f>
        <v>0</v>
      </c>
      <c r="BZ13" s="82">
        <f>'CAPEX Schedule'!BZ13</f>
        <v>0</v>
      </c>
      <c r="CA13" s="82">
        <f>'CAPEX Schedule'!CA13</f>
        <v>0</v>
      </c>
      <c r="CB13" s="82">
        <f>'CAPEX Schedule'!CB13</f>
        <v>0</v>
      </c>
      <c r="CC13" s="82">
        <f>'CAPEX Schedule'!CC13</f>
        <v>0</v>
      </c>
      <c r="CD13" s="82">
        <f>'CAPEX Schedule'!CD13</f>
        <v>0</v>
      </c>
      <c r="CE13" s="82">
        <f>'CAPEX Schedule'!CE13</f>
        <v>0</v>
      </c>
      <c r="CF13" s="82">
        <f>'CAPEX Schedule'!CF13</f>
        <v>0</v>
      </c>
      <c r="CG13" s="82">
        <f>'CAPEX Schedule'!CG13</f>
        <v>0</v>
      </c>
      <c r="CH13" s="82">
        <f>'CAPEX Schedule'!CH13</f>
        <v>0</v>
      </c>
      <c r="CI13" s="82">
        <f>'CAPEX Schedule'!CI13</f>
        <v>0</v>
      </c>
      <c r="CJ13" s="82">
        <f>'CAPEX Schedule'!CJ13</f>
        <v>0</v>
      </c>
      <c r="CK13" s="82">
        <f>'CAPEX Schedule'!CK13</f>
        <v>0</v>
      </c>
      <c r="CL13" s="82">
        <f>'CAPEX Schedule'!CL13</f>
        <v>0</v>
      </c>
      <c r="CM13" s="82">
        <f>'CAPEX Schedule'!CM13</f>
        <v>0</v>
      </c>
      <c r="CN13" s="82">
        <f>'CAPEX Schedule'!CN13</f>
        <v>0</v>
      </c>
      <c r="CO13" s="82">
        <f>'CAPEX Schedule'!CO13</f>
        <v>0</v>
      </c>
      <c r="CP13" s="82">
        <f>'CAPEX Schedule'!CP13</f>
        <v>0</v>
      </c>
      <c r="CQ13" s="82">
        <f>'CAPEX Schedule'!CQ13</f>
        <v>0</v>
      </c>
      <c r="CR13" s="82">
        <f>'CAPEX Schedule'!CR13</f>
        <v>0</v>
      </c>
      <c r="CS13" s="82">
        <f>'CAPEX Schedule'!CS13</f>
        <v>0</v>
      </c>
      <c r="CT13" s="82">
        <f>'CAPEX Schedule'!CT13</f>
        <v>0</v>
      </c>
      <c r="CU13" s="82">
        <f>'CAPEX Schedule'!CU13</f>
        <v>0</v>
      </c>
      <c r="CV13" s="82">
        <f>'CAPEX Schedule'!CV13</f>
        <v>0</v>
      </c>
      <c r="CW13" s="82">
        <f>'CAPEX Schedule'!CW13</f>
        <v>0</v>
      </c>
      <c r="CX13" s="82">
        <f>'CAPEX Schedule'!CX13</f>
        <v>0</v>
      </c>
      <c r="CY13" s="82">
        <f>'CAPEX Schedule'!CY13</f>
        <v>0</v>
      </c>
      <c r="CZ13" s="82">
        <f>'CAPEX Schedule'!CZ13</f>
        <v>0</v>
      </c>
      <c r="DA13" s="82">
        <f>'CAPEX Schedule'!DA13</f>
        <v>0</v>
      </c>
      <c r="DB13" s="82">
        <f>'CAPEX Schedule'!DB13</f>
        <v>0</v>
      </c>
      <c r="DC13" s="82">
        <f>'CAPEX Schedule'!DC13</f>
        <v>0</v>
      </c>
      <c r="DD13" s="82">
        <f>'CAPEX Schedule'!DD13</f>
        <v>0</v>
      </c>
      <c r="DE13" s="82">
        <f>'CAPEX Schedule'!DE13</f>
        <v>0</v>
      </c>
      <c r="DF13" s="82">
        <f>'CAPEX Schedule'!DF13</f>
        <v>0</v>
      </c>
      <c r="DG13" s="82">
        <f>'CAPEX Schedule'!DG13</f>
        <v>0</v>
      </c>
      <c r="DH13" s="82">
        <f>'CAPEX Schedule'!DH13</f>
        <v>0</v>
      </c>
      <c r="DI13" s="82">
        <f>'CAPEX Schedule'!DI13</f>
        <v>0</v>
      </c>
      <c r="DJ13" s="82">
        <f>'CAPEX Schedule'!DJ13</f>
        <v>0</v>
      </c>
      <c r="DK13" s="82">
        <f>'CAPEX Schedule'!DK13</f>
        <v>0</v>
      </c>
      <c r="DL13" s="82">
        <f>'CAPEX Schedule'!DL13</f>
        <v>0</v>
      </c>
      <c r="DM13" s="82">
        <f>'CAPEX Schedule'!DM13</f>
        <v>0</v>
      </c>
      <c r="DN13" s="82">
        <f>'CAPEX Schedule'!DN13</f>
        <v>0</v>
      </c>
      <c r="DO13" s="82">
        <f>'CAPEX Schedule'!DO13</f>
        <v>0</v>
      </c>
      <c r="DP13" s="82">
        <f>'CAPEX Schedule'!DP13</f>
        <v>0</v>
      </c>
      <c r="DQ13" s="82">
        <f>'CAPEX Schedule'!DQ13</f>
        <v>0</v>
      </c>
      <c r="DR13" s="82">
        <f>'CAPEX Schedule'!DR13</f>
        <v>0</v>
      </c>
      <c r="DS13" s="82">
        <f>'CAPEX Schedule'!DS13</f>
        <v>15000000</v>
      </c>
      <c r="DT13" s="82">
        <f>'CAPEX Schedule'!DT13</f>
        <v>0</v>
      </c>
      <c r="DU13" s="82">
        <f>'CAPEX Schedule'!DU13</f>
        <v>0</v>
      </c>
      <c r="DV13" s="82">
        <f>'CAPEX Schedule'!DV13</f>
        <v>11000000</v>
      </c>
      <c r="DW13" s="82">
        <f>'CAPEX Schedule'!DW13</f>
        <v>0</v>
      </c>
      <c r="DX13" s="82">
        <f>'CAPEX Schedule'!DX13</f>
        <v>0</v>
      </c>
      <c r="DY13" s="82">
        <f>'CAPEX Schedule'!DY13</f>
        <v>9000000</v>
      </c>
      <c r="DZ13" s="82">
        <f>'CAPEX Schedule'!DZ13</f>
        <v>0</v>
      </c>
      <c r="EA13" s="82">
        <f>'CAPEX Schedule'!EA13</f>
        <v>0</v>
      </c>
      <c r="EB13" s="82">
        <f>'CAPEX Schedule'!EB13</f>
        <v>0</v>
      </c>
      <c r="EC13" s="82">
        <f>'CAPEX Schedule'!EC13</f>
        <v>0</v>
      </c>
      <c r="ED13" s="82">
        <f>'CAPEX Schedule'!ED13</f>
        <v>0</v>
      </c>
      <c r="EE13" s="82">
        <f>'CAPEX Schedule'!EE13</f>
        <v>0</v>
      </c>
      <c r="EF13" s="82">
        <f>'CAPEX Schedule'!EF13</f>
        <v>0</v>
      </c>
      <c r="EG13" s="82">
        <f>'CAPEX Schedule'!EG13</f>
        <v>0</v>
      </c>
      <c r="EH13" s="82">
        <f>'CAPEX Schedule'!EH13</f>
        <v>0</v>
      </c>
      <c r="EI13" s="82">
        <f>'CAPEX Schedule'!EI13</f>
        <v>0</v>
      </c>
      <c r="EJ13" s="82">
        <f>'CAPEX Schedule'!EJ13</f>
        <v>0</v>
      </c>
      <c r="EK13" s="82">
        <f>'CAPEX Schedule'!EK13</f>
        <v>5000000</v>
      </c>
      <c r="EL13" s="82">
        <f>'CAPEX Schedule'!EL13</f>
        <v>0</v>
      </c>
      <c r="EM13" s="82">
        <f>'CAPEX Schedule'!EM13</f>
        <v>0</v>
      </c>
      <c r="EN13" s="82">
        <f>'CAPEX Schedule'!EN13</f>
        <v>0</v>
      </c>
      <c r="EO13" s="82">
        <f>'CAPEX Schedule'!EO13</f>
        <v>0</v>
      </c>
      <c r="EP13" s="82">
        <f>'CAPEX Schedule'!EP13</f>
        <v>10000000</v>
      </c>
      <c r="EQ13" s="82">
        <f>'CAPEX Schedule'!EQ13</f>
        <v>0</v>
      </c>
      <c r="ER13" s="82">
        <f>'CAPEX Schedule'!ER13</f>
        <v>0</v>
      </c>
      <c r="ES13" s="82">
        <f>'CAPEX Schedule'!ES13</f>
        <v>0</v>
      </c>
      <c r="ET13" s="82">
        <f>'CAPEX Schedule'!ET13</f>
        <v>0</v>
      </c>
      <c r="EU13" s="82">
        <f>'CAPEX Schedule'!EU13</f>
        <v>0</v>
      </c>
      <c r="EV13" s="82">
        <f>'CAPEX Schedule'!EV13</f>
        <v>0</v>
      </c>
      <c r="EW13" s="82">
        <f>'CAPEX Schedule'!EW13</f>
        <v>0</v>
      </c>
      <c r="EX13" s="82">
        <f>'CAPEX Schedule'!EX13</f>
        <v>0</v>
      </c>
      <c r="EY13" s="82">
        <f>'CAPEX Schedule'!EY13</f>
        <v>0</v>
      </c>
      <c r="EZ13" s="82">
        <f>'CAPEX Schedule'!EZ13</f>
        <v>5000000</v>
      </c>
      <c r="FA13" s="82">
        <f>'CAPEX Schedule'!FA13</f>
        <v>0</v>
      </c>
      <c r="FB13" s="82">
        <f>'CAPEX Schedule'!FB13</f>
        <v>0</v>
      </c>
      <c r="FC13" s="82">
        <f>'CAPEX Schedule'!FC13</f>
        <v>0</v>
      </c>
      <c r="FD13" s="82">
        <f>'CAPEX Schedule'!FD13</f>
        <v>0</v>
      </c>
      <c r="FE13" s="82">
        <f>'CAPEX Schedule'!FE13</f>
        <v>0</v>
      </c>
      <c r="FF13" s="82">
        <f>'CAPEX Schedule'!FF13</f>
        <v>0</v>
      </c>
      <c r="FG13" s="82">
        <f>'CAPEX Schedule'!FG13</f>
        <v>0</v>
      </c>
      <c r="FH13" s="82">
        <f>'CAPEX Schedule'!FH13</f>
        <v>10000000</v>
      </c>
      <c r="FI13" s="82">
        <f>'CAPEX Schedule'!FI13</f>
        <v>0</v>
      </c>
      <c r="FJ13" s="82">
        <f>'CAPEX Schedule'!FJ13</f>
        <v>0</v>
      </c>
      <c r="FK13" s="82">
        <f>'CAPEX Schedule'!FK13</f>
        <v>0</v>
      </c>
      <c r="FL13" s="82">
        <f>'CAPEX Schedule'!FL13</f>
        <v>0</v>
      </c>
      <c r="FM13" s="82">
        <f>'CAPEX Schedule'!FM13</f>
        <v>0</v>
      </c>
      <c r="FN13" s="82">
        <f>'CAPEX Schedule'!FN13</f>
        <v>0</v>
      </c>
      <c r="FO13" s="82">
        <f>'CAPEX Schedule'!FO13</f>
        <v>0</v>
      </c>
      <c r="FP13" s="82">
        <f>'CAPEX Schedule'!FP13</f>
        <v>0</v>
      </c>
      <c r="FQ13" s="82">
        <f>'CAPEX Schedule'!FQ13</f>
        <v>0</v>
      </c>
      <c r="FR13" s="82">
        <f>'CAPEX Schedule'!FR13</f>
        <v>0</v>
      </c>
      <c r="FS13" s="82">
        <f>'CAPEX Schedule'!FS13</f>
        <v>0</v>
      </c>
      <c r="FT13" s="82">
        <f>'CAPEX Schedule'!FT13</f>
        <v>0</v>
      </c>
      <c r="FU13" s="82">
        <f>'CAPEX Schedule'!FU13</f>
        <v>0</v>
      </c>
      <c r="FV13" s="82">
        <f>'CAPEX Schedule'!FV13</f>
        <v>0</v>
      </c>
      <c r="FW13" s="82">
        <f>'CAPEX Schedule'!FW13</f>
        <v>0</v>
      </c>
      <c r="FX13" s="82">
        <f>'CAPEX Schedule'!FX13</f>
        <v>0</v>
      </c>
      <c r="FY13" s="82">
        <f>'CAPEX Schedule'!FY13</f>
        <v>0</v>
      </c>
      <c r="FZ13" s="82">
        <f>'CAPEX Schedule'!FZ13</f>
        <v>0</v>
      </c>
      <c r="GA13" s="82">
        <f>'CAPEX Schedule'!GA13</f>
        <v>10000000</v>
      </c>
      <c r="GB13" s="82">
        <f>'CAPEX Schedule'!GB13</f>
        <v>0</v>
      </c>
      <c r="GC13" s="82">
        <f>'CAPEX Schedule'!GC13</f>
        <v>0</v>
      </c>
      <c r="GD13" s="82">
        <f>'CAPEX Schedule'!GD13</f>
        <v>11000000</v>
      </c>
      <c r="GE13" s="82">
        <f>'CAPEX Schedule'!GE13</f>
        <v>0</v>
      </c>
      <c r="GF13" s="82">
        <f>'CAPEX Schedule'!GF13</f>
        <v>0</v>
      </c>
      <c r="GG13" s="82">
        <f>'CAPEX Schedule'!GG13</f>
        <v>25569760</v>
      </c>
      <c r="GH13" s="82">
        <f>'CAPEX Schedule'!GH13</f>
        <v>0</v>
      </c>
      <c r="GI13" s="82">
        <f>'CAPEX Schedule'!GI13</f>
        <v>0</v>
      </c>
      <c r="GJ13" s="82">
        <f>'CAPEX Schedule'!GJ13</f>
        <v>0</v>
      </c>
      <c r="GK13" s="82">
        <f>'CAPEX Schedule'!GK13</f>
        <v>0</v>
      </c>
      <c r="GL13" s="82">
        <f>'CAPEX Schedule'!GL13</f>
        <v>0</v>
      </c>
      <c r="GM13" s="82">
        <f>'CAPEX Schedule'!GM13</f>
        <v>0</v>
      </c>
      <c r="GN13" s="82">
        <f>'CAPEX Schedule'!GN13</f>
        <v>0</v>
      </c>
      <c r="GO13" s="82">
        <f>'CAPEX Schedule'!GO13</f>
        <v>0</v>
      </c>
      <c r="GP13" s="82">
        <f>'CAPEX Schedule'!GP13</f>
        <v>0</v>
      </c>
      <c r="GQ13" s="82">
        <f>'CAPEX Schedule'!GQ13</f>
        <v>0</v>
      </c>
      <c r="GR13" s="82">
        <f>'CAPEX Schedule'!GR13</f>
        <v>0</v>
      </c>
      <c r="GS13" s="82">
        <f>'CAPEX Schedule'!GS13</f>
        <v>0</v>
      </c>
      <c r="GT13" s="82">
        <f>'CAPEX Schedule'!GT13</f>
        <v>0</v>
      </c>
      <c r="GU13" s="82">
        <f>'CAPEX Schedule'!GU13</f>
        <v>0</v>
      </c>
      <c r="GV13" s="82">
        <f>'CAPEX Schedule'!GV13</f>
        <v>0</v>
      </c>
      <c r="GW13" s="82">
        <f>'CAPEX Schedule'!GW13</f>
        <v>0</v>
      </c>
      <c r="GX13" s="82">
        <f>'CAPEX Schedule'!GX13</f>
        <v>0</v>
      </c>
      <c r="GY13" s="82">
        <f>'CAPEX Schedule'!GY13</f>
        <v>0</v>
      </c>
      <c r="GZ13" s="82">
        <f>'CAPEX Schedule'!GZ13</f>
        <v>0</v>
      </c>
      <c r="HA13" s="82">
        <f>'CAPEX Schedule'!HA13</f>
        <v>0</v>
      </c>
      <c r="HB13" s="82">
        <f>'CAPEX Schedule'!HB13</f>
        <v>0</v>
      </c>
      <c r="HC13" s="82">
        <f>'CAPEX Schedule'!HC13</f>
        <v>0</v>
      </c>
      <c r="HD13" s="82">
        <f>'CAPEX Schedule'!HD13</f>
        <v>0</v>
      </c>
      <c r="HE13" s="82">
        <f>'CAPEX Schedule'!HE13</f>
        <v>0</v>
      </c>
      <c r="HF13" s="82">
        <f>'CAPEX Schedule'!HF13</f>
        <v>0</v>
      </c>
      <c r="HG13" s="82">
        <f>'CAPEX Schedule'!HG13</f>
        <v>0</v>
      </c>
      <c r="HH13" s="82">
        <f>'CAPEX Schedule'!HH13</f>
        <v>0</v>
      </c>
      <c r="HI13" s="82">
        <f>'CAPEX Schedule'!HI13</f>
        <v>0</v>
      </c>
      <c r="HJ13" s="82">
        <f>'CAPEX Schedule'!HJ13</f>
        <v>0</v>
      </c>
      <c r="HK13" s="82">
        <f>'CAPEX Schedule'!HK13</f>
        <v>0</v>
      </c>
      <c r="HL13" s="82">
        <f>'CAPEX Schedule'!HL13</f>
        <v>0</v>
      </c>
      <c r="HM13" s="82">
        <f>'CAPEX Schedule'!HM13</f>
        <v>0</v>
      </c>
      <c r="HN13" s="82">
        <f>'CAPEX Schedule'!HN13</f>
        <v>0</v>
      </c>
      <c r="HO13" s="82">
        <f>'CAPEX Schedule'!HO13</f>
        <v>0</v>
      </c>
      <c r="HP13" s="82">
        <f>'CAPEX Schedule'!HP13</f>
        <v>0</v>
      </c>
      <c r="HQ13" s="82">
        <f>'CAPEX Schedule'!HQ13</f>
        <v>0</v>
      </c>
      <c r="HR13" s="82">
        <f>'CAPEX Schedule'!HR13</f>
        <v>0</v>
      </c>
      <c r="HS13" s="82">
        <f>'CAPEX Schedule'!HS13</f>
        <v>0</v>
      </c>
      <c r="HT13" s="82">
        <f>'CAPEX Schedule'!HT13</f>
        <v>0</v>
      </c>
      <c r="HU13" s="82">
        <f>'CAPEX Schedule'!HU13</f>
        <v>0</v>
      </c>
      <c r="HV13" s="82">
        <f>'CAPEX Schedule'!HV13</f>
        <v>0</v>
      </c>
      <c r="HW13" s="82">
        <f>'CAPEX Schedule'!HW13</f>
        <v>0</v>
      </c>
      <c r="HX13" s="82">
        <f>'CAPEX Schedule'!HX13</f>
        <v>0</v>
      </c>
      <c r="HY13" s="82">
        <f>'CAPEX Schedule'!HY13</f>
        <v>0</v>
      </c>
      <c r="HZ13" s="82">
        <f>'CAPEX Schedule'!HZ13</f>
        <v>0</v>
      </c>
      <c r="IA13" s="82">
        <f>'CAPEX Schedule'!IA13</f>
        <v>0</v>
      </c>
      <c r="IB13" s="82">
        <f>'CAPEX Schedule'!IB13</f>
        <v>0</v>
      </c>
      <c r="IC13" s="82">
        <f>'CAPEX Schedule'!IC13</f>
        <v>0</v>
      </c>
      <c r="ID13" s="82">
        <f>'CAPEX Schedule'!ID13</f>
        <v>0</v>
      </c>
      <c r="IE13" s="82">
        <f>'CAPEX Schedule'!IE13</f>
        <v>0</v>
      </c>
      <c r="IF13" s="82">
        <f>'CAPEX Schedule'!IF13</f>
        <v>0</v>
      </c>
      <c r="IG13" s="82">
        <f>'CAPEX Schedule'!IG13</f>
        <v>0</v>
      </c>
      <c r="IH13" s="82">
        <f>'CAPEX Schedule'!IH13</f>
        <v>0</v>
      </c>
    </row>
    <row r="14" spans="1:242" ht="14.65" thickTop="1" x14ac:dyDescent="0.45">
      <c r="A14" s="895"/>
      <c r="B14" s="896"/>
      <c r="C14" s="85">
        <f>C13</f>
        <v>226019243.67993751</v>
      </c>
      <c r="D14" s="85">
        <f>D13</f>
        <v>0</v>
      </c>
      <c r="E14" s="85">
        <f t="shared" ref="E14:BP14" si="4">E13</f>
        <v>0</v>
      </c>
      <c r="F14" s="85">
        <f t="shared" si="4"/>
        <v>0</v>
      </c>
      <c r="G14" s="85">
        <f t="shared" si="4"/>
        <v>0</v>
      </c>
      <c r="H14" s="85">
        <f t="shared" si="4"/>
        <v>0</v>
      </c>
      <c r="I14" s="85">
        <f t="shared" si="4"/>
        <v>90407697.471974999</v>
      </c>
      <c r="J14" s="85">
        <f t="shared" si="4"/>
        <v>45203848.735987499</v>
      </c>
      <c r="K14" s="85">
        <f t="shared" si="4"/>
        <v>0</v>
      </c>
      <c r="L14" s="85">
        <f t="shared" si="4"/>
        <v>45203848.735987499</v>
      </c>
      <c r="M14" s="85">
        <f t="shared" si="4"/>
        <v>0</v>
      </c>
      <c r="N14" s="85">
        <f t="shared" si="4"/>
        <v>45203848.735987499</v>
      </c>
      <c r="O14" s="85">
        <f t="shared" si="4"/>
        <v>226019243.67993751</v>
      </c>
      <c r="P14" s="85">
        <f t="shared" si="4"/>
        <v>0</v>
      </c>
      <c r="Q14" s="85">
        <f t="shared" si="4"/>
        <v>0</v>
      </c>
      <c r="R14" s="85">
        <f t="shared" si="4"/>
        <v>0</v>
      </c>
      <c r="S14" s="85">
        <f t="shared" si="4"/>
        <v>0</v>
      </c>
      <c r="T14" s="85">
        <f t="shared" si="4"/>
        <v>0</v>
      </c>
      <c r="U14" s="85">
        <f t="shared" si="4"/>
        <v>90407697.471974999</v>
      </c>
      <c r="V14" s="85">
        <f t="shared" si="4"/>
        <v>0</v>
      </c>
      <c r="W14" s="85">
        <f t="shared" si="4"/>
        <v>45203848.735987499</v>
      </c>
      <c r="X14" s="85">
        <f t="shared" si="4"/>
        <v>45203848.735987499</v>
      </c>
      <c r="Y14" s="85">
        <f t="shared" si="4"/>
        <v>0</v>
      </c>
      <c r="Z14" s="85">
        <f t="shared" si="4"/>
        <v>45203848.735987499</v>
      </c>
      <c r="AA14" s="85">
        <f t="shared" si="4"/>
        <v>0</v>
      </c>
      <c r="AB14" s="85">
        <f t="shared" si="4"/>
        <v>0</v>
      </c>
      <c r="AC14" s="85">
        <f t="shared" si="4"/>
        <v>0</v>
      </c>
      <c r="AD14" s="85">
        <f t="shared" si="4"/>
        <v>0</v>
      </c>
      <c r="AE14" s="85">
        <f t="shared" si="4"/>
        <v>0</v>
      </c>
      <c r="AF14" s="85">
        <f t="shared" si="4"/>
        <v>0</v>
      </c>
      <c r="AG14" s="85">
        <f t="shared" si="4"/>
        <v>0</v>
      </c>
      <c r="AH14" s="85">
        <f t="shared" si="4"/>
        <v>0</v>
      </c>
      <c r="AI14" s="85">
        <f t="shared" si="4"/>
        <v>0</v>
      </c>
      <c r="AJ14" s="85">
        <f t="shared" si="4"/>
        <v>0</v>
      </c>
      <c r="AK14" s="85">
        <f t="shared" si="4"/>
        <v>0</v>
      </c>
      <c r="AL14" s="85">
        <f t="shared" si="4"/>
        <v>0</v>
      </c>
      <c r="AM14" s="85">
        <f t="shared" si="4"/>
        <v>0</v>
      </c>
      <c r="AN14" s="85">
        <f t="shared" si="4"/>
        <v>0</v>
      </c>
      <c r="AO14" s="85">
        <f t="shared" si="4"/>
        <v>0</v>
      </c>
      <c r="AP14" s="85">
        <f t="shared" si="4"/>
        <v>0</v>
      </c>
      <c r="AQ14" s="85">
        <f t="shared" si="4"/>
        <v>0</v>
      </c>
      <c r="AR14" s="85">
        <f t="shared" si="4"/>
        <v>0</v>
      </c>
      <c r="AS14" s="85">
        <f t="shared" si="4"/>
        <v>0</v>
      </c>
      <c r="AT14" s="85">
        <f t="shared" si="4"/>
        <v>0</v>
      </c>
      <c r="AU14" s="85">
        <f t="shared" si="4"/>
        <v>0</v>
      </c>
      <c r="AV14" s="85">
        <f t="shared" si="4"/>
        <v>0</v>
      </c>
      <c r="AW14" s="85">
        <f t="shared" si="4"/>
        <v>0</v>
      </c>
      <c r="AX14" s="85">
        <f t="shared" si="4"/>
        <v>0</v>
      </c>
      <c r="AY14" s="85">
        <f t="shared" si="4"/>
        <v>0</v>
      </c>
      <c r="AZ14" s="85">
        <f t="shared" si="4"/>
        <v>0</v>
      </c>
      <c r="BA14" s="85">
        <f t="shared" si="4"/>
        <v>0</v>
      </c>
      <c r="BB14" s="85">
        <f t="shared" si="4"/>
        <v>0</v>
      </c>
      <c r="BC14" s="85">
        <f t="shared" si="4"/>
        <v>0</v>
      </c>
      <c r="BD14" s="85">
        <f t="shared" si="4"/>
        <v>0</v>
      </c>
      <c r="BE14" s="85">
        <f t="shared" si="4"/>
        <v>0</v>
      </c>
      <c r="BF14" s="85">
        <f t="shared" si="4"/>
        <v>0</v>
      </c>
      <c r="BG14" s="85">
        <f t="shared" si="4"/>
        <v>0</v>
      </c>
      <c r="BH14" s="85">
        <f t="shared" si="4"/>
        <v>0</v>
      </c>
      <c r="BI14" s="85">
        <f t="shared" si="4"/>
        <v>0</v>
      </c>
      <c r="BJ14" s="85">
        <f t="shared" si="4"/>
        <v>0</v>
      </c>
      <c r="BK14" s="85">
        <f t="shared" si="4"/>
        <v>10000000</v>
      </c>
      <c r="BL14" s="85">
        <f t="shared" si="4"/>
        <v>0</v>
      </c>
      <c r="BM14" s="85">
        <f t="shared" si="4"/>
        <v>0</v>
      </c>
      <c r="BN14" s="85">
        <f t="shared" si="4"/>
        <v>6000000</v>
      </c>
      <c r="BO14" s="85">
        <f t="shared" si="4"/>
        <v>0</v>
      </c>
      <c r="BP14" s="85">
        <f t="shared" si="4"/>
        <v>0</v>
      </c>
      <c r="BQ14" s="85">
        <f t="shared" ref="BQ14:EB14" si="5">BQ13</f>
        <v>4000000</v>
      </c>
      <c r="BR14" s="85">
        <f t="shared" si="5"/>
        <v>0</v>
      </c>
      <c r="BS14" s="85">
        <f t="shared" si="5"/>
        <v>0</v>
      </c>
      <c r="BT14" s="85">
        <f t="shared" si="5"/>
        <v>0</v>
      </c>
      <c r="BU14" s="85">
        <f t="shared" si="5"/>
        <v>0</v>
      </c>
      <c r="BV14" s="85">
        <f t="shared" si="5"/>
        <v>0</v>
      </c>
      <c r="BW14" s="85">
        <f t="shared" si="5"/>
        <v>0</v>
      </c>
      <c r="BX14" s="85">
        <f t="shared" si="5"/>
        <v>0</v>
      </c>
      <c r="BY14" s="85">
        <f t="shared" si="5"/>
        <v>0</v>
      </c>
      <c r="BZ14" s="85">
        <f t="shared" si="5"/>
        <v>0</v>
      </c>
      <c r="CA14" s="85">
        <f t="shared" si="5"/>
        <v>0</v>
      </c>
      <c r="CB14" s="85">
        <f t="shared" si="5"/>
        <v>0</v>
      </c>
      <c r="CC14" s="85">
        <f t="shared" si="5"/>
        <v>0</v>
      </c>
      <c r="CD14" s="85">
        <f t="shared" si="5"/>
        <v>0</v>
      </c>
      <c r="CE14" s="85">
        <f t="shared" si="5"/>
        <v>0</v>
      </c>
      <c r="CF14" s="85">
        <f t="shared" si="5"/>
        <v>0</v>
      </c>
      <c r="CG14" s="85">
        <f t="shared" si="5"/>
        <v>0</v>
      </c>
      <c r="CH14" s="85">
        <f t="shared" si="5"/>
        <v>0</v>
      </c>
      <c r="CI14" s="85">
        <f t="shared" si="5"/>
        <v>0</v>
      </c>
      <c r="CJ14" s="85">
        <f t="shared" si="5"/>
        <v>0</v>
      </c>
      <c r="CK14" s="85">
        <f t="shared" si="5"/>
        <v>0</v>
      </c>
      <c r="CL14" s="85">
        <f t="shared" si="5"/>
        <v>0</v>
      </c>
      <c r="CM14" s="85">
        <f t="shared" si="5"/>
        <v>0</v>
      </c>
      <c r="CN14" s="85">
        <f t="shared" si="5"/>
        <v>0</v>
      </c>
      <c r="CO14" s="85">
        <f t="shared" si="5"/>
        <v>0</v>
      </c>
      <c r="CP14" s="85">
        <f t="shared" si="5"/>
        <v>0</v>
      </c>
      <c r="CQ14" s="85">
        <f t="shared" si="5"/>
        <v>0</v>
      </c>
      <c r="CR14" s="85">
        <f t="shared" si="5"/>
        <v>0</v>
      </c>
      <c r="CS14" s="85">
        <f t="shared" si="5"/>
        <v>0</v>
      </c>
      <c r="CT14" s="85">
        <f t="shared" si="5"/>
        <v>0</v>
      </c>
      <c r="CU14" s="85">
        <f t="shared" si="5"/>
        <v>0</v>
      </c>
      <c r="CV14" s="85">
        <f t="shared" si="5"/>
        <v>0</v>
      </c>
      <c r="CW14" s="85">
        <f t="shared" si="5"/>
        <v>0</v>
      </c>
      <c r="CX14" s="85">
        <f t="shared" si="5"/>
        <v>0</v>
      </c>
      <c r="CY14" s="85">
        <f t="shared" si="5"/>
        <v>0</v>
      </c>
      <c r="CZ14" s="85">
        <f t="shared" si="5"/>
        <v>0</v>
      </c>
      <c r="DA14" s="85">
        <f t="shared" si="5"/>
        <v>0</v>
      </c>
      <c r="DB14" s="85">
        <f t="shared" si="5"/>
        <v>0</v>
      </c>
      <c r="DC14" s="85">
        <f t="shared" si="5"/>
        <v>0</v>
      </c>
      <c r="DD14" s="85">
        <f t="shared" si="5"/>
        <v>0</v>
      </c>
      <c r="DE14" s="85">
        <f t="shared" si="5"/>
        <v>0</v>
      </c>
      <c r="DF14" s="85">
        <f t="shared" si="5"/>
        <v>0</v>
      </c>
      <c r="DG14" s="85">
        <f t="shared" si="5"/>
        <v>0</v>
      </c>
      <c r="DH14" s="85">
        <f t="shared" si="5"/>
        <v>0</v>
      </c>
      <c r="DI14" s="85">
        <f t="shared" si="5"/>
        <v>0</v>
      </c>
      <c r="DJ14" s="85">
        <f t="shared" si="5"/>
        <v>0</v>
      </c>
      <c r="DK14" s="85">
        <f t="shared" si="5"/>
        <v>0</v>
      </c>
      <c r="DL14" s="85">
        <f t="shared" si="5"/>
        <v>0</v>
      </c>
      <c r="DM14" s="85">
        <f t="shared" si="5"/>
        <v>0</v>
      </c>
      <c r="DN14" s="85">
        <f t="shared" si="5"/>
        <v>0</v>
      </c>
      <c r="DO14" s="85">
        <f t="shared" si="5"/>
        <v>0</v>
      </c>
      <c r="DP14" s="85">
        <f t="shared" si="5"/>
        <v>0</v>
      </c>
      <c r="DQ14" s="85">
        <f t="shared" si="5"/>
        <v>0</v>
      </c>
      <c r="DR14" s="85">
        <f t="shared" si="5"/>
        <v>0</v>
      </c>
      <c r="DS14" s="85">
        <f t="shared" si="5"/>
        <v>15000000</v>
      </c>
      <c r="DT14" s="85">
        <f t="shared" si="5"/>
        <v>0</v>
      </c>
      <c r="DU14" s="85">
        <f t="shared" si="5"/>
        <v>0</v>
      </c>
      <c r="DV14" s="85">
        <f t="shared" si="5"/>
        <v>11000000</v>
      </c>
      <c r="DW14" s="85">
        <f t="shared" si="5"/>
        <v>0</v>
      </c>
      <c r="DX14" s="85">
        <f t="shared" si="5"/>
        <v>0</v>
      </c>
      <c r="DY14" s="85">
        <f t="shared" si="5"/>
        <v>9000000</v>
      </c>
      <c r="DZ14" s="85">
        <f t="shared" si="5"/>
        <v>0</v>
      </c>
      <c r="EA14" s="85">
        <f t="shared" si="5"/>
        <v>0</v>
      </c>
      <c r="EB14" s="85">
        <f t="shared" si="5"/>
        <v>0</v>
      </c>
      <c r="EC14" s="85">
        <f t="shared" ref="EC14:GJ14" si="6">EC13</f>
        <v>0</v>
      </c>
      <c r="ED14" s="85">
        <f t="shared" si="6"/>
        <v>0</v>
      </c>
      <c r="EE14" s="85">
        <f t="shared" si="6"/>
        <v>0</v>
      </c>
      <c r="EF14" s="85">
        <f t="shared" si="6"/>
        <v>0</v>
      </c>
      <c r="EG14" s="85">
        <f t="shared" si="6"/>
        <v>0</v>
      </c>
      <c r="EH14" s="85">
        <f t="shared" si="6"/>
        <v>0</v>
      </c>
      <c r="EI14" s="85">
        <f t="shared" si="6"/>
        <v>0</v>
      </c>
      <c r="EJ14" s="85">
        <f t="shared" si="6"/>
        <v>0</v>
      </c>
      <c r="EK14" s="85">
        <f t="shared" si="6"/>
        <v>5000000</v>
      </c>
      <c r="EL14" s="85">
        <f t="shared" si="6"/>
        <v>0</v>
      </c>
      <c r="EM14" s="85">
        <f t="shared" si="6"/>
        <v>0</v>
      </c>
      <c r="EN14" s="85">
        <f t="shared" si="6"/>
        <v>0</v>
      </c>
      <c r="EO14" s="85">
        <f t="shared" si="6"/>
        <v>0</v>
      </c>
      <c r="EP14" s="85">
        <f t="shared" si="6"/>
        <v>10000000</v>
      </c>
      <c r="EQ14" s="85">
        <f t="shared" si="6"/>
        <v>0</v>
      </c>
      <c r="ER14" s="85">
        <f t="shared" si="6"/>
        <v>0</v>
      </c>
      <c r="ES14" s="85">
        <f t="shared" si="6"/>
        <v>0</v>
      </c>
      <c r="ET14" s="85">
        <f t="shared" si="6"/>
        <v>0</v>
      </c>
      <c r="EU14" s="85">
        <f t="shared" si="6"/>
        <v>0</v>
      </c>
      <c r="EV14" s="85">
        <f t="shared" si="6"/>
        <v>0</v>
      </c>
      <c r="EW14" s="85">
        <f t="shared" si="6"/>
        <v>0</v>
      </c>
      <c r="EX14" s="85">
        <f t="shared" si="6"/>
        <v>0</v>
      </c>
      <c r="EY14" s="85">
        <f t="shared" si="6"/>
        <v>0</v>
      </c>
      <c r="EZ14" s="85">
        <f t="shared" si="6"/>
        <v>5000000</v>
      </c>
      <c r="FA14" s="85">
        <f t="shared" si="6"/>
        <v>0</v>
      </c>
      <c r="FB14" s="85">
        <f t="shared" si="6"/>
        <v>0</v>
      </c>
      <c r="FC14" s="85">
        <f t="shared" si="6"/>
        <v>0</v>
      </c>
      <c r="FD14" s="85">
        <f t="shared" si="6"/>
        <v>0</v>
      </c>
      <c r="FE14" s="85">
        <f t="shared" si="6"/>
        <v>0</v>
      </c>
      <c r="FF14" s="85">
        <f t="shared" si="6"/>
        <v>0</v>
      </c>
      <c r="FG14" s="85">
        <f t="shared" si="6"/>
        <v>0</v>
      </c>
      <c r="FH14" s="85">
        <f t="shared" si="6"/>
        <v>10000000</v>
      </c>
      <c r="FI14" s="85">
        <f t="shared" si="6"/>
        <v>0</v>
      </c>
      <c r="FJ14" s="85">
        <f t="shared" si="6"/>
        <v>0</v>
      </c>
      <c r="FK14" s="85">
        <f t="shared" si="6"/>
        <v>0</v>
      </c>
      <c r="FL14" s="85">
        <f t="shared" si="6"/>
        <v>0</v>
      </c>
      <c r="FM14" s="85">
        <f t="shared" si="6"/>
        <v>0</v>
      </c>
      <c r="FN14" s="85">
        <f t="shared" si="6"/>
        <v>0</v>
      </c>
      <c r="FO14" s="85">
        <f t="shared" si="6"/>
        <v>0</v>
      </c>
      <c r="FP14" s="85">
        <f t="shared" si="6"/>
        <v>0</v>
      </c>
      <c r="FQ14" s="85">
        <f t="shared" si="6"/>
        <v>0</v>
      </c>
      <c r="FR14" s="85">
        <f t="shared" si="6"/>
        <v>0</v>
      </c>
      <c r="FS14" s="85">
        <f t="shared" si="6"/>
        <v>0</v>
      </c>
      <c r="FT14" s="85">
        <f t="shared" si="6"/>
        <v>0</v>
      </c>
      <c r="FU14" s="85">
        <f t="shared" si="6"/>
        <v>0</v>
      </c>
      <c r="FV14" s="85">
        <f t="shared" si="6"/>
        <v>0</v>
      </c>
      <c r="FW14" s="85">
        <f t="shared" si="6"/>
        <v>0</v>
      </c>
      <c r="FX14" s="85">
        <f t="shared" si="6"/>
        <v>0</v>
      </c>
      <c r="FY14" s="85">
        <f t="shared" si="6"/>
        <v>0</v>
      </c>
      <c r="FZ14" s="85">
        <f t="shared" si="6"/>
        <v>0</v>
      </c>
      <c r="GA14" s="85">
        <f t="shared" si="6"/>
        <v>10000000</v>
      </c>
      <c r="GB14" s="85">
        <f t="shared" si="6"/>
        <v>0</v>
      </c>
      <c r="GC14" s="85">
        <f t="shared" si="6"/>
        <v>0</v>
      </c>
      <c r="GD14" s="85">
        <f t="shared" si="6"/>
        <v>11000000</v>
      </c>
      <c r="GE14" s="85">
        <f t="shared" si="6"/>
        <v>0</v>
      </c>
      <c r="GF14" s="85">
        <f t="shared" si="6"/>
        <v>0</v>
      </c>
      <c r="GG14" s="85">
        <f t="shared" si="6"/>
        <v>25569760</v>
      </c>
      <c r="GH14" s="85">
        <f t="shared" si="6"/>
        <v>0</v>
      </c>
      <c r="GI14" s="85">
        <f t="shared" si="6"/>
        <v>0</v>
      </c>
      <c r="GJ14" s="85">
        <f t="shared" si="6"/>
        <v>0</v>
      </c>
      <c r="GK14" s="85">
        <f t="shared" ref="GK14:IH14" si="7">GK13</f>
        <v>0</v>
      </c>
      <c r="GL14" s="85">
        <f t="shared" si="7"/>
        <v>0</v>
      </c>
      <c r="GM14" s="85">
        <f t="shared" si="7"/>
        <v>0</v>
      </c>
      <c r="GN14" s="85">
        <f t="shared" si="7"/>
        <v>0</v>
      </c>
      <c r="GO14" s="85">
        <f t="shared" si="7"/>
        <v>0</v>
      </c>
      <c r="GP14" s="85">
        <f t="shared" si="7"/>
        <v>0</v>
      </c>
      <c r="GQ14" s="85">
        <f t="shared" si="7"/>
        <v>0</v>
      </c>
      <c r="GR14" s="85">
        <f t="shared" si="7"/>
        <v>0</v>
      </c>
      <c r="GS14" s="85">
        <f t="shared" si="7"/>
        <v>0</v>
      </c>
      <c r="GT14" s="85">
        <f t="shared" si="7"/>
        <v>0</v>
      </c>
      <c r="GU14" s="85">
        <f t="shared" si="7"/>
        <v>0</v>
      </c>
      <c r="GV14" s="85">
        <f t="shared" si="7"/>
        <v>0</v>
      </c>
      <c r="GW14" s="85">
        <f t="shared" si="7"/>
        <v>0</v>
      </c>
      <c r="GX14" s="85">
        <f t="shared" si="7"/>
        <v>0</v>
      </c>
      <c r="GY14" s="85">
        <f t="shared" si="7"/>
        <v>0</v>
      </c>
      <c r="GZ14" s="85">
        <f t="shared" si="7"/>
        <v>0</v>
      </c>
      <c r="HA14" s="85">
        <f t="shared" si="7"/>
        <v>0</v>
      </c>
      <c r="HB14" s="85">
        <f t="shared" si="7"/>
        <v>0</v>
      </c>
      <c r="HC14" s="85">
        <f t="shared" si="7"/>
        <v>0</v>
      </c>
      <c r="HD14" s="85">
        <f t="shared" si="7"/>
        <v>0</v>
      </c>
      <c r="HE14" s="85">
        <f t="shared" si="7"/>
        <v>0</v>
      </c>
      <c r="HF14" s="85">
        <f t="shared" si="7"/>
        <v>0</v>
      </c>
      <c r="HG14" s="85">
        <f t="shared" si="7"/>
        <v>0</v>
      </c>
      <c r="HH14" s="85">
        <f t="shared" si="7"/>
        <v>0</v>
      </c>
      <c r="HI14" s="85">
        <f t="shared" si="7"/>
        <v>0</v>
      </c>
      <c r="HJ14" s="85">
        <f t="shared" si="7"/>
        <v>0</v>
      </c>
      <c r="HK14" s="85">
        <f t="shared" si="7"/>
        <v>0</v>
      </c>
      <c r="HL14" s="85">
        <f t="shared" si="7"/>
        <v>0</v>
      </c>
      <c r="HM14" s="85">
        <f t="shared" si="7"/>
        <v>0</v>
      </c>
      <c r="HN14" s="85">
        <f t="shared" si="7"/>
        <v>0</v>
      </c>
      <c r="HO14" s="85">
        <f t="shared" si="7"/>
        <v>0</v>
      </c>
      <c r="HP14" s="85">
        <f t="shared" si="7"/>
        <v>0</v>
      </c>
      <c r="HQ14" s="85">
        <f t="shared" si="7"/>
        <v>0</v>
      </c>
      <c r="HR14" s="85">
        <f t="shared" si="7"/>
        <v>0</v>
      </c>
      <c r="HS14" s="85">
        <f t="shared" si="7"/>
        <v>0</v>
      </c>
      <c r="HT14" s="85">
        <f t="shared" si="7"/>
        <v>0</v>
      </c>
      <c r="HU14" s="85">
        <f t="shared" si="7"/>
        <v>0</v>
      </c>
      <c r="HV14" s="85">
        <f t="shared" si="7"/>
        <v>0</v>
      </c>
      <c r="HW14" s="85">
        <f t="shared" si="7"/>
        <v>0</v>
      </c>
      <c r="HX14" s="85">
        <f t="shared" si="7"/>
        <v>0</v>
      </c>
      <c r="HY14" s="85">
        <f t="shared" si="7"/>
        <v>0</v>
      </c>
      <c r="HZ14" s="85">
        <f t="shared" si="7"/>
        <v>0</v>
      </c>
      <c r="IA14" s="85">
        <f t="shared" si="7"/>
        <v>0</v>
      </c>
      <c r="IB14" s="85">
        <f t="shared" si="7"/>
        <v>0</v>
      </c>
      <c r="IC14" s="85">
        <f t="shared" si="7"/>
        <v>0</v>
      </c>
      <c r="ID14" s="85">
        <f t="shared" si="7"/>
        <v>0</v>
      </c>
      <c r="IE14" s="85">
        <f t="shared" si="7"/>
        <v>0</v>
      </c>
      <c r="IF14" s="85">
        <f t="shared" si="7"/>
        <v>0</v>
      </c>
      <c r="IG14" s="85">
        <f t="shared" si="7"/>
        <v>0</v>
      </c>
      <c r="IH14" s="85">
        <f t="shared" si="7"/>
        <v>0</v>
      </c>
    </row>
    <row r="15" spans="1:242" x14ac:dyDescent="0.45">
      <c r="A15" s="888" t="s">
        <v>308</v>
      </c>
      <c r="B15" s="889"/>
    </row>
    <row r="16" spans="1:242" x14ac:dyDescent="0.45">
      <c r="A16" s="895" t="s">
        <v>309</v>
      </c>
      <c r="B16" s="896"/>
      <c r="C16" s="81">
        <f>'Balance Sheet'!C26+'Balance Sheet'!C20+'Balance Sheet'!C22</f>
        <v>833005190.29291904</v>
      </c>
      <c r="D16" s="81">
        <f>('Balance Sheet'!D26+'Balance Sheet'!D20+'Balance Sheet'!D22)-('Balance Sheet'!C26+'Balance Sheet'!C20+'Balance Sheet'!C22)</f>
        <v>4461153.357621789</v>
      </c>
      <c r="E16" s="81">
        <f>('Balance Sheet'!E26+'Balance Sheet'!E20+'Balance Sheet'!E22)-('Balance Sheet'!D26+'Balance Sheet'!D20+'Balance Sheet'!D22)</f>
        <v>4434359.8485107422</v>
      </c>
      <c r="F16" s="81">
        <f>('Balance Sheet'!F26+'Balance Sheet'!F20+'Balance Sheet'!F22)-('Balance Sheet'!E26+'Balance Sheet'!E20+'Balance Sheet'!E22)</f>
        <v>4407421.2078919411</v>
      </c>
      <c r="G16" s="81">
        <f>('Balance Sheet'!G26+'Balance Sheet'!G20+'Balance Sheet'!G22)-('Balance Sheet'!F26+'Balance Sheet'!F20+'Balance Sheet'!F22)</f>
        <v>4380336.649636507</v>
      </c>
      <c r="H16" s="81">
        <f>('Balance Sheet'!H26+'Balance Sheet'!H20+'Balance Sheet'!H22)-('Balance Sheet'!G26+'Balance Sheet'!G20+'Balance Sheet'!G22)</f>
        <v>4353105.3833572865</v>
      </c>
      <c r="I16" s="81">
        <f>('Balance Sheet'!I26+'Balance Sheet'!I20+'Balance Sheet'!I22)-('Balance Sheet'!H26+'Balance Sheet'!H20+'Balance Sheet'!H22)</f>
        <v>4325726.6143856049</v>
      </c>
      <c r="J16" s="81">
        <f>('Balance Sheet'!J26+'Balance Sheet'!J20+'Balance Sheet'!J22)-('Balance Sheet'!I26+'Balance Sheet'!I20+'Balance Sheet'!I22)</f>
        <v>4298199.5437486172</v>
      </c>
      <c r="K16" s="81">
        <f>('Balance Sheet'!K26+'Balance Sheet'!K20+'Balance Sheet'!K22)-('Balance Sheet'!J26+'Balance Sheet'!J20+'Balance Sheet'!J22)</f>
        <v>4270523.3681458235</v>
      </c>
      <c r="L16" s="81">
        <f>('Balance Sheet'!L26+'Balance Sheet'!L20+'Balance Sheet'!L22)-('Balance Sheet'!K26+'Balance Sheet'!K20+'Balance Sheet'!K22)</f>
        <v>4242697.279925108</v>
      </c>
      <c r="M16" s="81">
        <f>('Balance Sheet'!M26+'Balance Sheet'!M20+'Balance Sheet'!M22)-('Balance Sheet'!L26+'Balance Sheet'!L20+'Balance Sheet'!L22)</f>
        <v>4214720.4670598507</v>
      </c>
      <c r="N16" s="81">
        <f>('Balance Sheet'!N26+'Balance Sheet'!N20+'Balance Sheet'!N22)-('Balance Sheet'!M26+'Balance Sheet'!M20+'Balance Sheet'!M22)</f>
        <v>4186592.1131248474</v>
      </c>
      <c r="O16" s="81">
        <f>('Balance Sheet'!O26+'Balance Sheet'!O20+'Balance Sheet'!O22)-('Balance Sheet'!N26+'Balance Sheet'!N20+'Balance Sheet'!N22)</f>
        <v>4158311.3972728252</v>
      </c>
      <c r="P16" s="81">
        <f>('Balance Sheet'!P26+'Balance Sheet'!P20+'Balance Sheet'!P22)-('Balance Sheet'!O26+'Balance Sheet'!O20+'Balance Sheet'!O22)</f>
        <v>4129877.4942098856</v>
      </c>
      <c r="Q16" s="81">
        <f>('Balance Sheet'!Q26+'Balance Sheet'!Q20+'Balance Sheet'!Q22)-('Balance Sheet'!P26+'Balance Sheet'!P20+'Balance Sheet'!P22)</f>
        <v>4101289.5741719007</v>
      </c>
      <c r="R16" s="81">
        <f>('Balance Sheet'!R26+'Balance Sheet'!R20+'Balance Sheet'!R22)-('Balance Sheet'!Q26+'Balance Sheet'!Q20+'Balance Sheet'!Q22)</f>
        <v>4072546.8029005527</v>
      </c>
      <c r="S16" s="81">
        <f>('Balance Sheet'!S26+'Balance Sheet'!S20+'Balance Sheet'!S22)-('Balance Sheet'!R26+'Balance Sheet'!R20+'Balance Sheet'!R22)</f>
        <v>4043648.3416180611</v>
      </c>
      <c r="T16" s="81">
        <f>('Balance Sheet'!T26+'Balance Sheet'!T20+'Balance Sheet'!T22)-('Balance Sheet'!S26+'Balance Sheet'!S20+'Balance Sheet'!S22)</f>
        <v>4014593.3470036983</v>
      </c>
      <c r="U16" s="81">
        <f>('Balance Sheet'!U26+'Balance Sheet'!U20+'Balance Sheet'!U22)-('Balance Sheet'!T26+'Balance Sheet'!T20+'Balance Sheet'!T22)</f>
        <v>3985380.9711683989</v>
      </c>
      <c r="V16" s="81">
        <f>('Balance Sheet'!V26+'Balance Sheet'!V20+'Balance Sheet'!V22)-('Balance Sheet'!U26+'Balance Sheet'!U20+'Balance Sheet'!U22)</f>
        <v>3956010.3616306782</v>
      </c>
      <c r="W16" s="81">
        <f>('Balance Sheet'!W26+'Balance Sheet'!W20+'Balance Sheet'!W22)-('Balance Sheet'!V26+'Balance Sheet'!V20+'Balance Sheet'!V22)</f>
        <v>3926480.6612913609</v>
      </c>
      <c r="X16" s="81">
        <f>('Balance Sheet'!X26+'Balance Sheet'!X20+'Balance Sheet'!X22)-('Balance Sheet'!W26+'Balance Sheet'!W20+'Balance Sheet'!W22)</f>
        <v>3896791.0084085464</v>
      </c>
      <c r="Y16" s="81">
        <f>('Balance Sheet'!Y26+'Balance Sheet'!Y20+'Balance Sheet'!Y22)-('Balance Sheet'!X26+'Balance Sheet'!X20+'Balance Sheet'!X22)</f>
        <v>3866940.5365725756</v>
      </c>
      <c r="Z16" s="81">
        <f>('Balance Sheet'!Z26+'Balance Sheet'!Z20+'Balance Sheet'!Z22)-('Balance Sheet'!Y26+'Balance Sheet'!Y20+'Balance Sheet'!Y22)</f>
        <v>3836928.3746808767</v>
      </c>
      <c r="AA16" s="81">
        <f>('Balance Sheet'!AA26+'Balance Sheet'!AA20+'Balance Sheet'!AA22)-('Balance Sheet'!Z26+'Balance Sheet'!Z20+'Balance Sheet'!Z22)</f>
        <v>3806753.6469122171</v>
      </c>
      <c r="AB16" s="81">
        <f>('Balance Sheet'!AB26+'Balance Sheet'!AB20+'Balance Sheet'!AB22)-('Balance Sheet'!AA26+'Balance Sheet'!AA20+'Balance Sheet'!AA22)</f>
        <v>3776415.4727014303</v>
      </c>
      <c r="AC16" s="81">
        <f>('Balance Sheet'!AC26+'Balance Sheet'!AC20+'Balance Sheet'!AC22)-('Balance Sheet'!AB26+'Balance Sheet'!AB20+'Balance Sheet'!AB22)</f>
        <v>3745912.9667136669</v>
      </c>
      <c r="AD16" s="81">
        <f>('Balance Sheet'!AD26+'Balance Sheet'!AD20+'Balance Sheet'!AD22)-('Balance Sheet'!AC26+'Balance Sheet'!AC20+'Balance Sheet'!AC22)</f>
        <v>3715245.2388185263</v>
      </c>
      <c r="AE16" s="81">
        <f>('Balance Sheet'!AE26+'Balance Sheet'!AE20+'Balance Sheet'!AE22)-('Balance Sheet'!AD26+'Balance Sheet'!AD20+'Balance Sheet'!AD22)</f>
        <v>3684411.3940639496</v>
      </c>
      <c r="AF16" s="81">
        <f>('Balance Sheet'!AF26+'Balance Sheet'!AF20+'Balance Sheet'!AF22)-('Balance Sheet'!AE26+'Balance Sheet'!AE20+'Balance Sheet'!AE22)</f>
        <v>3653410.5326503515</v>
      </c>
      <c r="AG16" s="81">
        <f>('Balance Sheet'!AG26+'Balance Sheet'!AG20+'Balance Sheet'!AG22)-('Balance Sheet'!AF26+'Balance Sheet'!AF20+'Balance Sheet'!AF22)</f>
        <v>3622241.7499040365</v>
      </c>
      <c r="AH16" s="81">
        <f>('Balance Sheet'!AH26+'Balance Sheet'!AH20+'Balance Sheet'!AH22)-('Balance Sheet'!AG26+'Balance Sheet'!AG20+'Balance Sheet'!AG22)</f>
        <v>3590904.136251092</v>
      </c>
      <c r="AI16" s="81">
        <f>('Balance Sheet'!AI26+'Balance Sheet'!AI20+'Balance Sheet'!AI22)-('Balance Sheet'!AH26+'Balance Sheet'!AH20+'Balance Sheet'!AH22)</f>
        <v>3559396.7771909237</v>
      </c>
      <c r="AJ16" s="81">
        <f>('Balance Sheet'!AJ26+'Balance Sheet'!AJ20+'Balance Sheet'!AJ22)-('Balance Sheet'!AI26+'Balance Sheet'!AI20+'Balance Sheet'!AI22)</f>
        <v>3527718.7532691956</v>
      </c>
      <c r="AK16" s="81">
        <f>('Balance Sheet'!AK26+'Balance Sheet'!AK20+'Balance Sheet'!AK22)-('Balance Sheet'!AJ26+'Balance Sheet'!AJ20+'Balance Sheet'!AJ22)</f>
        <v>3495869.1400512457</v>
      </c>
      <c r="AL16" s="81">
        <f>('Balance Sheet'!AL26+'Balance Sheet'!AL20+'Balance Sheet'!AL22)-('Balance Sheet'!AK26+'Balance Sheet'!AK20+'Balance Sheet'!AK22)</f>
        <v>3463847.008095026</v>
      </c>
      <c r="AM16" s="81">
        <f>('Balance Sheet'!AM26+'Balance Sheet'!AM20+'Balance Sheet'!AM22)-('Balance Sheet'!AL26+'Balance Sheet'!AL20+'Balance Sheet'!AL22)</f>
        <v>3431651.4229240417</v>
      </c>
      <c r="AN16" s="81">
        <f>('Balance Sheet'!AN26+'Balance Sheet'!AN20+'Balance Sheet'!AN22)-('Balance Sheet'!AM26+'Balance Sheet'!AM20+'Balance Sheet'!AM22)</f>
        <v>3399281.4450000525</v>
      </c>
      <c r="AO16" s="81">
        <f>('Balance Sheet'!AO26+'Balance Sheet'!AO20+'Balance Sheet'!AO22)-('Balance Sheet'!AN26+'Balance Sheet'!AN20+'Balance Sheet'!AN22)</f>
        <v>3366736.1296956539</v>
      </c>
      <c r="AP16" s="81">
        <f>('Balance Sheet'!AP26+'Balance Sheet'!AP20+'Balance Sheet'!AP22)-('Balance Sheet'!AO26+'Balance Sheet'!AO20+'Balance Sheet'!AO22)</f>
        <v>3334014.5272666216</v>
      </c>
      <c r="AQ16" s="81">
        <f>('Balance Sheet'!AQ26+'Balance Sheet'!AQ20+'Balance Sheet'!AQ22)-('Balance Sheet'!AP26+'Balance Sheet'!AP20+'Balance Sheet'!AP22)</f>
        <v>3301115.6828244925</v>
      </c>
      <c r="AR16" s="81">
        <f>('Balance Sheet'!AR26+'Balance Sheet'!AR20+'Balance Sheet'!AR22)-('Balance Sheet'!AQ26+'Balance Sheet'!AQ20+'Balance Sheet'!AQ22)</f>
        <v>3268038.6363081932</v>
      </c>
      <c r="AS16" s="81">
        <f>('Balance Sheet'!AS26+'Balance Sheet'!AS20+'Balance Sheet'!AS22)-('Balance Sheet'!AR26+'Balance Sheet'!AR20+'Balance Sheet'!AR22)</f>
        <v>3234782.4224567413</v>
      </c>
      <c r="AT16" s="81">
        <f>('Balance Sheet'!AT26+'Balance Sheet'!AT20+'Balance Sheet'!AT22)-('Balance Sheet'!AS26+'Balance Sheet'!AS20+'Balance Sheet'!AS22)</f>
        <v>3201346.070780158</v>
      </c>
      <c r="AU16" s="81">
        <f>('Balance Sheet'!AU26+'Balance Sheet'!AU20+'Balance Sheet'!AU22)-('Balance Sheet'!AT26+'Balance Sheet'!AT20+'Balance Sheet'!AT22)</f>
        <v>3167728.6055320501</v>
      </c>
      <c r="AV16" s="81">
        <f>('Balance Sheet'!AV26+'Balance Sheet'!AV20+'Balance Sheet'!AV22)-('Balance Sheet'!AU26+'Balance Sheet'!AU20+'Balance Sheet'!AU22)</f>
        <v>3133929.0456805229</v>
      </c>
      <c r="AW16" s="81">
        <f>('Balance Sheet'!AW26+'Balance Sheet'!AW20+'Balance Sheet'!AW22)-('Balance Sheet'!AV26+'Balance Sheet'!AV20+'Balance Sheet'!AV22)</f>
        <v>3099946.4048798084</v>
      </c>
      <c r="AX16" s="81">
        <f>('Balance Sheet'!AX26+'Balance Sheet'!AX20+'Balance Sheet'!AX22)-('Balance Sheet'!AW26+'Balance Sheet'!AW20+'Balance Sheet'!AW22)</f>
        <v>3065779.6914414167</v>
      </c>
      <c r="AY16" s="81">
        <f>('Balance Sheet'!AY26+'Balance Sheet'!AY20+'Balance Sheet'!AY22)-('Balance Sheet'!AX26+'Balance Sheet'!AX20+'Balance Sheet'!AX22)</f>
        <v>3031427.9083051682</v>
      </c>
      <c r="AZ16" s="81">
        <f>('Balance Sheet'!AZ26+'Balance Sheet'!AZ20+'Balance Sheet'!AZ22)-('Balance Sheet'!AY26+'Balance Sheet'!AY20+'Balance Sheet'!AY22)</f>
        <v>2996890.0530103445</v>
      </c>
      <c r="BA16" s="81">
        <f>('Balance Sheet'!BA26+'Balance Sheet'!BA20+'Balance Sheet'!BA22)-('Balance Sheet'!AZ26+'Balance Sheet'!AZ20+'Balance Sheet'!AZ22)</f>
        <v>2962165.1176658869</v>
      </c>
      <c r="BB16" s="81">
        <f>('Balance Sheet'!BB26+'Balance Sheet'!BB20+'Balance Sheet'!BB22)-('Balance Sheet'!BA26+'Balance Sheet'!BA20+'Balance Sheet'!BA22)</f>
        <v>2927252.0889217854</v>
      </c>
      <c r="BC16" s="81">
        <f>('Balance Sheet'!BC26+'Balance Sheet'!BC20+'Balance Sheet'!BC22)-('Balance Sheet'!BB26+'Balance Sheet'!BB20+'Balance Sheet'!BB22)</f>
        <v>2892149.9479385614</v>
      </c>
      <c r="BD16" s="81">
        <f>('Balance Sheet'!BD26+'Balance Sheet'!BD20+'Balance Sheet'!BD22)-('Balance Sheet'!BC26+'Balance Sheet'!BC20+'Balance Sheet'!BC22)</f>
        <v>2856857.6703584194</v>
      </c>
      <c r="BE16" s="81">
        <f>('Balance Sheet'!BE26+'Balance Sheet'!BE20+'Balance Sheet'!BE22)-('Balance Sheet'!BD26+'Balance Sheet'!BD20+'Balance Sheet'!BD22)</f>
        <v>2821374.2262747288</v>
      </c>
      <c r="BF16" s="81">
        <f>('Balance Sheet'!BF26+'Balance Sheet'!BF20+'Balance Sheet'!BF22)-('Balance Sheet'!BE26+'Balance Sheet'!BE20+'Balance Sheet'!BE22)</f>
        <v>2785698.5802021027</v>
      </c>
      <c r="BG16" s="81">
        <f>('Balance Sheet'!BG26+'Balance Sheet'!BG20+'Balance Sheet'!BG22)-('Balance Sheet'!BF26+'Balance Sheet'!BF20+'Balance Sheet'!BF22)</f>
        <v>2749829.6910467148</v>
      </c>
      <c r="BH16" s="81">
        <f>('Balance Sheet'!BH26+'Balance Sheet'!BH20+'Balance Sheet'!BH22)-('Balance Sheet'!BG26+'Balance Sheet'!BG20+'Balance Sheet'!BG22)</f>
        <v>2713766.5120751858</v>
      </c>
      <c r="BI16" s="81">
        <f>('Balance Sheet'!BI26+'Balance Sheet'!BI20+'Balance Sheet'!BI22)-('Balance Sheet'!BH26+'Balance Sheet'!BH20+'Balance Sheet'!BH22)</f>
        <v>2677507.9908838272</v>
      </c>
      <c r="BJ16" s="81">
        <f>('Balance Sheet'!BJ26+'Balance Sheet'!BJ20+'Balance Sheet'!BJ22)-('Balance Sheet'!BI26+'Balance Sheet'!BI20+'Balance Sheet'!BI22)</f>
        <v>2641053.0693697929</v>
      </c>
      <c r="BK16" s="81">
        <f>('Balance Sheet'!BK26+'Balance Sheet'!BK20+'Balance Sheet'!BK22)-('Balance Sheet'!BJ26+'Balance Sheet'!BJ20+'Balance Sheet'!BJ22)</f>
        <v>2604400.6836972237</v>
      </c>
      <c r="BL16" s="81">
        <f>('Balance Sheet'!BL26+'Balance Sheet'!BL20+'Balance Sheet'!BL22)-('Balance Sheet'!BK26+'Balance Sheet'!BK20+'Balance Sheet'!BK22)</f>
        <v>2567549.7642692327</v>
      </c>
      <c r="BM16" s="81">
        <f>('Balance Sheet'!BM26+'Balance Sheet'!BM20+'Balance Sheet'!BM22)-('Balance Sheet'!BL26+'Balance Sheet'!BL20+'Balance Sheet'!BL22)</f>
        <v>2530499.2356940508</v>
      </c>
      <c r="BN16" s="81">
        <f>('Balance Sheet'!BN26+'Balance Sheet'!BN20+'Balance Sheet'!BN22)-('Balance Sheet'!BM26+'Balance Sheet'!BM20+'Balance Sheet'!BM22)</f>
        <v>2493248.0167560577</v>
      </c>
      <c r="BO16" s="81">
        <f>('Balance Sheet'!BO26+'Balance Sheet'!BO20+'Balance Sheet'!BO22)-('Balance Sheet'!BN26+'Balance Sheet'!BN20+'Balance Sheet'!BN22)</f>
        <v>2455795.0203818083</v>
      </c>
      <c r="BP16" s="81">
        <f>('Balance Sheet'!BP26+'Balance Sheet'!BP20+'Balance Sheet'!BP22)-('Balance Sheet'!BO26+'Balance Sheet'!BO20+'Balance Sheet'!BO22)</f>
        <v>2418139.1536107063</v>
      </c>
      <c r="BQ16" s="81">
        <f>('Balance Sheet'!BQ26+'Balance Sheet'!BQ20+'Balance Sheet'!BQ22)-('Balance Sheet'!BP26+'Balance Sheet'!BP20+'Balance Sheet'!BP22)</f>
        <v>2380279.3175612688</v>
      </c>
      <c r="BR16" s="81">
        <f>('Balance Sheet'!BR26+'Balance Sheet'!BR20+'Balance Sheet'!BR22)-('Balance Sheet'!BQ26+'Balance Sheet'!BQ20+'Balance Sheet'!BQ22)</f>
        <v>2342214.4073998928</v>
      </c>
      <c r="BS16" s="81">
        <f>('Balance Sheet'!BS26+'Balance Sheet'!BS20+'Balance Sheet'!BS22)-('Balance Sheet'!BR26+'Balance Sheet'!BR20+'Balance Sheet'!BR22)</f>
        <v>2303943.3123084307</v>
      </c>
      <c r="BT16" s="81">
        <f>('Balance Sheet'!BT26+'Balance Sheet'!BT20+'Balance Sheet'!BT22)-('Balance Sheet'!BS26+'Balance Sheet'!BS20+'Balance Sheet'!BS22)</f>
        <v>2265464.9154518843</v>
      </c>
      <c r="BU16" s="81">
        <f>('Balance Sheet'!BU26+'Balance Sheet'!BU20+'Balance Sheet'!BU22)-('Balance Sheet'!BT26+'Balance Sheet'!BT20+'Balance Sheet'!BT22)</f>
        <v>2226778.0939458609</v>
      </c>
      <c r="BV16" s="81">
        <f>('Balance Sheet'!BV26+'Balance Sheet'!BV20+'Balance Sheet'!BV22)-('Balance Sheet'!BU26+'Balance Sheet'!BU20+'Balance Sheet'!BU22)</f>
        <v>2187881.7188230753</v>
      </c>
      <c r="BW16" s="81">
        <f>('Balance Sheet'!BW26+'Balance Sheet'!BW20+'Balance Sheet'!BW22)-('Balance Sheet'!BV26+'Balance Sheet'!BV20+'Balance Sheet'!BV22)</f>
        <v>2148774.6550021172</v>
      </c>
      <c r="BX16" s="81">
        <f>('Balance Sheet'!BX26+'Balance Sheet'!BX20+'Balance Sheet'!BX22)-('Balance Sheet'!BW26+'Balance Sheet'!BW20+'Balance Sheet'!BW22)</f>
        <v>2109455.7612514496</v>
      </c>
      <c r="BY16" s="81">
        <f>('Balance Sheet'!BY26+'Balance Sheet'!BY20+'Balance Sheet'!BY22)-('Balance Sheet'!BX26+'Balance Sheet'!BX20+'Balance Sheet'!BX22)</f>
        <v>2069923.8901603222</v>
      </c>
      <c r="BZ16" s="81">
        <f>('Balance Sheet'!BZ26+'Balance Sheet'!BZ20+'Balance Sheet'!BZ22)-('Balance Sheet'!BY26+'Balance Sheet'!BY20+'Balance Sheet'!BY22)</f>
        <v>2030177.8881006241</v>
      </c>
      <c r="CA16" s="81">
        <f>('Balance Sheet'!CA26+'Balance Sheet'!CA20+'Balance Sheet'!CA22)-('Balance Sheet'!BZ26+'Balance Sheet'!BZ20+'Balance Sheet'!BZ22)</f>
        <v>1990216.5951960087</v>
      </c>
      <c r="CB16" s="81">
        <f>('Balance Sheet'!CB26+'Balance Sheet'!CB20+'Balance Sheet'!CB22)-('Balance Sheet'!CA26+'Balance Sheet'!CA20+'Balance Sheet'!CA22)</f>
        <v>1950038.8452887535</v>
      </c>
      <c r="CC16" s="81">
        <f>('Balance Sheet'!CC26+'Balance Sheet'!CC20+'Balance Sheet'!CC22)-('Balance Sheet'!CB26+'Balance Sheet'!CB20+'Balance Sheet'!CB22)</f>
        <v>1909643.4659023285</v>
      </c>
      <c r="CD16" s="81">
        <f>('Balance Sheet'!CD26+'Balance Sheet'!CD20+'Balance Sheet'!CD22)-('Balance Sheet'!CC26+'Balance Sheet'!CC20+'Balance Sheet'!CC22)</f>
        <v>1869029.2782113552</v>
      </c>
      <c r="CE16" s="81">
        <f>('Balance Sheet'!CE26+'Balance Sheet'!CE20+'Balance Sheet'!CE22)-('Balance Sheet'!CD26+'Balance Sheet'!CD20+'Balance Sheet'!CD22)</f>
        <v>1828195.0970032215</v>
      </c>
      <c r="CF16" s="81">
        <f>('Balance Sheet'!CF26+'Balance Sheet'!CF20+'Balance Sheet'!CF22)-('Balance Sheet'!CE26+'Balance Sheet'!CE20+'Balance Sheet'!CE22)</f>
        <v>1787139.7306473255</v>
      </c>
      <c r="CG16" s="81">
        <f>('Balance Sheet'!CG26+'Balance Sheet'!CG20+'Balance Sheet'!CG22)-('Balance Sheet'!CF26+'Balance Sheet'!CF20+'Balance Sheet'!CF22)</f>
        <v>1745861.9810569286</v>
      </c>
      <c r="CH16" s="81">
        <f>('Balance Sheet'!CH26+'Balance Sheet'!CH20+'Balance Sheet'!CH22)-('Balance Sheet'!CG26+'Balance Sheet'!CG20+'Balance Sheet'!CG22)</f>
        <v>1704360.6436560154</v>
      </c>
      <c r="CI16" s="81">
        <f>('Balance Sheet'!CI26+'Balance Sheet'!CI20+'Balance Sheet'!CI22)-('Balance Sheet'!CH26+'Balance Sheet'!CH20+'Balance Sheet'!CH22)</f>
        <v>1662634.5073442459</v>
      </c>
      <c r="CJ16" s="81">
        <f>('Balance Sheet'!CJ26+'Balance Sheet'!CJ20+'Balance Sheet'!CJ22)-('Balance Sheet'!CI26+'Balance Sheet'!CI20+'Balance Sheet'!CI22)</f>
        <v>1620682.3544609547</v>
      </c>
      <c r="CK16" s="81">
        <f>('Balance Sheet'!CK26+'Balance Sheet'!CK20+'Balance Sheet'!CK22)-('Balance Sheet'!CJ26+'Balance Sheet'!CJ20+'Balance Sheet'!CJ22)</f>
        <v>1578502.9607493877</v>
      </c>
      <c r="CL16" s="81">
        <f>('Balance Sheet'!CL26+'Balance Sheet'!CL20+'Balance Sheet'!CL22)-('Balance Sheet'!CK26+'Balance Sheet'!CK20+'Balance Sheet'!CK22)</f>
        <v>1536095.0953218937</v>
      </c>
      <c r="CM16" s="81">
        <f>('Balance Sheet'!CM26+'Balance Sheet'!CM20+'Balance Sheet'!CM22)-('Balance Sheet'!CL26+'Balance Sheet'!CL20+'Balance Sheet'!CL22)</f>
        <v>1493457.5206232071</v>
      </c>
      <c r="CN16" s="81">
        <f>('Balance Sheet'!CN26+'Balance Sheet'!CN20+'Balance Sheet'!CN22)-('Balance Sheet'!CM26+'Balance Sheet'!CM20+'Balance Sheet'!CM22)</f>
        <v>1450588.992395401</v>
      </c>
      <c r="CO16" s="81">
        <f>('Balance Sheet'!CO26+'Balance Sheet'!CO20+'Balance Sheet'!CO22)-('Balance Sheet'!CN26+'Balance Sheet'!CN20+'Balance Sheet'!CN22)</f>
        <v>1407488.2596392632</v>
      </c>
      <c r="CP16" s="81">
        <f>('Balance Sheet'!CP26+'Balance Sheet'!CP20+'Balance Sheet'!CP22)-('Balance Sheet'!CO26+'Balance Sheet'!CO20+'Balance Sheet'!CO22)</f>
        <v>1364154.0645806789</v>
      </c>
      <c r="CQ16" s="81">
        <f>('Balance Sheet'!CQ26+'Balance Sheet'!CQ20+'Balance Sheet'!CQ22)-('Balance Sheet'!CP26+'Balance Sheet'!CP20+'Balance Sheet'!CP22)</f>
        <v>1320585.1426324844</v>
      </c>
      <c r="CR16" s="81">
        <f>('Balance Sheet'!CR26+'Balance Sheet'!CR20+'Balance Sheet'!CR22)-('Balance Sheet'!CQ26+'Balance Sheet'!CQ20+'Balance Sheet'!CQ22)</f>
        <v>1276780.2223567963</v>
      </c>
      <c r="CS16" s="81">
        <f>('Balance Sheet'!CS26+'Balance Sheet'!CS20+'Balance Sheet'!CS22)-('Balance Sheet'!CR26+'Balance Sheet'!CR20+'Balance Sheet'!CR22)</f>
        <v>1232738.0254297256</v>
      </c>
      <c r="CT16" s="81">
        <f>('Balance Sheet'!CT26+'Balance Sheet'!CT20+'Balance Sheet'!CT22)-('Balance Sheet'!CS26+'Balance Sheet'!CS20+'Balance Sheet'!CS22)</f>
        <v>1188457.2666025162</v>
      </c>
      <c r="CU16" s="81">
        <f>('Balance Sheet'!CU26+'Balance Sheet'!CU20+'Balance Sheet'!CU22)-('Balance Sheet'!CT26+'Balance Sheet'!CT20+'Balance Sheet'!CT22)</f>
        <v>1143936.6536653042</v>
      </c>
      <c r="CV16" s="81">
        <f>('Balance Sheet'!CV26+'Balance Sheet'!CV20+'Balance Sheet'!CV22)-('Balance Sheet'!CU26+'Balance Sheet'!CU20+'Balance Sheet'!CU22)</f>
        <v>1099174.8874077797</v>
      </c>
      <c r="CW16" s="81">
        <f>('Balance Sheet'!CW26+'Balance Sheet'!CW20+'Balance Sheet'!CW22)-('Balance Sheet'!CV26+'Balance Sheet'!CV20+'Balance Sheet'!CV22)</f>
        <v>1054170.6615829468</v>
      </c>
      <c r="CX16" s="81">
        <f>('Balance Sheet'!CX26+'Balance Sheet'!CX20+'Balance Sheet'!CX22)-('Balance Sheet'!CW26+'Balance Sheet'!CW20+'Balance Sheet'!CW22)</f>
        <v>1008922.6628682613</v>
      </c>
      <c r="CY16" s="81">
        <f>('Balance Sheet'!CY26+'Balance Sheet'!CY20+'Balance Sheet'!CY22)-('Balance Sheet'!CX26+'Balance Sheet'!CX20+'Balance Sheet'!CX22)</f>
        <v>963429.57082748413</v>
      </c>
      <c r="CZ16" s="81">
        <f>('Balance Sheet'!CZ26+'Balance Sheet'!CZ20+'Balance Sheet'!CZ22)-('Balance Sheet'!CY26+'Balance Sheet'!CY20+'Balance Sheet'!CY22)</f>
        <v>917690.05787110329</v>
      </c>
      <c r="DA16" s="81">
        <f>('Balance Sheet'!DA26+'Balance Sheet'!DA20+'Balance Sheet'!DA22)-('Balance Sheet'!CZ26+'Balance Sheet'!CZ20+'Balance Sheet'!CZ22)</f>
        <v>871702.78921985626</v>
      </c>
      <c r="DB16" s="81">
        <f>('Balance Sheet'!DB26+'Balance Sheet'!DB20+'Balance Sheet'!DB22)-('Balance Sheet'!DA26+'Balance Sheet'!DA20+'Balance Sheet'!DA22)</f>
        <v>825466.42286348343</v>
      </c>
      <c r="DC16" s="81">
        <f>('Balance Sheet'!DC26+'Balance Sheet'!DC20+'Balance Sheet'!DC22)-('Balance Sheet'!DB26+'Balance Sheet'!DB20+'Balance Sheet'!DB22)</f>
        <v>778979.60952210426</v>
      </c>
      <c r="DD16" s="81">
        <f>('Balance Sheet'!DD26+'Balance Sheet'!DD20+'Balance Sheet'!DD22)-('Balance Sheet'!DC26+'Balance Sheet'!DC20+'Balance Sheet'!DC22)</f>
        <v>732240.99260902405</v>
      </c>
      <c r="DE16" s="81">
        <f>('Balance Sheet'!DE26+'Balance Sheet'!DE20+'Balance Sheet'!DE22)-('Balance Sheet'!DD26+'Balance Sheet'!DD20+'Balance Sheet'!DD22)</f>
        <v>685249.20818734169</v>
      </c>
      <c r="DF16" s="81">
        <f>('Balance Sheet'!DF26+'Balance Sheet'!DF20+'Balance Sheet'!DF22)-('Balance Sheet'!DE26+'Balance Sheet'!DE20+'Balance Sheet'!DE22)</f>
        <v>638002.8849337101</v>
      </c>
      <c r="DG16" s="81">
        <f>('Balance Sheet'!DG26+'Balance Sheet'!DG20+'Balance Sheet'!DG22)-('Balance Sheet'!DF26+'Balance Sheet'!DF20+'Balance Sheet'!DF22)</f>
        <v>590500.64409542084</v>
      </c>
      <c r="DH16" s="81">
        <f>('Balance Sheet'!DH26+'Balance Sheet'!DH20+'Balance Sheet'!DH22)-('Balance Sheet'!DG26+'Balance Sheet'!DG20+'Balance Sheet'!DG22)</f>
        <v>542741.09945297241</v>
      </c>
      <c r="DI16" s="81">
        <f>('Balance Sheet'!DI26+'Balance Sheet'!DI20+'Balance Sheet'!DI22)-('Balance Sheet'!DH26+'Balance Sheet'!DH20+'Balance Sheet'!DH22)</f>
        <v>494722.85727667809</v>
      </c>
      <c r="DJ16" s="81">
        <f>('Balance Sheet'!DJ26+'Balance Sheet'!DJ20+'Balance Sheet'!DJ22)-('Balance Sheet'!DI26+'Balance Sheet'!DI20+'Balance Sheet'!DI22)</f>
        <v>446444.51628875732</v>
      </c>
      <c r="DK16" s="81">
        <f>('Balance Sheet'!DK26+'Balance Sheet'!DK20+'Balance Sheet'!DK22)-('Balance Sheet'!DJ26+'Balance Sheet'!DJ20+'Balance Sheet'!DJ22)</f>
        <v>397904.66762042046</v>
      </c>
      <c r="DL16" s="81">
        <f>('Balance Sheet'!DL26+'Balance Sheet'!DL20+'Balance Sheet'!DL22)-('Balance Sheet'!DK26+'Balance Sheet'!DK20+'Balance Sheet'!DK22)</f>
        <v>349101.89477181435</v>
      </c>
      <c r="DM16" s="81">
        <f>('Balance Sheet'!DM26+'Balance Sheet'!DM20+'Balance Sheet'!DM22)-('Balance Sheet'!DL26+'Balance Sheet'!DL20+'Balance Sheet'!DL22)</f>
        <v>300034.77357053757</v>
      </c>
      <c r="DN16" s="81">
        <f>('Balance Sheet'!DN26+'Balance Sheet'!DN20+'Balance Sheet'!DN22)-('Balance Sheet'!DM26+'Balance Sheet'!DM20+'Balance Sheet'!DM22)</f>
        <v>250701.87212896347</v>
      </c>
      <c r="DO16" s="81">
        <f>('Balance Sheet'!DO26+'Balance Sheet'!DO20+'Balance Sheet'!DO22)-('Balance Sheet'!DN26+'Balance Sheet'!DN20+'Balance Sheet'!DN22)</f>
        <v>201101.75080513954</v>
      </c>
      <c r="DP16" s="81">
        <f>('Balance Sheet'!DP26+'Balance Sheet'!DP20+'Balance Sheet'!DP22)-('Balance Sheet'!DO26+'Balance Sheet'!DO20+'Balance Sheet'!DO22)</f>
        <v>151232.96215701103</v>
      </c>
      <c r="DQ16" s="81">
        <f>('Balance Sheet'!DQ26+'Balance Sheet'!DQ20+'Balance Sheet'!DQ22)-('Balance Sheet'!DP26+'Balance Sheet'!DP20+'Balance Sheet'!DP22)</f>
        <v>101094.05090379715</v>
      </c>
      <c r="DR16" s="81">
        <f>('Balance Sheet'!DR26+'Balance Sheet'!DR20+'Balance Sheet'!DR22)-('Balance Sheet'!DQ26+'Balance Sheet'!DQ20+'Balance Sheet'!DQ22)</f>
        <v>50683.553881645203</v>
      </c>
      <c r="DS16" s="81">
        <f>('Balance Sheet'!DS26+'Balance Sheet'!DS20+'Balance Sheet'!DS22)-('Balance Sheet'!DR26+'Balance Sheet'!DR20+'Balance Sheet'!DR22)</f>
        <v>0</v>
      </c>
      <c r="DT16" s="81">
        <f>('Balance Sheet'!DT26+'Balance Sheet'!DT20+'Balance Sheet'!DT22)-('Balance Sheet'!DS26+'Balance Sheet'!DS20+'Balance Sheet'!DS22)</f>
        <v>0</v>
      </c>
      <c r="DU16" s="81">
        <f>('Balance Sheet'!DU26+'Balance Sheet'!DU20+'Balance Sheet'!DU22)-('Balance Sheet'!DT26+'Balance Sheet'!DT20+'Balance Sheet'!DT22)</f>
        <v>0</v>
      </c>
      <c r="DV16" s="81">
        <f>('Balance Sheet'!DV26+'Balance Sheet'!DV20+'Balance Sheet'!DV22)-('Balance Sheet'!DU26+'Balance Sheet'!DU20+'Balance Sheet'!DU22)</f>
        <v>0</v>
      </c>
      <c r="DW16" s="81">
        <f>('Balance Sheet'!DW26+'Balance Sheet'!DW20+'Balance Sheet'!DW22)-('Balance Sheet'!DV26+'Balance Sheet'!DV20+'Balance Sheet'!DV22)</f>
        <v>0</v>
      </c>
      <c r="DX16" s="81">
        <f>('Balance Sheet'!DX26+'Balance Sheet'!DX20+'Balance Sheet'!DX22)-('Balance Sheet'!DW26+'Balance Sheet'!DW20+'Balance Sheet'!DW22)</f>
        <v>0</v>
      </c>
      <c r="DY16" s="81">
        <f>('Balance Sheet'!DY26+'Balance Sheet'!DY20+'Balance Sheet'!DY22)-('Balance Sheet'!DX26+'Balance Sheet'!DX20+'Balance Sheet'!DX22)</f>
        <v>0</v>
      </c>
      <c r="DZ16" s="81">
        <f>('Balance Sheet'!DZ26+'Balance Sheet'!DZ20+'Balance Sheet'!DZ22)-('Balance Sheet'!DY26+'Balance Sheet'!DY20+'Balance Sheet'!DY22)</f>
        <v>0</v>
      </c>
      <c r="EA16" s="81">
        <f>('Balance Sheet'!EA26+'Balance Sheet'!EA20+'Balance Sheet'!EA22)-('Balance Sheet'!DZ26+'Balance Sheet'!DZ20+'Balance Sheet'!DZ22)</f>
        <v>0</v>
      </c>
      <c r="EB16" s="81">
        <f>('Balance Sheet'!EB26+'Balance Sheet'!EB20+'Balance Sheet'!EB22)-('Balance Sheet'!EA26+'Balance Sheet'!EA20+'Balance Sheet'!EA22)</f>
        <v>0</v>
      </c>
      <c r="EC16" s="81">
        <f>('Balance Sheet'!EC26+'Balance Sheet'!EC20+'Balance Sheet'!EC22)-('Balance Sheet'!EB26+'Balance Sheet'!EB20+'Balance Sheet'!EB22)</f>
        <v>0</v>
      </c>
      <c r="ED16" s="81">
        <f>('Balance Sheet'!ED26+'Balance Sheet'!ED20+'Balance Sheet'!ED22)-('Balance Sheet'!EC26+'Balance Sheet'!EC20+'Balance Sheet'!EC22)</f>
        <v>0</v>
      </c>
      <c r="EE16" s="81">
        <f>('Balance Sheet'!EE26+'Balance Sheet'!EE20+'Balance Sheet'!EE22)-('Balance Sheet'!ED26+'Balance Sheet'!ED20+'Balance Sheet'!ED22)</f>
        <v>0</v>
      </c>
      <c r="EF16" s="81">
        <f>('Balance Sheet'!EF26+'Balance Sheet'!EF20+'Balance Sheet'!EF22)-('Balance Sheet'!EE26+'Balance Sheet'!EE20+'Balance Sheet'!EE22)</f>
        <v>0</v>
      </c>
      <c r="EG16" s="81">
        <f>('Balance Sheet'!EG26+'Balance Sheet'!EG20+'Balance Sheet'!EG22)-('Balance Sheet'!EF26+'Balance Sheet'!EF20+'Balance Sheet'!EF22)</f>
        <v>0</v>
      </c>
      <c r="EH16" s="81">
        <f>('Balance Sheet'!EH26+'Balance Sheet'!EH20+'Balance Sheet'!EH22)-('Balance Sheet'!EG26+'Balance Sheet'!EG20+'Balance Sheet'!EG22)</f>
        <v>0</v>
      </c>
      <c r="EI16" s="81">
        <f>('Balance Sheet'!EI26+'Balance Sheet'!EI20+'Balance Sheet'!EI22)-('Balance Sheet'!EH26+'Balance Sheet'!EH20+'Balance Sheet'!EH22)</f>
        <v>0</v>
      </c>
      <c r="EJ16" s="81">
        <f>('Balance Sheet'!EJ26+'Balance Sheet'!EJ20+'Balance Sheet'!EJ22)-('Balance Sheet'!EI26+'Balance Sheet'!EI20+'Balance Sheet'!EI22)</f>
        <v>0</v>
      </c>
      <c r="EK16" s="81">
        <f>('Balance Sheet'!EK26+'Balance Sheet'!EK20+'Balance Sheet'!EK22)-('Balance Sheet'!EJ26+'Balance Sheet'!EJ20+'Balance Sheet'!EJ22)</f>
        <v>0</v>
      </c>
      <c r="EL16" s="81">
        <f>('Balance Sheet'!EL26+'Balance Sheet'!EL20+'Balance Sheet'!EL22)-('Balance Sheet'!EK26+'Balance Sheet'!EK20+'Balance Sheet'!EK22)</f>
        <v>0</v>
      </c>
      <c r="EM16" s="81">
        <f>('Balance Sheet'!EM26+'Balance Sheet'!EM20+'Balance Sheet'!EM22)-('Balance Sheet'!EL26+'Balance Sheet'!EL20+'Balance Sheet'!EL22)</f>
        <v>0</v>
      </c>
      <c r="EN16" s="81">
        <f>('Balance Sheet'!EN26+'Balance Sheet'!EN20+'Balance Sheet'!EN22)-('Balance Sheet'!EM26+'Balance Sheet'!EM20+'Balance Sheet'!EM22)</f>
        <v>0</v>
      </c>
      <c r="EO16" s="81">
        <f>('Balance Sheet'!EO26+'Balance Sheet'!EO20+'Balance Sheet'!EO22)-('Balance Sheet'!EN26+'Balance Sheet'!EN20+'Balance Sheet'!EN22)</f>
        <v>0</v>
      </c>
      <c r="EP16" s="81">
        <f>('Balance Sheet'!EP26+'Balance Sheet'!EP20+'Balance Sheet'!EP22)-('Balance Sheet'!EO26+'Balance Sheet'!EO20+'Balance Sheet'!EO22)</f>
        <v>0</v>
      </c>
      <c r="EQ16" s="81">
        <f>('Balance Sheet'!EQ26+'Balance Sheet'!EQ20+'Balance Sheet'!EQ22)-('Balance Sheet'!EP26+'Balance Sheet'!EP20+'Balance Sheet'!EP22)</f>
        <v>0</v>
      </c>
      <c r="ER16" s="81">
        <f>('Balance Sheet'!ER26+'Balance Sheet'!ER20+'Balance Sheet'!ER22)-('Balance Sheet'!EQ26+'Balance Sheet'!EQ20+'Balance Sheet'!EQ22)</f>
        <v>0</v>
      </c>
      <c r="ES16" s="81">
        <f>('Balance Sheet'!ES26+'Balance Sheet'!ES20+'Balance Sheet'!ES22)-('Balance Sheet'!ER26+'Balance Sheet'!ER20+'Balance Sheet'!ER22)</f>
        <v>0</v>
      </c>
      <c r="ET16" s="81">
        <f>('Balance Sheet'!ET26+'Balance Sheet'!ET20+'Balance Sheet'!ET22)-('Balance Sheet'!ES26+'Balance Sheet'!ES20+'Balance Sheet'!ES22)</f>
        <v>0</v>
      </c>
      <c r="EU16" s="81">
        <f>('Balance Sheet'!EU26+'Balance Sheet'!EU20+'Balance Sheet'!EU22)-('Balance Sheet'!ET26+'Balance Sheet'!ET20+'Balance Sheet'!ET22)</f>
        <v>0</v>
      </c>
      <c r="EV16" s="81">
        <f>('Balance Sheet'!EV26+'Balance Sheet'!EV20+'Balance Sheet'!EV22)-('Balance Sheet'!EU26+'Balance Sheet'!EU20+'Balance Sheet'!EU22)</f>
        <v>0</v>
      </c>
      <c r="EW16" s="81">
        <f>('Balance Sheet'!EW26+'Balance Sheet'!EW20+'Balance Sheet'!EW22)-('Balance Sheet'!EV26+'Balance Sheet'!EV20+'Balance Sheet'!EV22)</f>
        <v>0</v>
      </c>
      <c r="EX16" s="81">
        <f>('Balance Sheet'!EX26+'Balance Sheet'!EX20+'Balance Sheet'!EX22)-('Balance Sheet'!EW26+'Balance Sheet'!EW20+'Balance Sheet'!EW22)</f>
        <v>0</v>
      </c>
      <c r="EY16" s="81">
        <f>('Balance Sheet'!EY26+'Balance Sheet'!EY20+'Balance Sheet'!EY22)-('Balance Sheet'!EX26+'Balance Sheet'!EX20+'Balance Sheet'!EX22)</f>
        <v>0</v>
      </c>
      <c r="EZ16" s="81">
        <f>('Balance Sheet'!EZ26+'Balance Sheet'!EZ20+'Balance Sheet'!EZ22)-('Balance Sheet'!EY26+'Balance Sheet'!EY20+'Balance Sheet'!EY22)</f>
        <v>0</v>
      </c>
      <c r="FA16" s="81">
        <f>('Balance Sheet'!FA26+'Balance Sheet'!FA20+'Balance Sheet'!FA22)-('Balance Sheet'!EZ26+'Balance Sheet'!EZ20+'Balance Sheet'!EZ22)</f>
        <v>0</v>
      </c>
      <c r="FB16" s="81">
        <f>('Balance Sheet'!FB26+'Balance Sheet'!FB20+'Balance Sheet'!FB22)-('Balance Sheet'!FA26+'Balance Sheet'!FA20+'Balance Sheet'!FA22)</f>
        <v>0</v>
      </c>
      <c r="FC16" s="81">
        <f>('Balance Sheet'!FC26+'Balance Sheet'!FC20+'Balance Sheet'!FC22)-('Balance Sheet'!FB26+'Balance Sheet'!FB20+'Balance Sheet'!FB22)</f>
        <v>0</v>
      </c>
      <c r="FD16" s="81">
        <f>('Balance Sheet'!FD26+'Balance Sheet'!FD20+'Balance Sheet'!FD22)-('Balance Sheet'!FC26+'Balance Sheet'!FC20+'Balance Sheet'!FC22)</f>
        <v>0</v>
      </c>
      <c r="FE16" s="81">
        <f>('Balance Sheet'!FE26+'Balance Sheet'!FE20+'Balance Sheet'!FE22)-('Balance Sheet'!FD26+'Balance Sheet'!FD20+'Balance Sheet'!FD22)</f>
        <v>0</v>
      </c>
      <c r="FF16" s="81">
        <f>('Balance Sheet'!FF26+'Balance Sheet'!FF20+'Balance Sheet'!FF22)-('Balance Sheet'!FE26+'Balance Sheet'!FE20+'Balance Sheet'!FE22)</f>
        <v>0</v>
      </c>
      <c r="FG16" s="81">
        <f>('Balance Sheet'!FG26+'Balance Sheet'!FG20+'Balance Sheet'!FG22)-('Balance Sheet'!FF26+'Balance Sheet'!FF20+'Balance Sheet'!FF22)</f>
        <v>0</v>
      </c>
      <c r="FH16" s="81">
        <f>('Balance Sheet'!FH26+'Balance Sheet'!FH20+'Balance Sheet'!FH22)-('Balance Sheet'!FG26+'Balance Sheet'!FG20+'Balance Sheet'!FG22)</f>
        <v>0</v>
      </c>
      <c r="FI16" s="81">
        <f>('Balance Sheet'!FI26+'Balance Sheet'!FI20+'Balance Sheet'!FI22)-('Balance Sheet'!FH26+'Balance Sheet'!FH20+'Balance Sheet'!FH22)</f>
        <v>0</v>
      </c>
      <c r="FJ16" s="81">
        <f>('Balance Sheet'!FJ26+'Balance Sheet'!FJ20+'Balance Sheet'!FJ22)-('Balance Sheet'!FI26+'Balance Sheet'!FI20+'Balance Sheet'!FI22)</f>
        <v>0</v>
      </c>
      <c r="FK16" s="81">
        <f>('Balance Sheet'!FK26+'Balance Sheet'!FK20+'Balance Sheet'!FK22)-('Balance Sheet'!FJ26+'Balance Sheet'!FJ20+'Balance Sheet'!FJ22)</f>
        <v>0</v>
      </c>
      <c r="FL16" s="81">
        <f>('Balance Sheet'!FL26+'Balance Sheet'!FL20+'Balance Sheet'!FL22)-('Balance Sheet'!FK26+'Balance Sheet'!FK20+'Balance Sheet'!FK22)</f>
        <v>0</v>
      </c>
      <c r="FM16" s="81">
        <f>('Balance Sheet'!FM26+'Balance Sheet'!FM20+'Balance Sheet'!FM22)-('Balance Sheet'!FL26+'Balance Sheet'!FL20+'Balance Sheet'!FL22)</f>
        <v>0</v>
      </c>
      <c r="FN16" s="81">
        <f>('Balance Sheet'!FN26+'Balance Sheet'!FN20+'Balance Sheet'!FN22)-('Balance Sheet'!FM26+'Balance Sheet'!FM20+'Balance Sheet'!FM22)</f>
        <v>0</v>
      </c>
      <c r="FO16" s="81">
        <f>('Balance Sheet'!FO26+'Balance Sheet'!FO20+'Balance Sheet'!FO22)-('Balance Sheet'!FN26+'Balance Sheet'!FN20+'Balance Sheet'!FN22)</f>
        <v>0</v>
      </c>
      <c r="FP16" s="81">
        <f>('Balance Sheet'!FP26+'Balance Sheet'!FP20+'Balance Sheet'!FP22)-('Balance Sheet'!FO26+'Balance Sheet'!FO20+'Balance Sheet'!FO22)</f>
        <v>0</v>
      </c>
      <c r="FQ16" s="81">
        <f>('Balance Sheet'!FQ26+'Balance Sheet'!FQ20+'Balance Sheet'!FQ22)-('Balance Sheet'!FP26+'Balance Sheet'!FP20+'Balance Sheet'!FP22)</f>
        <v>0</v>
      </c>
      <c r="FR16" s="81">
        <f>('Balance Sheet'!FR26+'Balance Sheet'!FR20+'Balance Sheet'!FR22)-('Balance Sheet'!FQ26+'Balance Sheet'!FQ20+'Balance Sheet'!FQ22)</f>
        <v>0</v>
      </c>
      <c r="FS16" s="81">
        <f>('Balance Sheet'!FS26+'Balance Sheet'!FS20+'Balance Sheet'!FS22)-('Balance Sheet'!FR26+'Balance Sheet'!FR20+'Balance Sheet'!FR22)</f>
        <v>0</v>
      </c>
      <c r="FT16" s="81">
        <f>('Balance Sheet'!FT26+'Balance Sheet'!FT20+'Balance Sheet'!FT22)-('Balance Sheet'!FS26+'Balance Sheet'!FS20+'Balance Sheet'!FS22)</f>
        <v>0</v>
      </c>
      <c r="FU16" s="81">
        <f>('Balance Sheet'!FU26+'Balance Sheet'!FU20+'Balance Sheet'!FU22)-('Balance Sheet'!FT26+'Balance Sheet'!FT20+'Balance Sheet'!FT22)</f>
        <v>0</v>
      </c>
      <c r="FV16" s="81">
        <f>('Balance Sheet'!FV26+'Balance Sheet'!FV20+'Balance Sheet'!FV22)-('Balance Sheet'!FU26+'Balance Sheet'!FU20+'Balance Sheet'!FU22)</f>
        <v>0</v>
      </c>
      <c r="FW16" s="81">
        <f>('Balance Sheet'!FW26+'Balance Sheet'!FW20+'Balance Sheet'!FW22)-('Balance Sheet'!FV26+'Balance Sheet'!FV20+'Balance Sheet'!FV22)</f>
        <v>0</v>
      </c>
      <c r="FX16" s="81">
        <f>('Balance Sheet'!FX26+'Balance Sheet'!FX20+'Balance Sheet'!FX22)-('Balance Sheet'!FW26+'Balance Sheet'!FW20+'Balance Sheet'!FW22)</f>
        <v>0</v>
      </c>
      <c r="FY16" s="81">
        <f>('Balance Sheet'!FY26+'Balance Sheet'!FY20+'Balance Sheet'!FY22)-('Balance Sheet'!FX26+'Balance Sheet'!FX20+'Balance Sheet'!FX22)</f>
        <v>0</v>
      </c>
      <c r="FZ16" s="81">
        <f>('Balance Sheet'!FZ26+'Balance Sheet'!FZ20+'Balance Sheet'!FZ22)-('Balance Sheet'!FY26+'Balance Sheet'!FY20+'Balance Sheet'!FY22)</f>
        <v>0</v>
      </c>
      <c r="GA16" s="81">
        <f>('Balance Sheet'!GA26+'Balance Sheet'!GA20+'Balance Sheet'!GA22)-('Balance Sheet'!FZ26+'Balance Sheet'!FZ20+'Balance Sheet'!FZ22)</f>
        <v>0</v>
      </c>
      <c r="GB16" s="81">
        <f>('Balance Sheet'!GB26+'Balance Sheet'!GB20+'Balance Sheet'!GB22)-('Balance Sheet'!GA26+'Balance Sheet'!GA20+'Balance Sheet'!GA22)</f>
        <v>0</v>
      </c>
      <c r="GC16" s="81">
        <f>('Balance Sheet'!GC26+'Balance Sheet'!GC20+'Balance Sheet'!GC22)-('Balance Sheet'!GB26+'Balance Sheet'!GB20+'Balance Sheet'!GB22)</f>
        <v>0</v>
      </c>
      <c r="GD16" s="81">
        <f>('Balance Sheet'!GD26+'Balance Sheet'!GD20+'Balance Sheet'!GD22)-('Balance Sheet'!GC26+'Balance Sheet'!GC20+'Balance Sheet'!GC22)</f>
        <v>0</v>
      </c>
      <c r="GE16" s="81">
        <f>('Balance Sheet'!GE26+'Balance Sheet'!GE20+'Balance Sheet'!GE22)-('Balance Sheet'!GD26+'Balance Sheet'!GD20+'Balance Sheet'!GD22)</f>
        <v>0</v>
      </c>
      <c r="GF16" s="81">
        <f>('Balance Sheet'!GF26+'Balance Sheet'!GF20+'Balance Sheet'!GF22)-('Balance Sheet'!GE26+'Balance Sheet'!GE20+'Balance Sheet'!GE22)</f>
        <v>0</v>
      </c>
      <c r="GG16" s="81">
        <f>('Balance Sheet'!GG26+'Balance Sheet'!GG20+'Balance Sheet'!GG22)-('Balance Sheet'!GF26+'Balance Sheet'!GF20+'Balance Sheet'!GF22)</f>
        <v>0</v>
      </c>
      <c r="GH16" s="81">
        <f>('Balance Sheet'!GH26+'Balance Sheet'!GH20+'Balance Sheet'!GH22)-('Balance Sheet'!GG26+'Balance Sheet'!GG20+'Balance Sheet'!GG22)</f>
        <v>0</v>
      </c>
      <c r="GI16" s="81">
        <f>('Balance Sheet'!GI26+'Balance Sheet'!GI20+'Balance Sheet'!GI22)-('Balance Sheet'!GH26+'Balance Sheet'!GH20+'Balance Sheet'!GH22)</f>
        <v>0</v>
      </c>
      <c r="GJ16" s="81">
        <f>('Balance Sheet'!GJ26+'Balance Sheet'!GJ20+'Balance Sheet'!GJ22)-('Balance Sheet'!GI26+'Balance Sheet'!GI20+'Balance Sheet'!GI22)</f>
        <v>0</v>
      </c>
      <c r="GK16" s="81">
        <f>('Balance Sheet'!GK26+'Balance Sheet'!GK20+'Balance Sheet'!GK22)-('Balance Sheet'!GJ26+'Balance Sheet'!GJ20+'Balance Sheet'!GJ22)</f>
        <v>0</v>
      </c>
      <c r="GL16" s="81">
        <f>('Balance Sheet'!GL26+'Balance Sheet'!GL20+'Balance Sheet'!GL22)-('Balance Sheet'!GK26+'Balance Sheet'!GK20+'Balance Sheet'!GK22)</f>
        <v>0</v>
      </c>
      <c r="GM16" s="81">
        <f>('Balance Sheet'!GM26+'Balance Sheet'!GM20+'Balance Sheet'!GM22)-('Balance Sheet'!GL26+'Balance Sheet'!GL20+'Balance Sheet'!GL22)</f>
        <v>0</v>
      </c>
      <c r="GN16" s="81">
        <f>('Balance Sheet'!GN26+'Balance Sheet'!GN20+'Balance Sheet'!GN22)-('Balance Sheet'!GM26+'Balance Sheet'!GM20+'Balance Sheet'!GM22)</f>
        <v>0</v>
      </c>
      <c r="GO16" s="81">
        <f>('Balance Sheet'!GO26+'Balance Sheet'!GO20+'Balance Sheet'!GO22)-('Balance Sheet'!GN26+'Balance Sheet'!GN20+'Balance Sheet'!GN22)</f>
        <v>0</v>
      </c>
      <c r="GP16" s="81">
        <f>('Balance Sheet'!GP26+'Balance Sheet'!GP20+'Balance Sheet'!GP22)-('Balance Sheet'!GO26+'Balance Sheet'!GO20+'Balance Sheet'!GO22)</f>
        <v>0</v>
      </c>
      <c r="GQ16" s="81">
        <f>('Balance Sheet'!GQ26+'Balance Sheet'!GQ20+'Balance Sheet'!GQ22)-('Balance Sheet'!GP26+'Balance Sheet'!GP20+'Balance Sheet'!GP22)</f>
        <v>0</v>
      </c>
      <c r="GR16" s="81">
        <f>('Balance Sheet'!GR26+'Balance Sheet'!GR20+'Balance Sheet'!GR22)-('Balance Sheet'!GQ26+'Balance Sheet'!GQ20+'Balance Sheet'!GQ22)</f>
        <v>0</v>
      </c>
      <c r="GS16" s="81">
        <f>('Balance Sheet'!GS26+'Balance Sheet'!GS20+'Balance Sheet'!GS22)-('Balance Sheet'!GR26+'Balance Sheet'!GR20+'Balance Sheet'!GR22)</f>
        <v>0</v>
      </c>
      <c r="GT16" s="81">
        <f>('Balance Sheet'!GT26+'Balance Sheet'!GT20+'Balance Sheet'!GT22)-('Balance Sheet'!GS26+'Balance Sheet'!GS20+'Balance Sheet'!GS22)</f>
        <v>0</v>
      </c>
      <c r="GU16" s="81">
        <f>('Balance Sheet'!GU26+'Balance Sheet'!GU20+'Balance Sheet'!GU22)-('Balance Sheet'!GT26+'Balance Sheet'!GT20+'Balance Sheet'!GT22)</f>
        <v>0</v>
      </c>
      <c r="GV16" s="81">
        <f>('Balance Sheet'!GV26+'Balance Sheet'!GV20+'Balance Sheet'!GV22)-('Balance Sheet'!GU26+'Balance Sheet'!GU20+'Balance Sheet'!GU22)</f>
        <v>0</v>
      </c>
      <c r="GW16" s="81">
        <f>('Balance Sheet'!GW26+'Balance Sheet'!GW20+'Balance Sheet'!GW22)-('Balance Sheet'!GV26+'Balance Sheet'!GV20+'Balance Sheet'!GV22)</f>
        <v>0</v>
      </c>
      <c r="GX16" s="81">
        <f>('Balance Sheet'!GX26+'Balance Sheet'!GX20+'Balance Sheet'!GX22)-('Balance Sheet'!GW26+'Balance Sheet'!GW20+'Balance Sheet'!GW22)</f>
        <v>0</v>
      </c>
      <c r="GY16" s="81">
        <f>('Balance Sheet'!GY26+'Balance Sheet'!GY20+'Balance Sheet'!GY22)-('Balance Sheet'!GX26+'Balance Sheet'!GX20+'Balance Sheet'!GX22)</f>
        <v>0</v>
      </c>
      <c r="GZ16" s="81">
        <f>('Balance Sheet'!GZ26+'Balance Sheet'!GZ20+'Balance Sheet'!GZ22)-('Balance Sheet'!GY26+'Balance Sheet'!GY20+'Balance Sheet'!GY22)</f>
        <v>0</v>
      </c>
      <c r="HA16" s="81">
        <f>('Balance Sheet'!HA26+'Balance Sheet'!HA20+'Balance Sheet'!HA22)-('Balance Sheet'!GZ26+'Balance Sheet'!GZ20+'Balance Sheet'!GZ22)</f>
        <v>0</v>
      </c>
      <c r="HB16" s="81">
        <f>('Balance Sheet'!HB26+'Balance Sheet'!HB20+'Balance Sheet'!HB22)-('Balance Sheet'!HA26+'Balance Sheet'!HA20+'Balance Sheet'!HA22)</f>
        <v>0</v>
      </c>
      <c r="HC16" s="81">
        <f>('Balance Sheet'!HC26+'Balance Sheet'!HC20+'Balance Sheet'!HC22)-('Balance Sheet'!HB26+'Balance Sheet'!HB20+'Balance Sheet'!HB22)</f>
        <v>0</v>
      </c>
      <c r="HD16" s="81">
        <f>('Balance Sheet'!HD26+'Balance Sheet'!HD20+'Balance Sheet'!HD22)-('Balance Sheet'!HC26+'Balance Sheet'!HC20+'Balance Sheet'!HC22)</f>
        <v>0</v>
      </c>
      <c r="HE16" s="81">
        <f>('Balance Sheet'!HE26+'Balance Sheet'!HE20+'Balance Sheet'!HE22)-('Balance Sheet'!HD26+'Balance Sheet'!HD20+'Balance Sheet'!HD22)</f>
        <v>0</v>
      </c>
      <c r="HF16" s="81">
        <f>('Balance Sheet'!HF26+'Balance Sheet'!HF20+'Balance Sheet'!HF22)-('Balance Sheet'!HE26+'Balance Sheet'!HE20+'Balance Sheet'!HE22)</f>
        <v>0</v>
      </c>
      <c r="HG16" s="81">
        <f>('Balance Sheet'!HG26+'Balance Sheet'!HG20+'Balance Sheet'!HG22)-('Balance Sheet'!HF26+'Balance Sheet'!HF20+'Balance Sheet'!HF22)</f>
        <v>0</v>
      </c>
      <c r="HH16" s="81">
        <f>('Balance Sheet'!HH26+'Balance Sheet'!HH20+'Balance Sheet'!HH22)-('Balance Sheet'!HG26+'Balance Sheet'!HG20+'Balance Sheet'!HG22)</f>
        <v>0</v>
      </c>
      <c r="HI16" s="81">
        <f>('Balance Sheet'!HI26+'Balance Sheet'!HI20+'Balance Sheet'!HI22)-('Balance Sheet'!HH26+'Balance Sheet'!HH20+'Balance Sheet'!HH22)</f>
        <v>0</v>
      </c>
      <c r="HJ16" s="81">
        <f>('Balance Sheet'!HJ26+'Balance Sheet'!HJ20+'Balance Sheet'!HJ22)-('Balance Sheet'!HI26+'Balance Sheet'!HI20+'Balance Sheet'!HI22)</f>
        <v>0</v>
      </c>
      <c r="HK16" s="81">
        <f>('Balance Sheet'!HK26+'Balance Sheet'!HK20+'Balance Sheet'!HK22)-('Balance Sheet'!HJ26+'Balance Sheet'!HJ20+'Balance Sheet'!HJ22)</f>
        <v>0</v>
      </c>
      <c r="HL16" s="81">
        <f>('Balance Sheet'!HL26+'Balance Sheet'!HL20+'Balance Sheet'!HL22)-('Balance Sheet'!HK26+'Balance Sheet'!HK20+'Balance Sheet'!HK22)</f>
        <v>0</v>
      </c>
      <c r="HM16" s="81">
        <f>('Balance Sheet'!HM26+'Balance Sheet'!HM20+'Balance Sheet'!HM22)-('Balance Sheet'!HL26+'Balance Sheet'!HL20+'Balance Sheet'!HL22)</f>
        <v>0</v>
      </c>
      <c r="HN16" s="81">
        <f>('Balance Sheet'!HN26+'Balance Sheet'!HN20+'Balance Sheet'!HN22)-('Balance Sheet'!HM26+'Balance Sheet'!HM20+'Balance Sheet'!HM22)</f>
        <v>0</v>
      </c>
      <c r="HO16" s="81">
        <f>('Balance Sheet'!HO26+'Balance Sheet'!HO20+'Balance Sheet'!HO22)-('Balance Sheet'!HN26+'Balance Sheet'!HN20+'Balance Sheet'!HN22)</f>
        <v>0</v>
      </c>
      <c r="HP16" s="81">
        <f>('Balance Sheet'!HP26+'Balance Sheet'!HP20+'Balance Sheet'!HP22)-('Balance Sheet'!HO26+'Balance Sheet'!HO20+'Balance Sheet'!HO22)</f>
        <v>0</v>
      </c>
      <c r="HQ16" s="81">
        <f>('Balance Sheet'!HQ26+'Balance Sheet'!HQ20+'Balance Sheet'!HQ22)-('Balance Sheet'!HP26+'Balance Sheet'!HP20+'Balance Sheet'!HP22)</f>
        <v>0</v>
      </c>
      <c r="HR16" s="81">
        <f>('Balance Sheet'!HR26+'Balance Sheet'!HR20+'Balance Sheet'!HR22)-('Balance Sheet'!HQ26+'Balance Sheet'!HQ20+'Balance Sheet'!HQ22)</f>
        <v>0</v>
      </c>
      <c r="HS16" s="81">
        <f>('Balance Sheet'!HS26+'Balance Sheet'!HS20+'Balance Sheet'!HS22)-('Balance Sheet'!HR26+'Balance Sheet'!HR20+'Balance Sheet'!HR22)</f>
        <v>0</v>
      </c>
      <c r="HT16" s="81">
        <f>('Balance Sheet'!HT26+'Balance Sheet'!HT20+'Balance Sheet'!HT22)-('Balance Sheet'!HS26+'Balance Sheet'!HS20+'Balance Sheet'!HS22)</f>
        <v>0</v>
      </c>
      <c r="HU16" s="81">
        <f>('Balance Sheet'!HU26+'Balance Sheet'!HU20+'Balance Sheet'!HU22)-('Balance Sheet'!HT26+'Balance Sheet'!HT20+'Balance Sheet'!HT22)</f>
        <v>0</v>
      </c>
      <c r="HV16" s="81">
        <f>('Balance Sheet'!HV26+'Balance Sheet'!HV20+'Balance Sheet'!HV22)-('Balance Sheet'!HU26+'Balance Sheet'!HU20+'Balance Sheet'!HU22)</f>
        <v>0</v>
      </c>
      <c r="HW16" s="81">
        <f>('Balance Sheet'!HW26+'Balance Sheet'!HW20+'Balance Sheet'!HW22)-('Balance Sheet'!HV26+'Balance Sheet'!HV20+'Balance Sheet'!HV22)</f>
        <v>0</v>
      </c>
      <c r="HX16" s="81">
        <f>('Balance Sheet'!HX26+'Balance Sheet'!HX20+'Balance Sheet'!HX22)-('Balance Sheet'!HW26+'Balance Sheet'!HW20+'Balance Sheet'!HW22)</f>
        <v>0</v>
      </c>
      <c r="HY16" s="81">
        <f>('Balance Sheet'!HY26+'Balance Sheet'!HY20+'Balance Sheet'!HY22)-('Balance Sheet'!HX26+'Balance Sheet'!HX20+'Balance Sheet'!HX22)</f>
        <v>0</v>
      </c>
      <c r="HZ16" s="81">
        <f>('Balance Sheet'!HZ26+'Balance Sheet'!HZ20+'Balance Sheet'!HZ22)-('Balance Sheet'!HY26+'Balance Sheet'!HY20+'Balance Sheet'!HY22)</f>
        <v>0</v>
      </c>
      <c r="IA16" s="81">
        <f>('Balance Sheet'!IA26+'Balance Sheet'!IA20+'Balance Sheet'!IA22)-('Balance Sheet'!HZ26+'Balance Sheet'!HZ20+'Balance Sheet'!HZ22)</f>
        <v>0</v>
      </c>
      <c r="IB16" s="81">
        <f>('Balance Sheet'!IB26+'Balance Sheet'!IB20+'Balance Sheet'!IB22)-('Balance Sheet'!IA26+'Balance Sheet'!IA20+'Balance Sheet'!IA22)</f>
        <v>0</v>
      </c>
      <c r="IC16" s="81">
        <f>('Balance Sheet'!IC26+'Balance Sheet'!IC20+'Balance Sheet'!IC22)-('Balance Sheet'!IB26+'Balance Sheet'!IB20+'Balance Sheet'!IB22)</f>
        <v>0</v>
      </c>
      <c r="ID16" s="81">
        <f>('Balance Sheet'!ID26+'Balance Sheet'!ID20+'Balance Sheet'!ID22)-('Balance Sheet'!IC26+'Balance Sheet'!IC20+'Balance Sheet'!IC22)</f>
        <v>0</v>
      </c>
      <c r="IE16" s="81">
        <f>('Balance Sheet'!IE26+'Balance Sheet'!IE20+'Balance Sheet'!IE22)-('Balance Sheet'!ID26+'Balance Sheet'!ID20+'Balance Sheet'!ID22)</f>
        <v>0</v>
      </c>
      <c r="IF16" s="81">
        <f>('Balance Sheet'!IF26+'Balance Sheet'!IF20+'Balance Sheet'!IF22)-('Balance Sheet'!IE26+'Balance Sheet'!IE20+'Balance Sheet'!IE22)</f>
        <v>0</v>
      </c>
      <c r="IG16" s="81">
        <f>('Balance Sheet'!IG26+'Balance Sheet'!IG20+'Balance Sheet'!IG22)-('Balance Sheet'!IF26+'Balance Sheet'!IF20+'Balance Sheet'!IF22)</f>
        <v>0</v>
      </c>
      <c r="IH16" s="81">
        <f>('Balance Sheet'!IH26+'Balance Sheet'!IH20+'Balance Sheet'!IH22)-('Balance Sheet'!IG26+'Balance Sheet'!IG20+'Balance Sheet'!IG22)</f>
        <v>0</v>
      </c>
    </row>
    <row r="17" spans="1:242" ht="14.65" thickBot="1" x14ac:dyDescent="0.5">
      <c r="A17" s="895" t="s">
        <v>381</v>
      </c>
      <c r="B17" s="896"/>
      <c r="C17" s="81">
        <f>'Balance Sheet'!C32</f>
        <v>45203848.735987484</v>
      </c>
      <c r="D17" s="81">
        <v>0</v>
      </c>
      <c r="E17" s="81">
        <v>0</v>
      </c>
      <c r="F17" s="81">
        <v>0</v>
      </c>
      <c r="G17" s="81">
        <v>0</v>
      </c>
      <c r="H17" s="81">
        <v>0</v>
      </c>
      <c r="I17" s="81">
        <v>0</v>
      </c>
      <c r="J17" s="81">
        <v>0</v>
      </c>
      <c r="K17" s="81">
        <v>0</v>
      </c>
      <c r="L17" s="81">
        <v>0</v>
      </c>
      <c r="M17" s="81">
        <v>0</v>
      </c>
      <c r="N17" s="81">
        <v>0</v>
      </c>
      <c r="O17" s="81">
        <v>0</v>
      </c>
      <c r="P17" s="81">
        <v>0</v>
      </c>
      <c r="Q17" s="81">
        <v>0</v>
      </c>
      <c r="R17" s="81">
        <v>0</v>
      </c>
      <c r="S17" s="81">
        <v>0</v>
      </c>
      <c r="T17" s="81">
        <v>0</v>
      </c>
      <c r="U17" s="81">
        <v>0</v>
      </c>
      <c r="V17" s="81">
        <v>0</v>
      </c>
      <c r="W17" s="81">
        <v>0</v>
      </c>
      <c r="X17" s="81">
        <v>0</v>
      </c>
      <c r="Y17" s="81">
        <v>0</v>
      </c>
      <c r="Z17" s="81">
        <v>0</v>
      </c>
      <c r="AA17" s="81">
        <v>0</v>
      </c>
      <c r="AB17" s="81">
        <v>0</v>
      </c>
      <c r="AC17" s="81">
        <v>0</v>
      </c>
      <c r="AD17" s="81">
        <v>0</v>
      </c>
      <c r="AE17" s="81">
        <v>0</v>
      </c>
      <c r="AF17" s="81">
        <v>0</v>
      </c>
      <c r="AG17" s="81">
        <v>0</v>
      </c>
      <c r="AH17" s="81">
        <v>0</v>
      </c>
      <c r="AI17" s="81">
        <v>0</v>
      </c>
      <c r="AJ17" s="81">
        <v>0</v>
      </c>
      <c r="AK17" s="81">
        <v>0</v>
      </c>
      <c r="AL17" s="81">
        <v>0</v>
      </c>
      <c r="AM17" s="81">
        <v>0</v>
      </c>
      <c r="AN17" s="81">
        <v>0</v>
      </c>
      <c r="AO17" s="81">
        <v>0</v>
      </c>
      <c r="AP17" s="81">
        <v>0</v>
      </c>
      <c r="AQ17" s="81">
        <v>0</v>
      </c>
      <c r="AR17" s="81">
        <v>0</v>
      </c>
      <c r="AS17" s="81">
        <v>0</v>
      </c>
      <c r="AT17" s="81">
        <v>0</v>
      </c>
      <c r="AU17" s="81">
        <v>0</v>
      </c>
      <c r="AV17" s="81">
        <v>0</v>
      </c>
      <c r="AW17" s="81">
        <v>0</v>
      </c>
      <c r="AX17" s="81">
        <v>0</v>
      </c>
      <c r="AY17" s="81">
        <v>0</v>
      </c>
      <c r="AZ17" s="81">
        <v>0</v>
      </c>
      <c r="BA17" s="81">
        <v>0</v>
      </c>
      <c r="BB17" s="81">
        <v>0</v>
      </c>
      <c r="BC17" s="81">
        <v>0</v>
      </c>
      <c r="BD17" s="81">
        <v>0</v>
      </c>
      <c r="BE17" s="81">
        <v>0</v>
      </c>
      <c r="BF17" s="81">
        <v>0</v>
      </c>
      <c r="BG17" s="81">
        <v>0</v>
      </c>
      <c r="BH17" s="81">
        <v>0</v>
      </c>
      <c r="BI17" s="81">
        <v>0</v>
      </c>
      <c r="BJ17" s="81">
        <v>0</v>
      </c>
      <c r="BK17" s="81">
        <v>0</v>
      </c>
      <c r="BL17" s="81">
        <v>0</v>
      </c>
      <c r="BM17" s="81">
        <v>0</v>
      </c>
      <c r="BN17" s="81">
        <v>0</v>
      </c>
      <c r="BO17" s="81">
        <v>0</v>
      </c>
      <c r="BP17" s="81">
        <v>0</v>
      </c>
      <c r="BQ17" s="81">
        <v>0</v>
      </c>
      <c r="BR17" s="81">
        <v>0</v>
      </c>
      <c r="BS17" s="81">
        <v>0</v>
      </c>
      <c r="BT17" s="81">
        <v>0</v>
      </c>
      <c r="BU17" s="81">
        <v>0</v>
      </c>
      <c r="BV17" s="81">
        <v>0</v>
      </c>
      <c r="BW17" s="81">
        <v>0</v>
      </c>
      <c r="BX17" s="81">
        <v>0</v>
      </c>
      <c r="BY17" s="81">
        <v>0</v>
      </c>
      <c r="BZ17" s="81">
        <v>0</v>
      </c>
      <c r="CA17" s="81">
        <v>0</v>
      </c>
      <c r="CB17" s="81">
        <v>0</v>
      </c>
      <c r="CC17" s="81">
        <v>0</v>
      </c>
      <c r="CD17" s="81">
        <v>0</v>
      </c>
      <c r="CE17" s="81">
        <v>0</v>
      </c>
      <c r="CF17" s="81">
        <v>0</v>
      </c>
      <c r="CG17" s="81">
        <v>0</v>
      </c>
      <c r="CH17" s="81">
        <v>0</v>
      </c>
      <c r="CI17" s="81">
        <v>0</v>
      </c>
      <c r="CJ17" s="81">
        <v>0</v>
      </c>
      <c r="CK17" s="81">
        <v>0</v>
      </c>
      <c r="CL17" s="81">
        <v>0</v>
      </c>
      <c r="CM17" s="81">
        <v>0</v>
      </c>
      <c r="CN17" s="81">
        <v>0</v>
      </c>
      <c r="CO17" s="81">
        <v>0</v>
      </c>
      <c r="CP17" s="81">
        <v>0</v>
      </c>
      <c r="CQ17" s="81">
        <v>0</v>
      </c>
      <c r="CR17" s="81">
        <v>0</v>
      </c>
      <c r="CS17" s="81">
        <v>0</v>
      </c>
      <c r="CT17" s="81">
        <v>0</v>
      </c>
      <c r="CU17" s="81">
        <v>0</v>
      </c>
      <c r="CV17" s="81">
        <v>0</v>
      </c>
      <c r="CW17" s="81">
        <v>0</v>
      </c>
      <c r="CX17" s="81">
        <v>0</v>
      </c>
      <c r="CY17" s="81">
        <v>0</v>
      </c>
      <c r="CZ17" s="81">
        <v>0</v>
      </c>
      <c r="DA17" s="81">
        <v>0</v>
      </c>
      <c r="DB17" s="81">
        <v>0</v>
      </c>
      <c r="DC17" s="81">
        <v>0</v>
      </c>
      <c r="DD17" s="81">
        <v>0</v>
      </c>
      <c r="DE17" s="81">
        <v>0</v>
      </c>
      <c r="DF17" s="81">
        <v>0</v>
      </c>
      <c r="DG17" s="81">
        <v>0</v>
      </c>
      <c r="DH17" s="81">
        <v>0</v>
      </c>
      <c r="DI17" s="81">
        <v>0</v>
      </c>
      <c r="DJ17" s="81">
        <v>0</v>
      </c>
      <c r="DK17" s="81">
        <v>0</v>
      </c>
      <c r="DL17" s="81">
        <v>0</v>
      </c>
      <c r="DM17" s="81">
        <v>0</v>
      </c>
      <c r="DN17" s="81">
        <v>0</v>
      </c>
      <c r="DO17" s="81">
        <v>0</v>
      </c>
      <c r="DP17" s="81">
        <v>0</v>
      </c>
      <c r="DQ17" s="81">
        <v>0</v>
      </c>
      <c r="DR17" s="81">
        <v>0</v>
      </c>
      <c r="DS17" s="81">
        <v>0</v>
      </c>
      <c r="DT17" s="81">
        <v>0</v>
      </c>
      <c r="DU17" s="81">
        <v>0</v>
      </c>
      <c r="DV17" s="81">
        <v>0</v>
      </c>
      <c r="DW17" s="81">
        <v>0</v>
      </c>
      <c r="DX17" s="81">
        <v>0</v>
      </c>
      <c r="DY17" s="81">
        <v>0</v>
      </c>
      <c r="DZ17" s="81">
        <v>0</v>
      </c>
      <c r="EA17" s="81">
        <v>0</v>
      </c>
      <c r="EB17" s="81">
        <v>0</v>
      </c>
      <c r="EC17" s="81">
        <v>0</v>
      </c>
      <c r="ED17" s="81">
        <v>0</v>
      </c>
      <c r="EE17" s="81">
        <v>0</v>
      </c>
      <c r="EF17" s="81">
        <v>0</v>
      </c>
      <c r="EG17" s="81">
        <v>0</v>
      </c>
      <c r="EH17" s="81">
        <v>0</v>
      </c>
      <c r="EI17" s="81">
        <v>0</v>
      </c>
      <c r="EJ17" s="81">
        <v>0</v>
      </c>
      <c r="EK17" s="81">
        <v>0</v>
      </c>
      <c r="EL17" s="81">
        <v>0</v>
      </c>
      <c r="EM17" s="81">
        <v>0</v>
      </c>
      <c r="EN17" s="81">
        <v>0</v>
      </c>
      <c r="EO17" s="81">
        <v>0</v>
      </c>
      <c r="EP17" s="81">
        <v>0</v>
      </c>
      <c r="EQ17" s="81">
        <v>0</v>
      </c>
      <c r="ER17" s="81">
        <v>0</v>
      </c>
      <c r="ES17" s="81">
        <v>0</v>
      </c>
      <c r="ET17" s="81">
        <v>0</v>
      </c>
      <c r="EU17" s="81">
        <v>0</v>
      </c>
      <c r="EV17" s="81">
        <v>0</v>
      </c>
      <c r="EW17" s="81">
        <v>0</v>
      </c>
      <c r="EX17" s="81">
        <v>0</v>
      </c>
      <c r="EY17" s="81">
        <v>0</v>
      </c>
      <c r="EZ17" s="81">
        <v>0</v>
      </c>
      <c r="FA17" s="81">
        <v>0</v>
      </c>
      <c r="FB17" s="81">
        <v>0</v>
      </c>
      <c r="FC17" s="81">
        <v>0</v>
      </c>
      <c r="FD17" s="81">
        <v>0</v>
      </c>
      <c r="FE17" s="81">
        <v>0</v>
      </c>
      <c r="FF17" s="81">
        <v>0</v>
      </c>
      <c r="FG17" s="81">
        <v>0</v>
      </c>
      <c r="FH17" s="81">
        <v>0</v>
      </c>
      <c r="FI17" s="81">
        <v>0</v>
      </c>
      <c r="FJ17" s="81">
        <v>0</v>
      </c>
      <c r="FK17" s="81">
        <v>0</v>
      </c>
      <c r="FL17" s="81">
        <v>0</v>
      </c>
      <c r="FM17" s="81">
        <v>0</v>
      </c>
      <c r="FN17" s="81">
        <v>0</v>
      </c>
      <c r="FO17" s="81">
        <v>0</v>
      </c>
      <c r="FP17" s="81">
        <v>0</v>
      </c>
      <c r="FQ17" s="81">
        <v>0</v>
      </c>
      <c r="FR17" s="81">
        <v>0</v>
      </c>
      <c r="FS17" s="81">
        <v>0</v>
      </c>
      <c r="FT17" s="81">
        <v>0</v>
      </c>
      <c r="FU17" s="81">
        <v>0</v>
      </c>
      <c r="FV17" s="81">
        <v>0</v>
      </c>
      <c r="FW17" s="81">
        <v>0</v>
      </c>
      <c r="FX17" s="81">
        <v>0</v>
      </c>
      <c r="FY17" s="81">
        <v>0</v>
      </c>
      <c r="FZ17" s="81">
        <v>0</v>
      </c>
      <c r="GA17" s="81">
        <v>0</v>
      </c>
      <c r="GB17" s="81">
        <v>0</v>
      </c>
      <c r="GC17" s="81">
        <v>0</v>
      </c>
      <c r="GD17" s="81">
        <v>0</v>
      </c>
      <c r="GE17" s="81">
        <v>0</v>
      </c>
      <c r="GF17" s="81">
        <v>0</v>
      </c>
      <c r="GG17" s="81">
        <v>0</v>
      </c>
      <c r="GH17" s="81">
        <v>0</v>
      </c>
      <c r="GI17" s="81">
        <v>0</v>
      </c>
      <c r="GJ17" s="81">
        <v>0</v>
      </c>
      <c r="GK17" s="81">
        <v>0</v>
      </c>
      <c r="GL17" s="81">
        <v>0</v>
      </c>
      <c r="GM17" s="81">
        <v>0</v>
      </c>
      <c r="GN17" s="81">
        <v>0</v>
      </c>
      <c r="GO17" s="81">
        <v>0</v>
      </c>
      <c r="GP17" s="81">
        <v>0</v>
      </c>
      <c r="GQ17" s="81">
        <v>0</v>
      </c>
      <c r="GR17" s="81">
        <v>0</v>
      </c>
      <c r="GS17" s="81">
        <v>0</v>
      </c>
      <c r="GT17" s="81">
        <v>0</v>
      </c>
      <c r="GU17" s="81">
        <v>0</v>
      </c>
      <c r="GV17" s="81">
        <v>0</v>
      </c>
      <c r="GW17" s="81">
        <v>0</v>
      </c>
      <c r="GX17" s="81">
        <v>0</v>
      </c>
      <c r="GY17" s="81">
        <v>0</v>
      </c>
      <c r="GZ17" s="81">
        <v>0</v>
      </c>
      <c r="HA17" s="81">
        <v>0</v>
      </c>
      <c r="HB17" s="81">
        <v>0</v>
      </c>
      <c r="HC17" s="81">
        <v>0</v>
      </c>
      <c r="HD17" s="81">
        <v>0</v>
      </c>
      <c r="HE17" s="81">
        <v>0</v>
      </c>
      <c r="HF17" s="81">
        <v>0</v>
      </c>
      <c r="HG17" s="81">
        <v>0</v>
      </c>
      <c r="HH17" s="81">
        <v>0</v>
      </c>
      <c r="HI17" s="81">
        <v>0</v>
      </c>
      <c r="HJ17" s="81">
        <v>0</v>
      </c>
      <c r="HK17" s="81">
        <v>0</v>
      </c>
      <c r="HL17" s="81">
        <v>0</v>
      </c>
      <c r="HM17" s="81">
        <v>0</v>
      </c>
      <c r="HN17" s="81">
        <v>0</v>
      </c>
      <c r="HO17" s="81">
        <v>0</v>
      </c>
      <c r="HP17" s="81">
        <v>0</v>
      </c>
      <c r="HQ17" s="81">
        <v>0</v>
      </c>
      <c r="HR17" s="81">
        <v>0</v>
      </c>
      <c r="HS17" s="81">
        <v>0</v>
      </c>
      <c r="HT17" s="81">
        <v>0</v>
      </c>
      <c r="HU17" s="81">
        <v>0</v>
      </c>
      <c r="HV17" s="81">
        <v>0</v>
      </c>
      <c r="HW17" s="81">
        <v>0</v>
      </c>
      <c r="HX17" s="81">
        <v>0</v>
      </c>
      <c r="HY17" s="81">
        <v>0</v>
      </c>
      <c r="HZ17" s="81">
        <v>0</v>
      </c>
      <c r="IA17" s="81">
        <v>0</v>
      </c>
      <c r="IB17" s="81">
        <v>0</v>
      </c>
      <c r="IC17" s="81">
        <v>0</v>
      </c>
      <c r="ID17" s="81">
        <v>0</v>
      </c>
      <c r="IE17" s="81">
        <v>0</v>
      </c>
      <c r="IF17" s="81">
        <v>0</v>
      </c>
      <c r="IG17" s="81">
        <v>0</v>
      </c>
      <c r="IH17" s="81">
        <v>0</v>
      </c>
    </row>
    <row r="18" spans="1:242" ht="14.65" thickTop="1" x14ac:dyDescent="0.45">
      <c r="A18" s="895"/>
      <c r="B18" s="896"/>
      <c r="C18" s="85">
        <f t="shared" ref="C18:BO18" si="8">SUM(C16:C17)</f>
        <v>878209039.02890658</v>
      </c>
      <c r="D18" s="85">
        <f t="shared" si="8"/>
        <v>4461153.357621789</v>
      </c>
      <c r="E18" s="85">
        <f t="shared" si="8"/>
        <v>4434359.8485107422</v>
      </c>
      <c r="F18" s="85">
        <f t="shared" si="8"/>
        <v>4407421.2078919411</v>
      </c>
      <c r="G18" s="85">
        <f t="shared" si="8"/>
        <v>4380336.649636507</v>
      </c>
      <c r="H18" s="85">
        <f t="shared" si="8"/>
        <v>4353105.3833572865</v>
      </c>
      <c r="I18" s="85">
        <f t="shared" si="8"/>
        <v>4325726.6143856049</v>
      </c>
      <c r="J18" s="85">
        <f t="shared" si="8"/>
        <v>4298199.5437486172</v>
      </c>
      <c r="K18" s="85">
        <f t="shared" si="8"/>
        <v>4270523.3681458235</v>
      </c>
      <c r="L18" s="85">
        <f t="shared" si="8"/>
        <v>4242697.279925108</v>
      </c>
      <c r="M18" s="85">
        <f t="shared" si="8"/>
        <v>4214720.4670598507</v>
      </c>
      <c r="N18" s="85">
        <f t="shared" si="8"/>
        <v>4186592.1131248474</v>
      </c>
      <c r="O18" s="85">
        <f t="shared" si="8"/>
        <v>4158311.3972728252</v>
      </c>
      <c r="P18" s="85">
        <f t="shared" si="8"/>
        <v>4129877.4942098856</v>
      </c>
      <c r="Q18" s="85">
        <f t="shared" si="8"/>
        <v>4101289.5741719007</v>
      </c>
      <c r="R18" s="85">
        <f t="shared" si="8"/>
        <v>4072546.8029005527</v>
      </c>
      <c r="S18" s="85">
        <f t="shared" si="8"/>
        <v>4043648.3416180611</v>
      </c>
      <c r="T18" s="85">
        <f t="shared" si="8"/>
        <v>4014593.3470036983</v>
      </c>
      <c r="U18" s="85">
        <f t="shared" si="8"/>
        <v>3985380.9711683989</v>
      </c>
      <c r="V18" s="85">
        <f t="shared" si="8"/>
        <v>3956010.3616306782</v>
      </c>
      <c r="W18" s="85">
        <f t="shared" si="8"/>
        <v>3926480.6612913609</v>
      </c>
      <c r="X18" s="85">
        <f t="shared" si="8"/>
        <v>3896791.0084085464</v>
      </c>
      <c r="Y18" s="85">
        <f t="shared" si="8"/>
        <v>3866940.5365725756</v>
      </c>
      <c r="Z18" s="85">
        <f t="shared" si="8"/>
        <v>3836928.3746808767</v>
      </c>
      <c r="AA18" s="85">
        <f t="shared" si="8"/>
        <v>3806753.6469122171</v>
      </c>
      <c r="AB18" s="85">
        <f t="shared" si="8"/>
        <v>3776415.4727014303</v>
      </c>
      <c r="AC18" s="85">
        <f t="shared" si="8"/>
        <v>3745912.9667136669</v>
      </c>
      <c r="AD18" s="85">
        <f t="shared" si="8"/>
        <v>3715245.2388185263</v>
      </c>
      <c r="AE18" s="85">
        <f t="shared" si="8"/>
        <v>3684411.3940639496</v>
      </c>
      <c r="AF18" s="85">
        <f t="shared" si="8"/>
        <v>3653410.5326503515</v>
      </c>
      <c r="AG18" s="85">
        <f t="shared" si="8"/>
        <v>3622241.7499040365</v>
      </c>
      <c r="AH18" s="85">
        <f t="shared" si="8"/>
        <v>3590904.136251092</v>
      </c>
      <c r="AI18" s="85">
        <f t="shared" si="8"/>
        <v>3559396.7771909237</v>
      </c>
      <c r="AJ18" s="85">
        <f t="shared" si="8"/>
        <v>3527718.7532691956</v>
      </c>
      <c r="AK18" s="85">
        <f t="shared" si="8"/>
        <v>3495869.1400512457</v>
      </c>
      <c r="AL18" s="85">
        <f t="shared" si="8"/>
        <v>3463847.008095026</v>
      </c>
      <c r="AM18" s="85">
        <f t="shared" si="8"/>
        <v>3431651.4229240417</v>
      </c>
      <c r="AN18" s="85">
        <f t="shared" si="8"/>
        <v>3399281.4450000525</v>
      </c>
      <c r="AO18" s="85">
        <f t="shared" si="8"/>
        <v>3366736.1296956539</v>
      </c>
      <c r="AP18" s="85">
        <f t="shared" si="8"/>
        <v>3334014.5272666216</v>
      </c>
      <c r="AQ18" s="85">
        <f t="shared" si="8"/>
        <v>3301115.6828244925</v>
      </c>
      <c r="AR18" s="85">
        <f t="shared" si="8"/>
        <v>3268038.6363081932</v>
      </c>
      <c r="AS18" s="85">
        <f t="shared" si="8"/>
        <v>3234782.4224567413</v>
      </c>
      <c r="AT18" s="85">
        <f t="shared" si="8"/>
        <v>3201346.070780158</v>
      </c>
      <c r="AU18" s="85">
        <f t="shared" si="8"/>
        <v>3167728.6055320501</v>
      </c>
      <c r="AV18" s="85">
        <f t="shared" si="8"/>
        <v>3133929.0456805229</v>
      </c>
      <c r="AW18" s="85">
        <f t="shared" si="8"/>
        <v>3099946.4048798084</v>
      </c>
      <c r="AX18" s="85">
        <f t="shared" si="8"/>
        <v>3065779.6914414167</v>
      </c>
      <c r="AY18" s="85">
        <f t="shared" si="8"/>
        <v>3031427.9083051682</v>
      </c>
      <c r="AZ18" s="85">
        <f t="shared" si="8"/>
        <v>2996890.0530103445</v>
      </c>
      <c r="BA18" s="85">
        <f t="shared" si="8"/>
        <v>2962165.1176658869</v>
      </c>
      <c r="BB18" s="85">
        <f t="shared" si="8"/>
        <v>2927252.0889217854</v>
      </c>
      <c r="BC18" s="85">
        <f t="shared" si="8"/>
        <v>2892149.9479385614</v>
      </c>
      <c r="BD18" s="85">
        <f t="shared" si="8"/>
        <v>2856857.6703584194</v>
      </c>
      <c r="BE18" s="85">
        <f t="shared" si="8"/>
        <v>2821374.2262747288</v>
      </c>
      <c r="BF18" s="85">
        <f t="shared" si="8"/>
        <v>2785698.5802021027</v>
      </c>
      <c r="BG18" s="85">
        <f t="shared" si="8"/>
        <v>2749829.6910467148</v>
      </c>
      <c r="BH18" s="85">
        <f t="shared" si="8"/>
        <v>2713766.5120751858</v>
      </c>
      <c r="BI18" s="85">
        <f t="shared" si="8"/>
        <v>2677507.9908838272</v>
      </c>
      <c r="BJ18" s="85">
        <f t="shared" si="8"/>
        <v>2641053.0693697929</v>
      </c>
      <c r="BK18" s="85">
        <f t="shared" si="8"/>
        <v>2604400.6836972237</v>
      </c>
      <c r="BL18" s="85">
        <f t="shared" si="8"/>
        <v>2567549.7642692327</v>
      </c>
      <c r="BM18" s="85">
        <f t="shared" si="8"/>
        <v>2530499.2356940508</v>
      </c>
      <c r="BN18" s="85">
        <f t="shared" si="8"/>
        <v>2493248.0167560577</v>
      </c>
      <c r="BO18" s="85">
        <f t="shared" si="8"/>
        <v>2455795.0203818083</v>
      </c>
      <c r="BP18" s="85">
        <f t="shared" ref="BP18:EA18" si="9">SUM(BP16:BP17)</f>
        <v>2418139.1536107063</v>
      </c>
      <c r="BQ18" s="85">
        <f t="shared" si="9"/>
        <v>2380279.3175612688</v>
      </c>
      <c r="BR18" s="85">
        <f t="shared" si="9"/>
        <v>2342214.4073998928</v>
      </c>
      <c r="BS18" s="85">
        <f t="shared" si="9"/>
        <v>2303943.3123084307</v>
      </c>
      <c r="BT18" s="85">
        <f t="shared" si="9"/>
        <v>2265464.9154518843</v>
      </c>
      <c r="BU18" s="85">
        <f t="shared" si="9"/>
        <v>2226778.0939458609</v>
      </c>
      <c r="BV18" s="85">
        <f t="shared" si="9"/>
        <v>2187881.7188230753</v>
      </c>
      <c r="BW18" s="85">
        <f t="shared" si="9"/>
        <v>2148774.6550021172</v>
      </c>
      <c r="BX18" s="85">
        <f t="shared" si="9"/>
        <v>2109455.7612514496</v>
      </c>
      <c r="BY18" s="85">
        <f t="shared" si="9"/>
        <v>2069923.8901603222</v>
      </c>
      <c r="BZ18" s="85">
        <f t="shared" si="9"/>
        <v>2030177.8881006241</v>
      </c>
      <c r="CA18" s="85">
        <f t="shared" si="9"/>
        <v>1990216.5951960087</v>
      </c>
      <c r="CB18" s="85">
        <f t="shared" si="9"/>
        <v>1950038.8452887535</v>
      </c>
      <c r="CC18" s="85">
        <f t="shared" si="9"/>
        <v>1909643.4659023285</v>
      </c>
      <c r="CD18" s="85">
        <f t="shared" si="9"/>
        <v>1869029.2782113552</v>
      </c>
      <c r="CE18" s="85">
        <f t="shared" si="9"/>
        <v>1828195.0970032215</v>
      </c>
      <c r="CF18" s="85">
        <f t="shared" si="9"/>
        <v>1787139.7306473255</v>
      </c>
      <c r="CG18" s="85">
        <f t="shared" si="9"/>
        <v>1745861.9810569286</v>
      </c>
      <c r="CH18" s="85">
        <f t="shared" si="9"/>
        <v>1704360.6436560154</v>
      </c>
      <c r="CI18" s="85">
        <f t="shared" si="9"/>
        <v>1662634.5073442459</v>
      </c>
      <c r="CJ18" s="85">
        <f t="shared" si="9"/>
        <v>1620682.3544609547</v>
      </c>
      <c r="CK18" s="85">
        <f t="shared" si="9"/>
        <v>1578502.9607493877</v>
      </c>
      <c r="CL18" s="85">
        <f t="shared" si="9"/>
        <v>1536095.0953218937</v>
      </c>
      <c r="CM18" s="85">
        <f t="shared" si="9"/>
        <v>1493457.5206232071</v>
      </c>
      <c r="CN18" s="85">
        <f t="shared" si="9"/>
        <v>1450588.992395401</v>
      </c>
      <c r="CO18" s="85">
        <f t="shared" si="9"/>
        <v>1407488.2596392632</v>
      </c>
      <c r="CP18" s="85">
        <f t="shared" si="9"/>
        <v>1364154.0645806789</v>
      </c>
      <c r="CQ18" s="85">
        <f t="shared" si="9"/>
        <v>1320585.1426324844</v>
      </c>
      <c r="CR18" s="85">
        <f t="shared" si="9"/>
        <v>1276780.2223567963</v>
      </c>
      <c r="CS18" s="85">
        <f t="shared" si="9"/>
        <v>1232738.0254297256</v>
      </c>
      <c r="CT18" s="85">
        <f t="shared" si="9"/>
        <v>1188457.2666025162</v>
      </c>
      <c r="CU18" s="85">
        <f t="shared" si="9"/>
        <v>1143936.6536653042</v>
      </c>
      <c r="CV18" s="85">
        <f t="shared" si="9"/>
        <v>1099174.8874077797</v>
      </c>
      <c r="CW18" s="85">
        <f t="shared" si="9"/>
        <v>1054170.6615829468</v>
      </c>
      <c r="CX18" s="85">
        <f t="shared" si="9"/>
        <v>1008922.6628682613</v>
      </c>
      <c r="CY18" s="85">
        <f t="shared" si="9"/>
        <v>963429.57082748413</v>
      </c>
      <c r="CZ18" s="85">
        <f t="shared" si="9"/>
        <v>917690.05787110329</v>
      </c>
      <c r="DA18" s="85">
        <f t="shared" si="9"/>
        <v>871702.78921985626</v>
      </c>
      <c r="DB18" s="85">
        <f t="shared" si="9"/>
        <v>825466.42286348343</v>
      </c>
      <c r="DC18" s="85">
        <f t="shared" si="9"/>
        <v>778979.60952210426</v>
      </c>
      <c r="DD18" s="85">
        <f t="shared" si="9"/>
        <v>732240.99260902405</v>
      </c>
      <c r="DE18" s="85">
        <f t="shared" si="9"/>
        <v>685249.20818734169</v>
      </c>
      <c r="DF18" s="85">
        <f t="shared" si="9"/>
        <v>638002.8849337101</v>
      </c>
      <c r="DG18" s="85">
        <f t="shared" si="9"/>
        <v>590500.64409542084</v>
      </c>
      <c r="DH18" s="85">
        <f t="shared" si="9"/>
        <v>542741.09945297241</v>
      </c>
      <c r="DI18" s="85">
        <f t="shared" si="9"/>
        <v>494722.85727667809</v>
      </c>
      <c r="DJ18" s="85">
        <f t="shared" si="9"/>
        <v>446444.51628875732</v>
      </c>
      <c r="DK18" s="85">
        <f t="shared" si="9"/>
        <v>397904.66762042046</v>
      </c>
      <c r="DL18" s="85">
        <f t="shared" si="9"/>
        <v>349101.89477181435</v>
      </c>
      <c r="DM18" s="85">
        <f t="shared" si="9"/>
        <v>300034.77357053757</v>
      </c>
      <c r="DN18" s="85">
        <f t="shared" si="9"/>
        <v>250701.87212896347</v>
      </c>
      <c r="DO18" s="85">
        <f t="shared" si="9"/>
        <v>201101.75080513954</v>
      </c>
      <c r="DP18" s="85">
        <f t="shared" si="9"/>
        <v>151232.96215701103</v>
      </c>
      <c r="DQ18" s="85">
        <f t="shared" si="9"/>
        <v>101094.05090379715</v>
      </c>
      <c r="DR18" s="85">
        <f t="shared" si="9"/>
        <v>50683.553881645203</v>
      </c>
      <c r="DS18" s="85">
        <f t="shared" si="9"/>
        <v>0</v>
      </c>
      <c r="DT18" s="85">
        <f t="shared" si="9"/>
        <v>0</v>
      </c>
      <c r="DU18" s="85">
        <f t="shared" si="9"/>
        <v>0</v>
      </c>
      <c r="DV18" s="85">
        <f t="shared" si="9"/>
        <v>0</v>
      </c>
      <c r="DW18" s="85">
        <f t="shared" si="9"/>
        <v>0</v>
      </c>
      <c r="DX18" s="85">
        <f t="shared" si="9"/>
        <v>0</v>
      </c>
      <c r="DY18" s="85">
        <f t="shared" si="9"/>
        <v>0</v>
      </c>
      <c r="DZ18" s="85">
        <f t="shared" si="9"/>
        <v>0</v>
      </c>
      <c r="EA18" s="85">
        <f t="shared" si="9"/>
        <v>0</v>
      </c>
      <c r="EB18" s="85">
        <f t="shared" ref="EB18:GI18" si="10">SUM(EB16:EB17)</f>
        <v>0</v>
      </c>
      <c r="EC18" s="85">
        <f t="shared" si="10"/>
        <v>0</v>
      </c>
      <c r="ED18" s="85">
        <f t="shared" si="10"/>
        <v>0</v>
      </c>
      <c r="EE18" s="85">
        <f t="shared" si="10"/>
        <v>0</v>
      </c>
      <c r="EF18" s="85">
        <f t="shared" si="10"/>
        <v>0</v>
      </c>
      <c r="EG18" s="85">
        <f t="shared" si="10"/>
        <v>0</v>
      </c>
      <c r="EH18" s="85">
        <f t="shared" si="10"/>
        <v>0</v>
      </c>
      <c r="EI18" s="85">
        <f t="shared" si="10"/>
        <v>0</v>
      </c>
      <c r="EJ18" s="85">
        <f t="shared" si="10"/>
        <v>0</v>
      </c>
      <c r="EK18" s="85">
        <f t="shared" si="10"/>
        <v>0</v>
      </c>
      <c r="EL18" s="85">
        <f t="shared" si="10"/>
        <v>0</v>
      </c>
      <c r="EM18" s="85">
        <f t="shared" si="10"/>
        <v>0</v>
      </c>
      <c r="EN18" s="85">
        <f t="shared" si="10"/>
        <v>0</v>
      </c>
      <c r="EO18" s="85">
        <f t="shared" si="10"/>
        <v>0</v>
      </c>
      <c r="EP18" s="85">
        <f t="shared" si="10"/>
        <v>0</v>
      </c>
      <c r="EQ18" s="85">
        <f t="shared" si="10"/>
        <v>0</v>
      </c>
      <c r="ER18" s="85">
        <f t="shared" si="10"/>
        <v>0</v>
      </c>
      <c r="ES18" s="85">
        <f t="shared" si="10"/>
        <v>0</v>
      </c>
      <c r="ET18" s="85">
        <f t="shared" si="10"/>
        <v>0</v>
      </c>
      <c r="EU18" s="85">
        <f t="shared" si="10"/>
        <v>0</v>
      </c>
      <c r="EV18" s="85">
        <f t="shared" si="10"/>
        <v>0</v>
      </c>
      <c r="EW18" s="85">
        <f t="shared" si="10"/>
        <v>0</v>
      </c>
      <c r="EX18" s="85">
        <f t="shared" si="10"/>
        <v>0</v>
      </c>
      <c r="EY18" s="85">
        <f t="shared" si="10"/>
        <v>0</v>
      </c>
      <c r="EZ18" s="85">
        <f t="shared" si="10"/>
        <v>0</v>
      </c>
      <c r="FA18" s="85">
        <f t="shared" si="10"/>
        <v>0</v>
      </c>
      <c r="FB18" s="85">
        <f t="shared" si="10"/>
        <v>0</v>
      </c>
      <c r="FC18" s="85">
        <f t="shared" si="10"/>
        <v>0</v>
      </c>
      <c r="FD18" s="85">
        <f t="shared" si="10"/>
        <v>0</v>
      </c>
      <c r="FE18" s="85">
        <f t="shared" si="10"/>
        <v>0</v>
      </c>
      <c r="FF18" s="85">
        <f t="shared" si="10"/>
        <v>0</v>
      </c>
      <c r="FG18" s="85">
        <f t="shared" si="10"/>
        <v>0</v>
      </c>
      <c r="FH18" s="85">
        <f t="shared" si="10"/>
        <v>0</v>
      </c>
      <c r="FI18" s="85">
        <f t="shared" si="10"/>
        <v>0</v>
      </c>
      <c r="FJ18" s="85">
        <f t="shared" si="10"/>
        <v>0</v>
      </c>
      <c r="FK18" s="85">
        <f t="shared" si="10"/>
        <v>0</v>
      </c>
      <c r="FL18" s="85">
        <f t="shared" si="10"/>
        <v>0</v>
      </c>
      <c r="FM18" s="85">
        <f t="shared" si="10"/>
        <v>0</v>
      </c>
      <c r="FN18" s="85">
        <f t="shared" si="10"/>
        <v>0</v>
      </c>
      <c r="FO18" s="85">
        <f t="shared" si="10"/>
        <v>0</v>
      </c>
      <c r="FP18" s="85">
        <f t="shared" si="10"/>
        <v>0</v>
      </c>
      <c r="FQ18" s="85">
        <f t="shared" si="10"/>
        <v>0</v>
      </c>
      <c r="FR18" s="85">
        <f t="shared" si="10"/>
        <v>0</v>
      </c>
      <c r="FS18" s="85">
        <f t="shared" si="10"/>
        <v>0</v>
      </c>
      <c r="FT18" s="85">
        <f t="shared" si="10"/>
        <v>0</v>
      </c>
      <c r="FU18" s="85">
        <f t="shared" si="10"/>
        <v>0</v>
      </c>
      <c r="FV18" s="85">
        <f t="shared" si="10"/>
        <v>0</v>
      </c>
      <c r="FW18" s="85">
        <f t="shared" si="10"/>
        <v>0</v>
      </c>
      <c r="FX18" s="85">
        <f t="shared" si="10"/>
        <v>0</v>
      </c>
      <c r="FY18" s="85">
        <f t="shared" si="10"/>
        <v>0</v>
      </c>
      <c r="FZ18" s="85">
        <f t="shared" si="10"/>
        <v>0</v>
      </c>
      <c r="GA18" s="85">
        <f t="shared" si="10"/>
        <v>0</v>
      </c>
      <c r="GB18" s="85">
        <f t="shared" si="10"/>
        <v>0</v>
      </c>
      <c r="GC18" s="85">
        <f t="shared" si="10"/>
        <v>0</v>
      </c>
      <c r="GD18" s="85">
        <f t="shared" si="10"/>
        <v>0</v>
      </c>
      <c r="GE18" s="85">
        <f t="shared" si="10"/>
        <v>0</v>
      </c>
      <c r="GF18" s="85">
        <f t="shared" si="10"/>
        <v>0</v>
      </c>
      <c r="GG18" s="85">
        <f t="shared" si="10"/>
        <v>0</v>
      </c>
      <c r="GH18" s="85">
        <f t="shared" si="10"/>
        <v>0</v>
      </c>
      <c r="GI18" s="85">
        <f t="shared" si="10"/>
        <v>0</v>
      </c>
      <c r="GJ18" s="85">
        <f t="shared" ref="GJ18:IH18" si="11">SUM(GJ16:GJ17)</f>
        <v>0</v>
      </c>
      <c r="GK18" s="85">
        <f t="shared" si="11"/>
        <v>0</v>
      </c>
      <c r="GL18" s="85">
        <f t="shared" si="11"/>
        <v>0</v>
      </c>
      <c r="GM18" s="85">
        <f t="shared" si="11"/>
        <v>0</v>
      </c>
      <c r="GN18" s="85">
        <f t="shared" si="11"/>
        <v>0</v>
      </c>
      <c r="GO18" s="85">
        <f t="shared" si="11"/>
        <v>0</v>
      </c>
      <c r="GP18" s="85">
        <f t="shared" si="11"/>
        <v>0</v>
      </c>
      <c r="GQ18" s="85">
        <f t="shared" si="11"/>
        <v>0</v>
      </c>
      <c r="GR18" s="85">
        <f t="shared" si="11"/>
        <v>0</v>
      </c>
      <c r="GS18" s="85">
        <f t="shared" si="11"/>
        <v>0</v>
      </c>
      <c r="GT18" s="85">
        <f t="shared" si="11"/>
        <v>0</v>
      </c>
      <c r="GU18" s="85">
        <f t="shared" si="11"/>
        <v>0</v>
      </c>
      <c r="GV18" s="85">
        <f t="shared" si="11"/>
        <v>0</v>
      </c>
      <c r="GW18" s="85">
        <f t="shared" si="11"/>
        <v>0</v>
      </c>
      <c r="GX18" s="85">
        <f t="shared" si="11"/>
        <v>0</v>
      </c>
      <c r="GY18" s="85">
        <f t="shared" si="11"/>
        <v>0</v>
      </c>
      <c r="GZ18" s="85">
        <f t="shared" si="11"/>
        <v>0</v>
      </c>
      <c r="HA18" s="85">
        <f t="shared" si="11"/>
        <v>0</v>
      </c>
      <c r="HB18" s="85">
        <f t="shared" si="11"/>
        <v>0</v>
      </c>
      <c r="HC18" s="85">
        <f t="shared" si="11"/>
        <v>0</v>
      </c>
      <c r="HD18" s="85">
        <f t="shared" si="11"/>
        <v>0</v>
      </c>
      <c r="HE18" s="85">
        <f t="shared" si="11"/>
        <v>0</v>
      </c>
      <c r="HF18" s="85">
        <f t="shared" si="11"/>
        <v>0</v>
      </c>
      <c r="HG18" s="85">
        <f t="shared" si="11"/>
        <v>0</v>
      </c>
      <c r="HH18" s="85">
        <f t="shared" si="11"/>
        <v>0</v>
      </c>
      <c r="HI18" s="85">
        <f t="shared" si="11"/>
        <v>0</v>
      </c>
      <c r="HJ18" s="85">
        <f t="shared" si="11"/>
        <v>0</v>
      </c>
      <c r="HK18" s="85">
        <f t="shared" si="11"/>
        <v>0</v>
      </c>
      <c r="HL18" s="85">
        <f t="shared" si="11"/>
        <v>0</v>
      </c>
      <c r="HM18" s="85">
        <f t="shared" si="11"/>
        <v>0</v>
      </c>
      <c r="HN18" s="85">
        <f t="shared" si="11"/>
        <v>0</v>
      </c>
      <c r="HO18" s="85">
        <f t="shared" si="11"/>
        <v>0</v>
      </c>
      <c r="HP18" s="85">
        <f t="shared" si="11"/>
        <v>0</v>
      </c>
      <c r="HQ18" s="85">
        <f t="shared" si="11"/>
        <v>0</v>
      </c>
      <c r="HR18" s="85">
        <f t="shared" si="11"/>
        <v>0</v>
      </c>
      <c r="HS18" s="85">
        <f t="shared" si="11"/>
        <v>0</v>
      </c>
      <c r="HT18" s="85">
        <f t="shared" si="11"/>
        <v>0</v>
      </c>
      <c r="HU18" s="85">
        <f t="shared" si="11"/>
        <v>0</v>
      </c>
      <c r="HV18" s="85">
        <f t="shared" si="11"/>
        <v>0</v>
      </c>
      <c r="HW18" s="85">
        <f t="shared" si="11"/>
        <v>0</v>
      </c>
      <c r="HX18" s="85">
        <f t="shared" si="11"/>
        <v>0</v>
      </c>
      <c r="HY18" s="85">
        <f t="shared" si="11"/>
        <v>0</v>
      </c>
      <c r="HZ18" s="85">
        <f t="shared" si="11"/>
        <v>0</v>
      </c>
      <c r="IA18" s="85">
        <f t="shared" si="11"/>
        <v>0</v>
      </c>
      <c r="IB18" s="85">
        <f t="shared" si="11"/>
        <v>0</v>
      </c>
      <c r="IC18" s="85">
        <f t="shared" si="11"/>
        <v>0</v>
      </c>
      <c r="ID18" s="85">
        <f t="shared" si="11"/>
        <v>0</v>
      </c>
      <c r="IE18" s="85">
        <f t="shared" si="11"/>
        <v>0</v>
      </c>
      <c r="IF18" s="85">
        <f t="shared" si="11"/>
        <v>0</v>
      </c>
      <c r="IG18" s="85">
        <f t="shared" si="11"/>
        <v>0</v>
      </c>
      <c r="IH18" s="85">
        <f t="shared" si="11"/>
        <v>0</v>
      </c>
    </row>
    <row r="19" spans="1:242" ht="14.65" thickBot="1" x14ac:dyDescent="0.5">
      <c r="A19" s="77"/>
      <c r="B19" s="78"/>
    </row>
    <row r="20" spans="1:242" ht="15" thickTop="1" thickBot="1" x14ac:dyDescent="0.5">
      <c r="A20" s="888" t="s">
        <v>310</v>
      </c>
      <c r="B20" s="889"/>
      <c r="C20" s="91">
        <f>C18+C14+C11</f>
        <v>1099869345.3716428</v>
      </c>
      <c r="D20" s="92">
        <f t="shared" ref="D20:BO20" si="12">D18+D14+D11</f>
        <v>-916476.19944998436</v>
      </c>
      <c r="E20" s="92">
        <f t="shared" si="12"/>
        <v>-476601.19944996852</v>
      </c>
      <c r="F20" s="92">
        <f t="shared" si="12"/>
        <v>-476601.19945002533</v>
      </c>
      <c r="G20" s="92">
        <f t="shared" si="12"/>
        <v>-476601.1994500272</v>
      </c>
      <c r="H20" s="92">
        <f t="shared" si="12"/>
        <v>-476601.19944993407</v>
      </c>
      <c r="I20" s="92">
        <f t="shared" si="12"/>
        <v>89931096.272525042</v>
      </c>
      <c r="J20" s="92">
        <f t="shared" si="12"/>
        <v>44727247.536537483</v>
      </c>
      <c r="K20" s="92">
        <f t="shared" si="12"/>
        <v>-476601.19944993593</v>
      </c>
      <c r="L20" s="92">
        <f t="shared" si="12"/>
        <v>44727247.536537573</v>
      </c>
      <c r="M20" s="92">
        <f t="shared" si="12"/>
        <v>-476601.19944993407</v>
      </c>
      <c r="N20" s="92">
        <f t="shared" si="12"/>
        <v>44727247.536537498</v>
      </c>
      <c r="O20" s="92">
        <f t="shared" si="12"/>
        <v>225563642.48048759</v>
      </c>
      <c r="P20" s="92">
        <f t="shared" si="12"/>
        <v>-680715.86611658894</v>
      </c>
      <c r="Q20" s="92">
        <f t="shared" si="12"/>
        <v>-519715.86611671187</v>
      </c>
      <c r="R20" s="92">
        <f t="shared" si="12"/>
        <v>-519715.86611663178</v>
      </c>
      <c r="S20" s="92">
        <f t="shared" si="12"/>
        <v>-519715.86611665413</v>
      </c>
      <c r="T20" s="92">
        <f t="shared" si="12"/>
        <v>-519715.86611660197</v>
      </c>
      <c r="U20" s="92">
        <f t="shared" si="12"/>
        <v>89887981.605858341</v>
      </c>
      <c r="V20" s="92">
        <f t="shared" si="12"/>
        <v>-519715.86611669511</v>
      </c>
      <c r="W20" s="92">
        <f t="shared" si="12"/>
        <v>44684132.869870834</v>
      </c>
      <c r="X20" s="92">
        <f t="shared" si="12"/>
        <v>44684132.869870871</v>
      </c>
      <c r="Y20" s="92">
        <f t="shared" si="12"/>
        <v>-519715.8661166355</v>
      </c>
      <c r="Z20" s="92">
        <f t="shared" si="12"/>
        <v>44684132.869870909</v>
      </c>
      <c r="AA20" s="92">
        <f t="shared" si="12"/>
        <v>1295392.5504589654</v>
      </c>
      <c r="AB20" s="92">
        <f t="shared" si="12"/>
        <v>4277454.118444493</v>
      </c>
      <c r="AC20" s="92">
        <f t="shared" si="12"/>
        <v>4277454.1184444427</v>
      </c>
      <c r="AD20" s="92">
        <f t="shared" si="12"/>
        <v>4277454.1184444502</v>
      </c>
      <c r="AE20" s="92">
        <f t="shared" si="12"/>
        <v>4277454.1184444223</v>
      </c>
      <c r="AF20" s="92">
        <f t="shared" si="12"/>
        <v>4277454.1184445191</v>
      </c>
      <c r="AG20" s="92">
        <f t="shared" si="12"/>
        <v>4277454.1184445284</v>
      </c>
      <c r="AH20" s="92">
        <f t="shared" si="12"/>
        <v>4277454.1184444502</v>
      </c>
      <c r="AI20" s="92">
        <f t="shared" si="12"/>
        <v>4277454.1184444334</v>
      </c>
      <c r="AJ20" s="92">
        <f t="shared" si="12"/>
        <v>4277454.1184444344</v>
      </c>
      <c r="AK20" s="92">
        <f t="shared" si="12"/>
        <v>4277454.1184444558</v>
      </c>
      <c r="AL20" s="92">
        <f t="shared" si="12"/>
        <v>4277454.1184444707</v>
      </c>
      <c r="AM20" s="92">
        <f t="shared" si="12"/>
        <v>5396186.1562715471</v>
      </c>
      <c r="AN20" s="92">
        <f t="shared" si="12"/>
        <v>7894687.7074185573</v>
      </c>
      <c r="AO20" s="92">
        <f t="shared" si="12"/>
        <v>7894687.707418588</v>
      </c>
      <c r="AP20" s="92">
        <f t="shared" si="12"/>
        <v>7894687.7074185498</v>
      </c>
      <c r="AQ20" s="92">
        <f t="shared" si="12"/>
        <v>7894687.7074185731</v>
      </c>
      <c r="AR20" s="92">
        <f t="shared" si="12"/>
        <v>7894687.7074184874</v>
      </c>
      <c r="AS20" s="92">
        <f t="shared" si="12"/>
        <v>7894687.7074185461</v>
      </c>
      <c r="AT20" s="92">
        <f t="shared" si="12"/>
        <v>7894687.7074185014</v>
      </c>
      <c r="AU20" s="92">
        <f t="shared" si="12"/>
        <v>7894687.7074185126</v>
      </c>
      <c r="AV20" s="92">
        <f t="shared" si="12"/>
        <v>7894687.707418533</v>
      </c>
      <c r="AW20" s="92">
        <f t="shared" si="12"/>
        <v>7894687.707418561</v>
      </c>
      <c r="AX20" s="92">
        <f t="shared" si="12"/>
        <v>7894687.7074185843</v>
      </c>
      <c r="AY20" s="92">
        <f t="shared" si="12"/>
        <v>8706002.9925414175</v>
      </c>
      <c r="AZ20" s="92">
        <f t="shared" si="12"/>
        <v>11639998.736844972</v>
      </c>
      <c r="BA20" s="92">
        <f t="shared" si="12"/>
        <v>11634789.99654323</v>
      </c>
      <c r="BB20" s="92">
        <f t="shared" si="12"/>
        <v>11629553.042231662</v>
      </c>
      <c r="BC20" s="92">
        <f t="shared" si="12"/>
        <v>11624287.721084148</v>
      </c>
      <c r="BD20" s="92">
        <f t="shared" si="12"/>
        <v>11618993.879447157</v>
      </c>
      <c r="BE20" s="92">
        <f t="shared" si="12"/>
        <v>11613671.362834644</v>
      </c>
      <c r="BF20" s="92">
        <f t="shared" si="12"/>
        <v>11608320.015923664</v>
      </c>
      <c r="BG20" s="92">
        <f t="shared" si="12"/>
        <v>11602939.68255032</v>
      </c>
      <c r="BH20" s="92">
        <f t="shared" si="12"/>
        <v>11597530.205704777</v>
      </c>
      <c r="BI20" s="92">
        <f t="shared" si="12"/>
        <v>11592091.427525857</v>
      </c>
      <c r="BJ20" s="92">
        <f t="shared" si="12"/>
        <v>11586623.189298915</v>
      </c>
      <c r="BK20" s="92">
        <f t="shared" si="12"/>
        <v>22034841.093539156</v>
      </c>
      <c r="BL20" s="92">
        <f t="shared" si="12"/>
        <v>13996883.427153353</v>
      </c>
      <c r="BM20" s="92">
        <f t="shared" si="12"/>
        <v>13991325.847866967</v>
      </c>
      <c r="BN20" s="92">
        <f t="shared" si="12"/>
        <v>19985738.165026419</v>
      </c>
      <c r="BO20" s="92">
        <f t="shared" si="12"/>
        <v>13980120.215570141</v>
      </c>
      <c r="BP20" s="92">
        <f t="shared" ref="BP20:EA20" si="13">BP18+BP14+BP11</f>
        <v>13974471.835554484</v>
      </c>
      <c r="BQ20" s="92">
        <f t="shared" si="13"/>
        <v>17968792.860147081</v>
      </c>
      <c r="BR20" s="92">
        <f t="shared" si="13"/>
        <v>13963083.123622887</v>
      </c>
      <c r="BS20" s="92">
        <f t="shared" si="13"/>
        <v>13957342.459359141</v>
      </c>
      <c r="BT20" s="92">
        <f t="shared" si="13"/>
        <v>13951570.699830627</v>
      </c>
      <c r="BU20" s="92">
        <f t="shared" si="13"/>
        <v>13945767.67660483</v>
      </c>
      <c r="BV20" s="92">
        <f t="shared" si="13"/>
        <v>13939933.220336288</v>
      </c>
      <c r="BW20" s="92">
        <f t="shared" si="13"/>
        <v>14174771.342988104</v>
      </c>
      <c r="BX20" s="92">
        <f t="shared" si="13"/>
        <v>14252900.809176376</v>
      </c>
      <c r="BY20" s="92">
        <f t="shared" si="13"/>
        <v>14246971.02851294</v>
      </c>
      <c r="BZ20" s="92">
        <f t="shared" si="13"/>
        <v>14241009.128204081</v>
      </c>
      <c r="CA20" s="92">
        <f t="shared" si="13"/>
        <v>14235014.934268121</v>
      </c>
      <c r="CB20" s="92">
        <f t="shared" si="13"/>
        <v>14228988.27178227</v>
      </c>
      <c r="CC20" s="92">
        <f t="shared" si="13"/>
        <v>14222928.964874115</v>
      </c>
      <c r="CD20" s="92">
        <f t="shared" si="13"/>
        <v>14216836.836720668</v>
      </c>
      <c r="CE20" s="92">
        <f t="shared" si="13"/>
        <v>14210711.709539222</v>
      </c>
      <c r="CF20" s="92">
        <f t="shared" si="13"/>
        <v>14204553.404585991</v>
      </c>
      <c r="CG20" s="92">
        <f t="shared" si="13"/>
        <v>14198361.742147526</v>
      </c>
      <c r="CH20" s="92">
        <f t="shared" si="13"/>
        <v>14192136.541537283</v>
      </c>
      <c r="CI20" s="92">
        <f t="shared" si="13"/>
        <v>14185877.621090466</v>
      </c>
      <c r="CJ20" s="92">
        <f t="shared" si="13"/>
        <v>14179584.798158063</v>
      </c>
      <c r="CK20" s="92">
        <f t="shared" si="13"/>
        <v>14173257.889101285</v>
      </c>
      <c r="CL20" s="92">
        <f t="shared" si="13"/>
        <v>14166896.709287126</v>
      </c>
      <c r="CM20" s="92">
        <f t="shared" si="13"/>
        <v>14160501.073082183</v>
      </c>
      <c r="CN20" s="92">
        <f t="shared" si="13"/>
        <v>14168168.437028471</v>
      </c>
      <c r="CO20" s="92">
        <f t="shared" si="13"/>
        <v>14107662.361590888</v>
      </c>
      <c r="CP20" s="92">
        <f t="shared" si="13"/>
        <v>14101162.232332002</v>
      </c>
      <c r="CQ20" s="92">
        <f t="shared" si="13"/>
        <v>14094626.89403992</v>
      </c>
      <c r="CR20" s="92">
        <f t="shared" si="13"/>
        <v>14088056.15599848</v>
      </c>
      <c r="CS20" s="92">
        <f t="shared" si="13"/>
        <v>14081449.826459428</v>
      </c>
      <c r="CT20" s="92">
        <f t="shared" si="13"/>
        <v>14074807.712635254</v>
      </c>
      <c r="CU20" s="92">
        <f t="shared" si="13"/>
        <v>14205451.086264767</v>
      </c>
      <c r="CV20" s="92">
        <f t="shared" si="13"/>
        <v>14679064.535420733</v>
      </c>
      <c r="CW20" s="92">
        <f t="shared" si="13"/>
        <v>14672313.901546912</v>
      </c>
      <c r="CX20" s="92">
        <f t="shared" si="13"/>
        <v>14665526.701739643</v>
      </c>
      <c r="CY20" s="92">
        <f t="shared" si="13"/>
        <v>14658702.737933693</v>
      </c>
      <c r="CZ20" s="92">
        <f t="shared" si="13"/>
        <v>14651841.81099008</v>
      </c>
      <c r="DA20" s="92">
        <f t="shared" si="13"/>
        <v>14644943.720692504</v>
      </c>
      <c r="DB20" s="92">
        <f t="shared" si="13"/>
        <v>14638008.265739217</v>
      </c>
      <c r="DC20" s="92">
        <f t="shared" si="13"/>
        <v>14631035.24373769</v>
      </c>
      <c r="DD20" s="92">
        <f t="shared" si="13"/>
        <v>14624024.451200888</v>
      </c>
      <c r="DE20" s="92">
        <f t="shared" si="13"/>
        <v>14616975.68353752</v>
      </c>
      <c r="DF20" s="92">
        <f t="shared" si="13"/>
        <v>14609888.735049646</v>
      </c>
      <c r="DG20" s="92">
        <f t="shared" si="13"/>
        <v>14616861.042103941</v>
      </c>
      <c r="DH20" s="92">
        <f t="shared" si="13"/>
        <v>14555656.144883677</v>
      </c>
      <c r="DI20" s="92">
        <f t="shared" si="13"/>
        <v>14548453.408557106</v>
      </c>
      <c r="DJ20" s="92">
        <f t="shared" si="13"/>
        <v>14541211.657408925</v>
      </c>
      <c r="DK20" s="92">
        <f t="shared" si="13"/>
        <v>14533930.680108629</v>
      </c>
      <c r="DL20" s="92">
        <f t="shared" si="13"/>
        <v>14526610.264181305</v>
      </c>
      <c r="DM20" s="92">
        <f t="shared" si="13"/>
        <v>14519250.196001301</v>
      </c>
      <c r="DN20" s="92">
        <f t="shared" si="13"/>
        <v>14511850.260784866</v>
      </c>
      <c r="DO20" s="92">
        <f t="shared" si="13"/>
        <v>14504410.242586568</v>
      </c>
      <c r="DP20" s="92">
        <f t="shared" si="13"/>
        <v>14496929.924289227</v>
      </c>
      <c r="DQ20" s="92">
        <f t="shared" si="13"/>
        <v>14489409.087601202</v>
      </c>
      <c r="DR20" s="92">
        <f t="shared" si="13"/>
        <v>14481847.513048133</v>
      </c>
      <c r="DS20" s="92">
        <f t="shared" si="13"/>
        <v>29611566.445535414</v>
      </c>
      <c r="DT20" s="92">
        <f t="shared" si="13"/>
        <v>15091894.159630155</v>
      </c>
      <c r="DU20" s="92">
        <f t="shared" si="13"/>
        <v>15091894.159630155</v>
      </c>
      <c r="DV20" s="92">
        <f t="shared" si="13"/>
        <v>26091894.159630157</v>
      </c>
      <c r="DW20" s="92">
        <f t="shared" si="13"/>
        <v>15091894.159630155</v>
      </c>
      <c r="DX20" s="92">
        <f t="shared" si="13"/>
        <v>15091894.159630155</v>
      </c>
      <c r="DY20" s="92">
        <f t="shared" si="13"/>
        <v>24091894.159630157</v>
      </c>
      <c r="DZ20" s="92">
        <f t="shared" si="13"/>
        <v>15091894.159630155</v>
      </c>
      <c r="EA20" s="92">
        <f t="shared" si="13"/>
        <v>15091894.159630155</v>
      </c>
      <c r="EB20" s="92">
        <f t="shared" ref="EB20:GI20" si="14">EB18+EB14+EB11</f>
        <v>15091894.159630155</v>
      </c>
      <c r="EC20" s="92">
        <f t="shared" si="14"/>
        <v>15091894.159630155</v>
      </c>
      <c r="ED20" s="92">
        <f t="shared" si="14"/>
        <v>15091894.159630155</v>
      </c>
      <c r="EE20" s="92">
        <f t="shared" si="14"/>
        <v>15105991.802810453</v>
      </c>
      <c r="EF20" s="92">
        <f t="shared" si="14"/>
        <v>15051950.837286256</v>
      </c>
      <c r="EG20" s="92">
        <f t="shared" si="14"/>
        <v>15051950.837286256</v>
      </c>
      <c r="EH20" s="92">
        <f t="shared" si="14"/>
        <v>15051950.837286256</v>
      </c>
      <c r="EI20" s="92">
        <f t="shared" si="14"/>
        <v>15051950.837286256</v>
      </c>
      <c r="EJ20" s="92">
        <f t="shared" si="14"/>
        <v>15051950.837286256</v>
      </c>
      <c r="EK20" s="92">
        <f t="shared" si="14"/>
        <v>20051950.837286256</v>
      </c>
      <c r="EL20" s="92">
        <f t="shared" si="14"/>
        <v>15051950.837286256</v>
      </c>
      <c r="EM20" s="92">
        <f t="shared" si="14"/>
        <v>15051950.837286256</v>
      </c>
      <c r="EN20" s="92">
        <f t="shared" si="14"/>
        <v>15051950.837286256</v>
      </c>
      <c r="EO20" s="92">
        <f t="shared" si="14"/>
        <v>15051950.837286256</v>
      </c>
      <c r="EP20" s="92">
        <f t="shared" si="14"/>
        <v>25051950.837286256</v>
      </c>
      <c r="EQ20" s="92">
        <f t="shared" si="14"/>
        <v>15189272.302856063</v>
      </c>
      <c r="ER20" s="92">
        <f t="shared" si="14"/>
        <v>15669600.016950801</v>
      </c>
      <c r="ES20" s="92">
        <f t="shared" si="14"/>
        <v>15669600.016950801</v>
      </c>
      <c r="ET20" s="92">
        <f t="shared" si="14"/>
        <v>15669600.016950801</v>
      </c>
      <c r="EU20" s="92">
        <f t="shared" si="14"/>
        <v>15669600.016950801</v>
      </c>
      <c r="EV20" s="92">
        <f t="shared" si="14"/>
        <v>15669600.016950801</v>
      </c>
      <c r="EW20" s="92">
        <f t="shared" si="14"/>
        <v>15669600.016950801</v>
      </c>
      <c r="EX20" s="92">
        <f t="shared" si="14"/>
        <v>15669600.016950801</v>
      </c>
      <c r="EY20" s="92">
        <f t="shared" si="14"/>
        <v>15669600.016950801</v>
      </c>
      <c r="EZ20" s="92">
        <f t="shared" si="14"/>
        <v>20669600.016950801</v>
      </c>
      <c r="FA20" s="92">
        <f t="shared" si="14"/>
        <v>15669600.016950801</v>
      </c>
      <c r="FB20" s="92">
        <f t="shared" si="14"/>
        <v>15669600.016950801</v>
      </c>
      <c r="FC20" s="92">
        <f t="shared" si="14"/>
        <v>15683697.660131097</v>
      </c>
      <c r="FD20" s="92">
        <f t="shared" si="14"/>
        <v>15629656.6946069</v>
      </c>
      <c r="FE20" s="92">
        <f t="shared" si="14"/>
        <v>15629656.6946069</v>
      </c>
      <c r="FF20" s="92">
        <f t="shared" si="14"/>
        <v>15629656.6946069</v>
      </c>
      <c r="FG20" s="92">
        <f t="shared" si="14"/>
        <v>15629656.6946069</v>
      </c>
      <c r="FH20" s="92">
        <f t="shared" si="14"/>
        <v>25629656.6946069</v>
      </c>
      <c r="FI20" s="92">
        <f t="shared" si="14"/>
        <v>15629656.6946069</v>
      </c>
      <c r="FJ20" s="92">
        <f t="shared" si="14"/>
        <v>15629656.6946069</v>
      </c>
      <c r="FK20" s="92">
        <f t="shared" si="14"/>
        <v>15629656.6946069</v>
      </c>
      <c r="FL20" s="92">
        <f t="shared" si="14"/>
        <v>15629656.6946069</v>
      </c>
      <c r="FM20" s="92">
        <f t="shared" si="14"/>
        <v>15629656.6946069</v>
      </c>
      <c r="FN20" s="92">
        <f t="shared" si="14"/>
        <v>15629656.6946069</v>
      </c>
      <c r="FO20" s="92">
        <f t="shared" si="14"/>
        <v>15766978.160176702</v>
      </c>
      <c r="FP20" s="92">
        <f t="shared" si="14"/>
        <v>16247305.874271439</v>
      </c>
      <c r="FQ20" s="92">
        <f t="shared" si="14"/>
        <v>16247305.874271439</v>
      </c>
      <c r="FR20" s="92">
        <f t="shared" si="14"/>
        <v>16247305.874271439</v>
      </c>
      <c r="FS20" s="92">
        <f t="shared" si="14"/>
        <v>16247305.874271439</v>
      </c>
      <c r="FT20" s="92">
        <f t="shared" si="14"/>
        <v>16247305.874271439</v>
      </c>
      <c r="FU20" s="92">
        <f t="shared" si="14"/>
        <v>16247305.874271439</v>
      </c>
      <c r="FV20" s="92">
        <f t="shared" si="14"/>
        <v>16247305.874271439</v>
      </c>
      <c r="FW20" s="92">
        <f t="shared" si="14"/>
        <v>16247305.874271439</v>
      </c>
      <c r="FX20" s="92">
        <f t="shared" si="14"/>
        <v>16247305.874271439</v>
      </c>
      <c r="FY20" s="92">
        <f t="shared" si="14"/>
        <v>16247305.874271439</v>
      </c>
      <c r="FZ20" s="92">
        <f t="shared" si="14"/>
        <v>16247305.874271439</v>
      </c>
      <c r="GA20" s="92">
        <f t="shared" si="14"/>
        <v>26261403.517451741</v>
      </c>
      <c r="GB20" s="92">
        <f t="shared" si="14"/>
        <v>16207362.551927542</v>
      </c>
      <c r="GC20" s="92">
        <f t="shared" si="14"/>
        <v>16207362.551927542</v>
      </c>
      <c r="GD20" s="92">
        <f t="shared" si="14"/>
        <v>27207362.551927544</v>
      </c>
      <c r="GE20" s="92">
        <f t="shared" si="14"/>
        <v>16207362.551927542</v>
      </c>
      <c r="GF20" s="92">
        <f t="shared" si="14"/>
        <v>16207362.551927542</v>
      </c>
      <c r="GG20" s="92">
        <f t="shared" si="14"/>
        <v>41777122.551927544</v>
      </c>
      <c r="GH20" s="92">
        <f t="shared" si="14"/>
        <v>16207362.551927542</v>
      </c>
      <c r="GI20" s="92">
        <f t="shared" si="14"/>
        <v>16207362.551927542</v>
      </c>
      <c r="GJ20" s="92">
        <f t="shared" ref="GJ20:IH20" si="15">GJ18+GJ14+GJ11</f>
        <v>16207362.551927542</v>
      </c>
      <c r="GK20" s="92">
        <f t="shared" si="15"/>
        <v>16207362.551927542</v>
      </c>
      <c r="GL20" s="92">
        <f t="shared" si="15"/>
        <v>16207362.551927542</v>
      </c>
      <c r="GM20" s="92">
        <f t="shared" si="15"/>
        <v>15481645.071897555</v>
      </c>
      <c r="GN20" s="92">
        <f t="shared" si="15"/>
        <v>15961972.785992295</v>
      </c>
      <c r="GO20" s="92">
        <f t="shared" si="15"/>
        <v>15961972.785992295</v>
      </c>
      <c r="GP20" s="92">
        <f t="shared" si="15"/>
        <v>15961972.785992295</v>
      </c>
      <c r="GQ20" s="92">
        <f t="shared" si="15"/>
        <v>15961972.785992295</v>
      </c>
      <c r="GR20" s="92">
        <f t="shared" si="15"/>
        <v>15961972.785992295</v>
      </c>
      <c r="GS20" s="92">
        <f t="shared" si="15"/>
        <v>15961972.785992295</v>
      </c>
      <c r="GT20" s="92">
        <f t="shared" si="15"/>
        <v>15961972.785992295</v>
      </c>
      <c r="GU20" s="92">
        <f t="shared" si="15"/>
        <v>15961972.785992295</v>
      </c>
      <c r="GV20" s="92">
        <f t="shared" si="15"/>
        <v>15961972.785992295</v>
      </c>
      <c r="GW20" s="92">
        <f t="shared" si="15"/>
        <v>15961972.785992295</v>
      </c>
      <c r="GX20" s="92">
        <f t="shared" si="15"/>
        <v>15961972.785992295</v>
      </c>
      <c r="GY20" s="92">
        <f t="shared" si="15"/>
        <v>15976070.429172594</v>
      </c>
      <c r="GZ20" s="92">
        <f t="shared" si="15"/>
        <v>15922029.463648397</v>
      </c>
      <c r="HA20" s="92">
        <f t="shared" si="15"/>
        <v>15922029.463648397</v>
      </c>
      <c r="HB20" s="92">
        <f t="shared" si="15"/>
        <v>15922029.463648397</v>
      </c>
      <c r="HC20" s="92">
        <f t="shared" si="15"/>
        <v>15922029.463648397</v>
      </c>
      <c r="HD20" s="92">
        <f t="shared" si="15"/>
        <v>15922029.463648397</v>
      </c>
      <c r="HE20" s="92">
        <f t="shared" si="15"/>
        <v>15922029.463648397</v>
      </c>
      <c r="HF20" s="92">
        <f t="shared" si="15"/>
        <v>15922029.463648397</v>
      </c>
      <c r="HG20" s="92">
        <f t="shared" si="15"/>
        <v>15922029.463648397</v>
      </c>
      <c r="HH20" s="92">
        <f t="shared" si="15"/>
        <v>15922029.463648397</v>
      </c>
      <c r="HI20" s="92">
        <f t="shared" si="15"/>
        <v>15922029.463648397</v>
      </c>
      <c r="HJ20" s="92">
        <f t="shared" si="15"/>
        <v>15922029.463648397</v>
      </c>
      <c r="HK20" s="92">
        <f t="shared" si="15"/>
        <v>16045253.286038136</v>
      </c>
      <c r="HL20" s="92">
        <f t="shared" si="15"/>
        <v>16579621.96565683</v>
      </c>
      <c r="HM20" s="92">
        <f t="shared" si="15"/>
        <v>16579621.96565683</v>
      </c>
      <c r="HN20" s="92">
        <f t="shared" si="15"/>
        <v>16579621.96565683</v>
      </c>
      <c r="HO20" s="92">
        <f t="shared" si="15"/>
        <v>16579621.96565683</v>
      </c>
      <c r="HP20" s="92">
        <f t="shared" si="15"/>
        <v>16579621.96565683</v>
      </c>
      <c r="HQ20" s="92">
        <f t="shared" si="15"/>
        <v>16579621.96565683</v>
      </c>
      <c r="HR20" s="92">
        <f t="shared" si="15"/>
        <v>16579621.96565683</v>
      </c>
      <c r="HS20" s="92">
        <f t="shared" si="15"/>
        <v>16579621.96565683</v>
      </c>
      <c r="HT20" s="92">
        <f t="shared" si="15"/>
        <v>16579621.96565683</v>
      </c>
      <c r="HU20" s="92">
        <f t="shared" si="15"/>
        <v>16579621.96565683</v>
      </c>
      <c r="HV20" s="92">
        <f t="shared" si="15"/>
        <v>16579621.96565683</v>
      </c>
      <c r="HW20" s="92">
        <f t="shared" si="15"/>
        <v>16579621.96565683</v>
      </c>
      <c r="HX20" s="92">
        <f t="shared" si="15"/>
        <v>16579621.96565683</v>
      </c>
      <c r="HY20" s="92">
        <f t="shared" si="15"/>
        <v>16579621.96565683</v>
      </c>
      <c r="HZ20" s="92">
        <f t="shared" si="15"/>
        <v>16579621.96565683</v>
      </c>
      <c r="IA20" s="92">
        <f t="shared" si="15"/>
        <v>16579621.96565683</v>
      </c>
      <c r="IB20" s="92">
        <f t="shared" si="15"/>
        <v>16579621.96565683</v>
      </c>
      <c r="IC20" s="92">
        <f t="shared" si="15"/>
        <v>16579621.96565683</v>
      </c>
      <c r="ID20" s="92">
        <f t="shared" si="15"/>
        <v>16579621.96565683</v>
      </c>
      <c r="IE20" s="92">
        <f t="shared" si="15"/>
        <v>16579621.96565683</v>
      </c>
      <c r="IF20" s="92">
        <f t="shared" si="15"/>
        <v>16579621.96565683</v>
      </c>
      <c r="IG20" s="92">
        <f t="shared" si="15"/>
        <v>16579621.96565683</v>
      </c>
      <c r="IH20" s="92">
        <f t="shared" si="15"/>
        <v>16579621.96565683</v>
      </c>
    </row>
    <row r="21" spans="1:242" ht="15" thickTop="1" thickBot="1" x14ac:dyDescent="0.5">
      <c r="A21" s="895"/>
      <c r="B21" s="896"/>
    </row>
    <row r="22" spans="1:242" ht="15" thickTop="1" thickBot="1" x14ac:dyDescent="0.5">
      <c r="A22" s="888" t="s">
        <v>311</v>
      </c>
      <c r="B22" s="889"/>
      <c r="C22" s="91">
        <v>0</v>
      </c>
      <c r="D22" s="91">
        <f>C24</f>
        <v>1099869345.3716428</v>
      </c>
      <c r="E22" s="91">
        <f t="shared" ref="E22:BP22" si="16">D24</f>
        <v>1098952869.1721928</v>
      </c>
      <c r="F22" s="91">
        <f t="shared" si="16"/>
        <v>1098476267.9727428</v>
      </c>
      <c r="G22" s="91">
        <f t="shared" si="16"/>
        <v>1097999666.7732928</v>
      </c>
      <c r="H22" s="91">
        <f t="shared" si="16"/>
        <v>1097523065.5738428</v>
      </c>
      <c r="I22" s="91">
        <f t="shared" si="16"/>
        <v>1097046464.3743927</v>
      </c>
      <c r="J22" s="91">
        <f t="shared" si="16"/>
        <v>1186977560.6469178</v>
      </c>
      <c r="K22" s="91">
        <f t="shared" si="16"/>
        <v>1231704808.1834552</v>
      </c>
      <c r="L22" s="91">
        <f t="shared" si="16"/>
        <v>1231228206.9840052</v>
      </c>
      <c r="M22" s="91">
        <f t="shared" si="16"/>
        <v>1275955454.5205429</v>
      </c>
      <c r="N22" s="91">
        <f t="shared" si="16"/>
        <v>1275478853.3210928</v>
      </c>
      <c r="O22" s="91">
        <f t="shared" si="16"/>
        <v>1320206100.8576303</v>
      </c>
      <c r="P22" s="91">
        <f t="shared" si="16"/>
        <v>1545769743.3381178</v>
      </c>
      <c r="Q22" s="91">
        <f t="shared" si="16"/>
        <v>1545089027.4720013</v>
      </c>
      <c r="R22" s="91">
        <f t="shared" si="16"/>
        <v>1544569311.6058846</v>
      </c>
      <c r="S22" s="91">
        <f t="shared" si="16"/>
        <v>1544049595.739768</v>
      </c>
      <c r="T22" s="91">
        <f t="shared" si="16"/>
        <v>1543529879.8736513</v>
      </c>
      <c r="U22" s="91">
        <f t="shared" si="16"/>
        <v>1543010164.0075347</v>
      </c>
      <c r="V22" s="91">
        <f t="shared" si="16"/>
        <v>1632898145.6133931</v>
      </c>
      <c r="W22" s="91">
        <f t="shared" si="16"/>
        <v>1632378429.7472763</v>
      </c>
      <c r="X22" s="91">
        <f t="shared" si="16"/>
        <v>1677062562.6171472</v>
      </c>
      <c r="Y22" s="91">
        <f t="shared" si="16"/>
        <v>1721746695.4870181</v>
      </c>
      <c r="Z22" s="91">
        <f t="shared" si="16"/>
        <v>1721226979.6209016</v>
      </c>
      <c r="AA22" s="91">
        <f t="shared" si="16"/>
        <v>1765911112.4907725</v>
      </c>
      <c r="AB22" s="91">
        <f t="shared" si="16"/>
        <v>1767206505.0412314</v>
      </c>
      <c r="AC22" s="91">
        <f t="shared" si="16"/>
        <v>1771483959.1596758</v>
      </c>
      <c r="AD22" s="91">
        <f t="shared" si="16"/>
        <v>1775761413.2781203</v>
      </c>
      <c r="AE22" s="91">
        <f t="shared" si="16"/>
        <v>1780038867.3965647</v>
      </c>
      <c r="AF22" s="91">
        <f t="shared" si="16"/>
        <v>1784316321.5150092</v>
      </c>
      <c r="AG22" s="91">
        <f t="shared" si="16"/>
        <v>1788593775.6334536</v>
      </c>
      <c r="AH22" s="91">
        <f t="shared" si="16"/>
        <v>1792871229.7518981</v>
      </c>
      <c r="AI22" s="91">
        <f t="shared" si="16"/>
        <v>1797148683.8703425</v>
      </c>
      <c r="AJ22" s="91">
        <f t="shared" si="16"/>
        <v>1801426137.9887869</v>
      </c>
      <c r="AK22" s="91">
        <f t="shared" si="16"/>
        <v>1805703592.1072314</v>
      </c>
      <c r="AL22" s="91">
        <f t="shared" si="16"/>
        <v>1809981046.2256758</v>
      </c>
      <c r="AM22" s="91">
        <f t="shared" si="16"/>
        <v>1814258500.3441203</v>
      </c>
      <c r="AN22" s="91">
        <f t="shared" si="16"/>
        <v>1819654686.5003917</v>
      </c>
      <c r="AO22" s="91">
        <f t="shared" si="16"/>
        <v>1827549374.2078102</v>
      </c>
      <c r="AP22" s="91">
        <f t="shared" si="16"/>
        <v>1835444061.9152288</v>
      </c>
      <c r="AQ22" s="91">
        <f t="shared" si="16"/>
        <v>1843338749.6226473</v>
      </c>
      <c r="AR22" s="91">
        <f t="shared" si="16"/>
        <v>1851233437.330066</v>
      </c>
      <c r="AS22" s="91">
        <f t="shared" si="16"/>
        <v>1859128125.0374844</v>
      </c>
      <c r="AT22" s="91">
        <f t="shared" si="16"/>
        <v>1867022812.7449028</v>
      </c>
      <c r="AU22" s="91">
        <f t="shared" si="16"/>
        <v>1874917500.4523213</v>
      </c>
      <c r="AV22" s="91">
        <f t="shared" si="16"/>
        <v>1882812188.1597397</v>
      </c>
      <c r="AW22" s="91">
        <f t="shared" si="16"/>
        <v>1890706875.8671582</v>
      </c>
      <c r="AX22" s="91">
        <f t="shared" si="16"/>
        <v>1898601563.5745769</v>
      </c>
      <c r="AY22" s="91">
        <f t="shared" si="16"/>
        <v>1906496251.2819955</v>
      </c>
      <c r="AZ22" s="91">
        <f t="shared" si="16"/>
        <v>1915202254.2745368</v>
      </c>
      <c r="BA22" s="91">
        <f t="shared" si="16"/>
        <v>1926842253.0113819</v>
      </c>
      <c r="BB22" s="91">
        <f t="shared" si="16"/>
        <v>1938477043.007925</v>
      </c>
      <c r="BC22" s="91">
        <f t="shared" si="16"/>
        <v>1950106596.0501566</v>
      </c>
      <c r="BD22" s="91">
        <f t="shared" si="16"/>
        <v>1961730883.7712407</v>
      </c>
      <c r="BE22" s="91">
        <f t="shared" si="16"/>
        <v>1973349877.6506879</v>
      </c>
      <c r="BF22" s="91">
        <f t="shared" si="16"/>
        <v>1984963549.0135226</v>
      </c>
      <c r="BG22" s="91">
        <f t="shared" si="16"/>
        <v>1996571869.0294464</v>
      </c>
      <c r="BH22" s="91">
        <f t="shared" si="16"/>
        <v>2008174808.7119968</v>
      </c>
      <c r="BI22" s="91">
        <f t="shared" si="16"/>
        <v>2019772338.9177015</v>
      </c>
      <c r="BJ22" s="91">
        <f t="shared" si="16"/>
        <v>2031364430.3452272</v>
      </c>
      <c r="BK22" s="91">
        <f t="shared" si="16"/>
        <v>2042951053.5345261</v>
      </c>
      <c r="BL22" s="91">
        <f t="shared" si="16"/>
        <v>2064985894.6280653</v>
      </c>
      <c r="BM22" s="91">
        <f t="shared" si="16"/>
        <v>2078982778.0552187</v>
      </c>
      <c r="BN22" s="91">
        <f t="shared" si="16"/>
        <v>2092974103.9030857</v>
      </c>
      <c r="BO22" s="91">
        <f t="shared" si="16"/>
        <v>2112959842.0681121</v>
      </c>
      <c r="BP22" s="91">
        <f t="shared" si="16"/>
        <v>2126939962.2836823</v>
      </c>
      <c r="BQ22" s="91">
        <f t="shared" ref="BQ22:EB22" si="17">BP24</f>
        <v>2140914434.1192369</v>
      </c>
      <c r="BR22" s="91">
        <f t="shared" si="17"/>
        <v>2158883226.9793839</v>
      </c>
      <c r="BS22" s="91">
        <f t="shared" si="17"/>
        <v>2172846310.1030068</v>
      </c>
      <c r="BT22" s="91">
        <f t="shared" si="17"/>
        <v>2186803652.562366</v>
      </c>
      <c r="BU22" s="91">
        <f t="shared" si="17"/>
        <v>2200755223.2621965</v>
      </c>
      <c r="BV22" s="91">
        <f t="shared" si="17"/>
        <v>2214700990.9388013</v>
      </c>
      <c r="BW22" s="91">
        <f t="shared" si="17"/>
        <v>2228640924.1591377</v>
      </c>
      <c r="BX22" s="91">
        <f t="shared" si="17"/>
        <v>2242815695.5021257</v>
      </c>
      <c r="BY22" s="91">
        <f t="shared" si="17"/>
        <v>2257068596.3113022</v>
      </c>
      <c r="BZ22" s="91">
        <f t="shared" si="17"/>
        <v>2271315567.3398151</v>
      </c>
      <c r="CA22" s="91">
        <f t="shared" si="17"/>
        <v>2285556576.468019</v>
      </c>
      <c r="CB22" s="91">
        <f t="shared" si="17"/>
        <v>2299791591.402287</v>
      </c>
      <c r="CC22" s="91">
        <f t="shared" si="17"/>
        <v>2314020579.6740694</v>
      </c>
      <c r="CD22" s="91">
        <f t="shared" si="17"/>
        <v>2328243508.6389437</v>
      </c>
      <c r="CE22" s="91">
        <f t="shared" si="17"/>
        <v>2342460345.4756641</v>
      </c>
      <c r="CF22" s="91">
        <f t="shared" si="17"/>
        <v>2356671057.1852036</v>
      </c>
      <c r="CG22" s="91">
        <f t="shared" si="17"/>
        <v>2370875610.5897894</v>
      </c>
      <c r="CH22" s="91">
        <f t="shared" si="17"/>
        <v>2385073972.3319368</v>
      </c>
      <c r="CI22" s="91">
        <f t="shared" si="17"/>
        <v>2399266108.8734741</v>
      </c>
      <c r="CJ22" s="91">
        <f t="shared" si="17"/>
        <v>2413451986.4945645</v>
      </c>
      <c r="CK22" s="91">
        <f t="shared" si="17"/>
        <v>2427631571.2927227</v>
      </c>
      <c r="CL22" s="91">
        <f t="shared" si="17"/>
        <v>2441804829.1818242</v>
      </c>
      <c r="CM22" s="91">
        <f t="shared" si="17"/>
        <v>2455971725.8911114</v>
      </c>
      <c r="CN22" s="91">
        <f t="shared" si="17"/>
        <v>2470132226.9641933</v>
      </c>
      <c r="CO22" s="91">
        <f t="shared" si="17"/>
        <v>2484300395.4012218</v>
      </c>
      <c r="CP22" s="91">
        <f t="shared" si="17"/>
        <v>2498408057.7628126</v>
      </c>
      <c r="CQ22" s="91">
        <f t="shared" si="17"/>
        <v>2512509219.9951448</v>
      </c>
      <c r="CR22" s="91">
        <f t="shared" si="17"/>
        <v>2526603846.889185</v>
      </c>
      <c r="CS22" s="91">
        <f t="shared" si="17"/>
        <v>2540691903.0451837</v>
      </c>
      <c r="CT22" s="91">
        <f t="shared" si="17"/>
        <v>2554773352.8716431</v>
      </c>
      <c r="CU22" s="91">
        <f t="shared" si="17"/>
        <v>2568848160.5842781</v>
      </c>
      <c r="CV22" s="91">
        <f t="shared" si="17"/>
        <v>2583053611.6705427</v>
      </c>
      <c r="CW22" s="91">
        <f t="shared" si="17"/>
        <v>2597732676.2059636</v>
      </c>
      <c r="CX22" s="91">
        <f t="shared" si="17"/>
        <v>2612404990.1075106</v>
      </c>
      <c r="CY22" s="91">
        <f t="shared" si="17"/>
        <v>2627070516.8092504</v>
      </c>
      <c r="CZ22" s="91">
        <f t="shared" si="17"/>
        <v>2641729219.547184</v>
      </c>
      <c r="DA22" s="91">
        <f t="shared" si="17"/>
        <v>2656381061.3581738</v>
      </c>
      <c r="DB22" s="91">
        <f t="shared" si="17"/>
        <v>2671026005.0788665</v>
      </c>
      <c r="DC22" s="91">
        <f t="shared" si="17"/>
        <v>2685664013.3446059</v>
      </c>
      <c r="DD22" s="91">
        <f t="shared" si="17"/>
        <v>2700295048.5883436</v>
      </c>
      <c r="DE22" s="91">
        <f t="shared" si="17"/>
        <v>2714919073.0395446</v>
      </c>
      <c r="DF22" s="91">
        <f t="shared" si="17"/>
        <v>2729536048.7230821</v>
      </c>
      <c r="DG22" s="91">
        <f t="shared" si="17"/>
        <v>2744145937.4581318</v>
      </c>
      <c r="DH22" s="91">
        <f t="shared" si="17"/>
        <v>2758762798.5002356</v>
      </c>
      <c r="DI22" s="91">
        <f t="shared" si="17"/>
        <v>2773318454.6451192</v>
      </c>
      <c r="DJ22" s="91">
        <f t="shared" si="17"/>
        <v>2787866908.0536761</v>
      </c>
      <c r="DK22" s="91">
        <f t="shared" si="17"/>
        <v>2802408119.7110848</v>
      </c>
      <c r="DL22" s="91">
        <f t="shared" si="17"/>
        <v>2816942050.3911934</v>
      </c>
      <c r="DM22" s="91">
        <f t="shared" si="17"/>
        <v>2831468660.6553745</v>
      </c>
      <c r="DN22" s="91">
        <f t="shared" si="17"/>
        <v>2845987910.8513761</v>
      </c>
      <c r="DO22" s="91">
        <f t="shared" si="17"/>
        <v>2860499761.1121612</v>
      </c>
      <c r="DP22" s="91">
        <f t="shared" si="17"/>
        <v>2875004171.3547478</v>
      </c>
      <c r="DQ22" s="91">
        <f t="shared" si="17"/>
        <v>2889501101.279037</v>
      </c>
      <c r="DR22" s="91">
        <f t="shared" si="17"/>
        <v>2903990510.3666382</v>
      </c>
      <c r="DS22" s="91">
        <f t="shared" si="17"/>
        <v>2918472357.8796864</v>
      </c>
      <c r="DT22" s="91">
        <f t="shared" si="17"/>
        <v>2948083924.3252215</v>
      </c>
      <c r="DU22" s="91">
        <f t="shared" si="17"/>
        <v>2963175818.4848518</v>
      </c>
      <c r="DV22" s="91">
        <f t="shared" si="17"/>
        <v>2978267712.6444821</v>
      </c>
      <c r="DW22" s="91">
        <f t="shared" si="17"/>
        <v>3004359606.8041124</v>
      </c>
      <c r="DX22" s="91">
        <f t="shared" si="17"/>
        <v>3019451500.9637427</v>
      </c>
      <c r="DY22" s="91">
        <f t="shared" si="17"/>
        <v>3034543395.123373</v>
      </c>
      <c r="DZ22" s="91">
        <f t="shared" si="17"/>
        <v>3058635289.2830033</v>
      </c>
      <c r="EA22" s="91">
        <f t="shared" si="17"/>
        <v>3073727183.4426336</v>
      </c>
      <c r="EB22" s="91">
        <f t="shared" si="17"/>
        <v>3088819077.6022639</v>
      </c>
      <c r="EC22" s="91">
        <f t="shared" ref="EC22:FZ22" si="18">EB24</f>
        <v>3103910971.7618942</v>
      </c>
      <c r="ED22" s="91">
        <f t="shared" si="18"/>
        <v>3119002865.9215245</v>
      </c>
      <c r="EE22" s="91">
        <f t="shared" si="18"/>
        <v>3134094760.0811548</v>
      </c>
      <c r="EF22" s="91">
        <f t="shared" si="18"/>
        <v>3149200751.8839655</v>
      </c>
      <c r="EG22" s="91">
        <f t="shared" si="18"/>
        <v>3164252702.721252</v>
      </c>
      <c r="EH22" s="91">
        <f t="shared" si="18"/>
        <v>3179304653.5585384</v>
      </c>
      <c r="EI22" s="91">
        <f t="shared" si="18"/>
        <v>3194356604.3958249</v>
      </c>
      <c r="EJ22" s="91">
        <f t="shared" si="18"/>
        <v>3209408555.2331114</v>
      </c>
      <c r="EK22" s="91">
        <f t="shared" si="18"/>
        <v>3224460506.0703979</v>
      </c>
      <c r="EL22" s="91">
        <f t="shared" si="18"/>
        <v>3244512456.9076843</v>
      </c>
      <c r="EM22" s="91">
        <f t="shared" si="18"/>
        <v>3259564407.7449708</v>
      </c>
      <c r="EN22" s="91">
        <f t="shared" si="18"/>
        <v>3274616358.5822573</v>
      </c>
      <c r="EO22" s="91">
        <f t="shared" si="18"/>
        <v>3289668309.4195437</v>
      </c>
      <c r="EP22" s="91">
        <f t="shared" si="18"/>
        <v>3304720260.2568302</v>
      </c>
      <c r="EQ22" s="91">
        <f t="shared" si="18"/>
        <v>3329772211.0941167</v>
      </c>
      <c r="ER22" s="91">
        <f t="shared" si="18"/>
        <v>3344961483.3969727</v>
      </c>
      <c r="ES22" s="91">
        <f t="shared" si="18"/>
        <v>3360631083.4139233</v>
      </c>
      <c r="ET22" s="91">
        <f t="shared" si="18"/>
        <v>3376300683.4308739</v>
      </c>
      <c r="EU22" s="91">
        <f t="shared" si="18"/>
        <v>3391970283.4478245</v>
      </c>
      <c r="EV22" s="91">
        <f t="shared" si="18"/>
        <v>3407639883.4647751</v>
      </c>
      <c r="EW22" s="91">
        <f t="shared" si="18"/>
        <v>3423309483.4817257</v>
      </c>
      <c r="EX22" s="91">
        <f t="shared" si="18"/>
        <v>3438979083.4986763</v>
      </c>
      <c r="EY22" s="91">
        <f t="shared" si="18"/>
        <v>3454648683.5156269</v>
      </c>
      <c r="EZ22" s="91">
        <f t="shared" si="18"/>
        <v>3470318283.5325775</v>
      </c>
      <c r="FA22" s="91">
        <f t="shared" si="18"/>
        <v>3490987883.5495281</v>
      </c>
      <c r="FB22" s="91">
        <f t="shared" si="18"/>
        <v>3506657483.5664787</v>
      </c>
      <c r="FC22" s="91">
        <f t="shared" si="18"/>
        <v>3522327083.5834293</v>
      </c>
      <c r="FD22" s="91">
        <f t="shared" si="18"/>
        <v>3538010781.2435603</v>
      </c>
      <c r="FE22" s="91">
        <f t="shared" si="18"/>
        <v>3553640437.9381671</v>
      </c>
      <c r="FF22" s="91">
        <f t="shared" si="18"/>
        <v>3569270094.6327739</v>
      </c>
      <c r="FG22" s="91">
        <f t="shared" si="18"/>
        <v>3584899751.3273807</v>
      </c>
      <c r="FH22" s="91">
        <f t="shared" si="18"/>
        <v>3600529408.0219874</v>
      </c>
      <c r="FI22" s="91">
        <f t="shared" si="18"/>
        <v>3626159064.7165942</v>
      </c>
      <c r="FJ22" s="91">
        <f t="shared" si="18"/>
        <v>3641788721.411201</v>
      </c>
      <c r="FK22" s="91">
        <f t="shared" si="18"/>
        <v>3657418378.1058078</v>
      </c>
      <c r="FL22" s="91">
        <f t="shared" si="18"/>
        <v>3673048034.8004146</v>
      </c>
      <c r="FM22" s="91">
        <f t="shared" si="18"/>
        <v>3688677691.4950213</v>
      </c>
      <c r="FN22" s="91">
        <f t="shared" si="18"/>
        <v>3704307348.1896281</v>
      </c>
      <c r="FO22" s="91">
        <f t="shared" si="18"/>
        <v>3719937004.8842349</v>
      </c>
      <c r="FP22" s="91">
        <f t="shared" si="18"/>
        <v>3735703983.0444117</v>
      </c>
      <c r="FQ22" s="91">
        <f t="shared" si="18"/>
        <v>3751951288.9186831</v>
      </c>
      <c r="FR22" s="91">
        <f t="shared" si="18"/>
        <v>3768198594.7929544</v>
      </c>
      <c r="FS22" s="91">
        <f t="shared" si="18"/>
        <v>3784445900.6672258</v>
      </c>
      <c r="FT22" s="91">
        <f t="shared" si="18"/>
        <v>3800693206.5414972</v>
      </c>
      <c r="FU22" s="91">
        <f t="shared" si="18"/>
        <v>3816940512.4157686</v>
      </c>
      <c r="FV22" s="91">
        <f t="shared" si="18"/>
        <v>3833187818.29004</v>
      </c>
      <c r="FW22" s="91">
        <f t="shared" si="18"/>
        <v>3849435124.1643114</v>
      </c>
      <c r="FX22" s="91">
        <f t="shared" si="18"/>
        <v>3865682430.0385828</v>
      </c>
      <c r="FY22" s="91">
        <f t="shared" si="18"/>
        <v>3881929735.9128542</v>
      </c>
      <c r="FZ22" s="91">
        <f t="shared" si="18"/>
        <v>3898177041.7871256</v>
      </c>
      <c r="GA22" s="91">
        <f t="shared" ref="GA22" si="19">FZ24</f>
        <v>3914424347.661397</v>
      </c>
      <c r="GB22" s="91">
        <f t="shared" ref="GB22" si="20">GA24</f>
        <v>3940685751.1788487</v>
      </c>
      <c r="GC22" s="91">
        <f t="shared" ref="GC22" si="21">GB24</f>
        <v>3956893113.7307763</v>
      </c>
      <c r="GD22" s="91">
        <f t="shared" ref="GD22" si="22">GC24</f>
        <v>3973100476.2827039</v>
      </c>
      <c r="GE22" s="91">
        <f t="shared" ref="GE22" si="23">GD24</f>
        <v>4000307838.8346314</v>
      </c>
      <c r="GF22" s="91">
        <f t="shared" ref="GF22" si="24">GE24</f>
        <v>4016515201.386559</v>
      </c>
      <c r="GG22" s="91">
        <f t="shared" ref="GG22" si="25">GF24</f>
        <v>4032722563.9384866</v>
      </c>
      <c r="GH22" s="91">
        <f t="shared" ref="GH22" si="26">GG24</f>
        <v>4074499686.4904141</v>
      </c>
      <c r="GI22" s="91">
        <f t="shared" ref="GI22" si="27">GH24</f>
        <v>4090707049.0423417</v>
      </c>
      <c r="GJ22" s="91">
        <f t="shared" ref="GJ22" si="28">GI24</f>
        <v>4106914411.5942693</v>
      </c>
      <c r="GK22" s="91">
        <f t="shared" ref="GK22" si="29">GJ24</f>
        <v>4123121774.1461968</v>
      </c>
      <c r="GL22" s="91">
        <f t="shared" ref="GL22" si="30">GK24</f>
        <v>4139329136.6981244</v>
      </c>
      <c r="GM22" s="91">
        <f t="shared" ref="GM22" si="31">GL24</f>
        <v>4155536499.250052</v>
      </c>
      <c r="GN22" s="91">
        <f t="shared" ref="GN22" si="32">GM24</f>
        <v>4171018144.3219495</v>
      </c>
      <c r="GO22" s="91">
        <f t="shared" ref="GO22" si="33">GN24</f>
        <v>4186980117.1079416</v>
      </c>
      <c r="GP22" s="91">
        <f t="shared" ref="GP22" si="34">GO24</f>
        <v>4202942089.8939338</v>
      </c>
      <c r="GQ22" s="91">
        <f t="shared" ref="GQ22" si="35">GP24</f>
        <v>4218904062.6799259</v>
      </c>
      <c r="GR22" s="91">
        <f t="shared" ref="GR22" si="36">GQ24</f>
        <v>4234866035.4659181</v>
      </c>
      <c r="GS22" s="91">
        <f t="shared" ref="GS22" si="37">GR24</f>
        <v>4250828008.2519102</v>
      </c>
      <c r="GT22" s="91">
        <f t="shared" ref="GT22" si="38">GS24</f>
        <v>4266789981.0379024</v>
      </c>
      <c r="GU22" s="91">
        <f t="shared" ref="GU22" si="39">GT24</f>
        <v>4282751953.8238945</v>
      </c>
      <c r="GV22" s="91">
        <f t="shared" ref="GV22" si="40">GU24</f>
        <v>4298713926.6098871</v>
      </c>
      <c r="GW22" s="91">
        <f t="shared" ref="GW22" si="41">GV24</f>
        <v>4314675899.3958797</v>
      </c>
      <c r="GX22" s="91">
        <f t="shared" ref="GX22" si="42">GW24</f>
        <v>4330637872.1818724</v>
      </c>
      <c r="GY22" s="91">
        <f t="shared" ref="GY22" si="43">GX24</f>
        <v>4346599844.967865</v>
      </c>
      <c r="GZ22" s="91">
        <f t="shared" ref="GZ22" si="44">GY24</f>
        <v>4362575915.3970375</v>
      </c>
      <c r="HA22" s="91">
        <f t="shared" ref="HA22" si="45">GZ24</f>
        <v>4378497944.8606863</v>
      </c>
      <c r="HB22" s="91">
        <f t="shared" ref="HB22" si="46">HA24</f>
        <v>4394419974.3243351</v>
      </c>
      <c r="HC22" s="91">
        <f t="shared" ref="HC22" si="47">HB24</f>
        <v>4410342003.7879839</v>
      </c>
      <c r="HD22" s="91">
        <f t="shared" ref="HD22" si="48">HC24</f>
        <v>4426264033.2516327</v>
      </c>
      <c r="HE22" s="91">
        <f t="shared" ref="HE22" si="49">HD24</f>
        <v>4442186062.7152815</v>
      </c>
      <c r="HF22" s="91">
        <f t="shared" ref="HF22" si="50">HE24</f>
        <v>4458108092.1789303</v>
      </c>
      <c r="HG22" s="91">
        <f t="shared" ref="HG22" si="51">HF24</f>
        <v>4474030121.6425791</v>
      </c>
      <c r="HH22" s="91">
        <f t="shared" ref="HH22" si="52">HG24</f>
        <v>4489952151.1062279</v>
      </c>
      <c r="HI22" s="91">
        <f t="shared" ref="HI22" si="53">HH24</f>
        <v>4505874180.5698767</v>
      </c>
      <c r="HJ22" s="91">
        <f t="shared" ref="HJ22" si="54">HI24</f>
        <v>4521796210.0335255</v>
      </c>
      <c r="HK22" s="91">
        <f t="shared" ref="HK22" si="55">HJ24</f>
        <v>4537718239.4971743</v>
      </c>
      <c r="HL22" s="91">
        <f t="shared" ref="HL22" si="56">HK24</f>
        <v>4553763492.7832127</v>
      </c>
      <c r="HM22" s="91">
        <f t="shared" ref="HM22" si="57">HL24</f>
        <v>4570343114.7488699</v>
      </c>
      <c r="HN22" s="91">
        <f t="shared" ref="HN22" si="58">HM24</f>
        <v>4586922736.7145271</v>
      </c>
      <c r="HO22" s="91">
        <f t="shared" ref="HO22" si="59">HN24</f>
        <v>4603502358.6801844</v>
      </c>
      <c r="HP22" s="91">
        <f t="shared" ref="HP22" si="60">HO24</f>
        <v>4620081980.6458416</v>
      </c>
      <c r="HQ22" s="91">
        <f t="shared" ref="HQ22" si="61">HP24</f>
        <v>4636661602.6114988</v>
      </c>
      <c r="HR22" s="91">
        <f t="shared" ref="HR22" si="62">HQ24</f>
        <v>4653241224.5771561</v>
      </c>
      <c r="HS22" s="91">
        <f t="shared" ref="HS22" si="63">HR24</f>
        <v>4669820846.5428133</v>
      </c>
      <c r="HT22" s="91">
        <f t="shared" ref="HT22" si="64">HS24</f>
        <v>4686400468.5084705</v>
      </c>
      <c r="HU22" s="91">
        <f t="shared" ref="HU22" si="65">HT24</f>
        <v>4702980090.4741278</v>
      </c>
      <c r="HV22" s="91">
        <f t="shared" ref="HV22" si="66">HU24</f>
        <v>4719559712.439785</v>
      </c>
      <c r="HW22" s="91">
        <f t="shared" ref="HW22" si="67">HV24</f>
        <v>4736139334.4054422</v>
      </c>
      <c r="HX22" s="91">
        <f t="shared" ref="HX22" si="68">HW24</f>
        <v>4752718956.3710995</v>
      </c>
      <c r="HY22" s="91">
        <f t="shared" ref="HY22" si="69">HX24</f>
        <v>4769298578.3367567</v>
      </c>
      <c r="HZ22" s="91">
        <f t="shared" ref="HZ22" si="70">HY24</f>
        <v>4785878200.3024139</v>
      </c>
      <c r="IA22" s="91">
        <f t="shared" ref="IA22" si="71">HZ24</f>
        <v>4802457822.2680712</v>
      </c>
      <c r="IB22" s="91">
        <f t="shared" ref="IB22" si="72">IA24</f>
        <v>4819037444.2337284</v>
      </c>
      <c r="IC22" s="91">
        <f t="shared" ref="IC22" si="73">IB24</f>
        <v>4835617066.1993856</v>
      </c>
      <c r="ID22" s="91">
        <f t="shared" ref="ID22" si="74">IC24</f>
        <v>4852196688.1650429</v>
      </c>
      <c r="IE22" s="91">
        <f t="shared" ref="IE22" si="75">ID24</f>
        <v>4868776310.1307001</v>
      </c>
      <c r="IF22" s="91">
        <f t="shared" ref="IF22" si="76">IE24</f>
        <v>4885355932.0963573</v>
      </c>
      <c r="IG22" s="91">
        <f t="shared" ref="IG22" si="77">IF24</f>
        <v>4901935554.0620146</v>
      </c>
      <c r="IH22" s="91">
        <f t="shared" ref="IH22" si="78">IG24</f>
        <v>4918515176.0276718</v>
      </c>
    </row>
    <row r="23" spans="1:242" ht="15" thickTop="1" thickBot="1" x14ac:dyDescent="0.5">
      <c r="A23" s="895"/>
      <c r="B23" s="896"/>
    </row>
    <row r="24" spans="1:242" ht="15" thickTop="1" thickBot="1" x14ac:dyDescent="0.5">
      <c r="A24" s="888" t="s">
        <v>312</v>
      </c>
      <c r="B24" s="889"/>
      <c r="C24" s="91">
        <f>C22+C20</f>
        <v>1099869345.3716428</v>
      </c>
      <c r="D24" s="91">
        <f t="shared" ref="D24:BO24" si="79">D22+D20</f>
        <v>1098952869.1721928</v>
      </c>
      <c r="E24" s="91">
        <f t="shared" si="79"/>
        <v>1098476267.9727428</v>
      </c>
      <c r="F24" s="91">
        <f t="shared" si="79"/>
        <v>1097999666.7732928</v>
      </c>
      <c r="G24" s="91">
        <f t="shared" si="79"/>
        <v>1097523065.5738428</v>
      </c>
      <c r="H24" s="91">
        <f t="shared" si="79"/>
        <v>1097046464.3743927</v>
      </c>
      <c r="I24" s="91">
        <f t="shared" si="79"/>
        <v>1186977560.6469178</v>
      </c>
      <c r="J24" s="91">
        <f t="shared" si="79"/>
        <v>1231704808.1834552</v>
      </c>
      <c r="K24" s="91">
        <f t="shared" si="79"/>
        <v>1231228206.9840052</v>
      </c>
      <c r="L24" s="91">
        <f t="shared" si="79"/>
        <v>1275955454.5205429</v>
      </c>
      <c r="M24" s="91">
        <f t="shared" si="79"/>
        <v>1275478853.3210928</v>
      </c>
      <c r="N24" s="91">
        <f t="shared" si="79"/>
        <v>1320206100.8576303</v>
      </c>
      <c r="O24" s="91">
        <f t="shared" si="79"/>
        <v>1545769743.3381178</v>
      </c>
      <c r="P24" s="91">
        <f t="shared" si="79"/>
        <v>1545089027.4720013</v>
      </c>
      <c r="Q24" s="91">
        <f t="shared" si="79"/>
        <v>1544569311.6058846</v>
      </c>
      <c r="R24" s="91">
        <f t="shared" si="79"/>
        <v>1544049595.739768</v>
      </c>
      <c r="S24" s="91">
        <f t="shared" si="79"/>
        <v>1543529879.8736513</v>
      </c>
      <c r="T24" s="91">
        <f t="shared" si="79"/>
        <v>1543010164.0075347</v>
      </c>
      <c r="U24" s="91">
        <f t="shared" si="79"/>
        <v>1632898145.6133931</v>
      </c>
      <c r="V24" s="91">
        <f t="shared" si="79"/>
        <v>1632378429.7472763</v>
      </c>
      <c r="W24" s="91">
        <f t="shared" si="79"/>
        <v>1677062562.6171472</v>
      </c>
      <c r="X24" s="91">
        <f t="shared" si="79"/>
        <v>1721746695.4870181</v>
      </c>
      <c r="Y24" s="91">
        <f t="shared" si="79"/>
        <v>1721226979.6209016</v>
      </c>
      <c r="Z24" s="91">
        <f t="shared" si="79"/>
        <v>1765911112.4907725</v>
      </c>
      <c r="AA24" s="91">
        <f t="shared" si="79"/>
        <v>1767206505.0412314</v>
      </c>
      <c r="AB24" s="91">
        <f t="shared" si="79"/>
        <v>1771483959.1596758</v>
      </c>
      <c r="AC24" s="91">
        <f t="shared" si="79"/>
        <v>1775761413.2781203</v>
      </c>
      <c r="AD24" s="91">
        <f t="shared" si="79"/>
        <v>1780038867.3965647</v>
      </c>
      <c r="AE24" s="91">
        <f t="shared" si="79"/>
        <v>1784316321.5150092</v>
      </c>
      <c r="AF24" s="91">
        <f t="shared" si="79"/>
        <v>1788593775.6334536</v>
      </c>
      <c r="AG24" s="91">
        <f t="shared" si="79"/>
        <v>1792871229.7518981</v>
      </c>
      <c r="AH24" s="91">
        <f t="shared" si="79"/>
        <v>1797148683.8703425</v>
      </c>
      <c r="AI24" s="91">
        <f t="shared" si="79"/>
        <v>1801426137.9887869</v>
      </c>
      <c r="AJ24" s="91">
        <f t="shared" si="79"/>
        <v>1805703592.1072314</v>
      </c>
      <c r="AK24" s="91">
        <f t="shared" si="79"/>
        <v>1809981046.2256758</v>
      </c>
      <c r="AL24" s="91">
        <f t="shared" si="79"/>
        <v>1814258500.3441203</v>
      </c>
      <c r="AM24" s="91">
        <f t="shared" si="79"/>
        <v>1819654686.5003917</v>
      </c>
      <c r="AN24" s="91">
        <f t="shared" si="79"/>
        <v>1827549374.2078102</v>
      </c>
      <c r="AO24" s="91">
        <f t="shared" si="79"/>
        <v>1835444061.9152288</v>
      </c>
      <c r="AP24" s="91">
        <f t="shared" si="79"/>
        <v>1843338749.6226473</v>
      </c>
      <c r="AQ24" s="91">
        <f t="shared" si="79"/>
        <v>1851233437.330066</v>
      </c>
      <c r="AR24" s="91">
        <f t="shared" si="79"/>
        <v>1859128125.0374844</v>
      </c>
      <c r="AS24" s="91">
        <f t="shared" si="79"/>
        <v>1867022812.7449028</v>
      </c>
      <c r="AT24" s="91">
        <f t="shared" si="79"/>
        <v>1874917500.4523213</v>
      </c>
      <c r="AU24" s="91">
        <f t="shared" si="79"/>
        <v>1882812188.1597397</v>
      </c>
      <c r="AV24" s="91">
        <f t="shared" si="79"/>
        <v>1890706875.8671582</v>
      </c>
      <c r="AW24" s="91">
        <f t="shared" si="79"/>
        <v>1898601563.5745769</v>
      </c>
      <c r="AX24" s="91">
        <f t="shared" si="79"/>
        <v>1906496251.2819955</v>
      </c>
      <c r="AY24" s="91">
        <f t="shared" si="79"/>
        <v>1915202254.2745368</v>
      </c>
      <c r="AZ24" s="91">
        <f t="shared" si="79"/>
        <v>1926842253.0113819</v>
      </c>
      <c r="BA24" s="91">
        <f t="shared" si="79"/>
        <v>1938477043.007925</v>
      </c>
      <c r="BB24" s="91">
        <f t="shared" si="79"/>
        <v>1950106596.0501566</v>
      </c>
      <c r="BC24" s="91">
        <f t="shared" si="79"/>
        <v>1961730883.7712407</v>
      </c>
      <c r="BD24" s="91">
        <f t="shared" si="79"/>
        <v>1973349877.6506879</v>
      </c>
      <c r="BE24" s="91">
        <f t="shared" si="79"/>
        <v>1984963549.0135226</v>
      </c>
      <c r="BF24" s="91">
        <f t="shared" si="79"/>
        <v>1996571869.0294464</v>
      </c>
      <c r="BG24" s="91">
        <f t="shared" si="79"/>
        <v>2008174808.7119968</v>
      </c>
      <c r="BH24" s="91">
        <f t="shared" si="79"/>
        <v>2019772338.9177015</v>
      </c>
      <c r="BI24" s="91">
        <f t="shared" si="79"/>
        <v>2031364430.3452272</v>
      </c>
      <c r="BJ24" s="91">
        <f t="shared" si="79"/>
        <v>2042951053.5345261</v>
      </c>
      <c r="BK24" s="91">
        <f t="shared" si="79"/>
        <v>2064985894.6280653</v>
      </c>
      <c r="BL24" s="91">
        <f t="shared" si="79"/>
        <v>2078982778.0552187</v>
      </c>
      <c r="BM24" s="91">
        <f t="shared" si="79"/>
        <v>2092974103.9030857</v>
      </c>
      <c r="BN24" s="91">
        <f t="shared" si="79"/>
        <v>2112959842.0681121</v>
      </c>
      <c r="BO24" s="91">
        <f t="shared" si="79"/>
        <v>2126939962.2836823</v>
      </c>
      <c r="BP24" s="91">
        <f t="shared" ref="BP24:EA24" si="80">BP22+BP20</f>
        <v>2140914434.1192369</v>
      </c>
      <c r="BQ24" s="91">
        <f t="shared" si="80"/>
        <v>2158883226.9793839</v>
      </c>
      <c r="BR24" s="91">
        <f t="shared" si="80"/>
        <v>2172846310.1030068</v>
      </c>
      <c r="BS24" s="91">
        <f t="shared" si="80"/>
        <v>2186803652.562366</v>
      </c>
      <c r="BT24" s="91">
        <f t="shared" si="80"/>
        <v>2200755223.2621965</v>
      </c>
      <c r="BU24" s="91">
        <f t="shared" si="80"/>
        <v>2214700990.9388013</v>
      </c>
      <c r="BV24" s="91">
        <f t="shared" si="80"/>
        <v>2228640924.1591377</v>
      </c>
      <c r="BW24" s="91">
        <f t="shared" si="80"/>
        <v>2242815695.5021257</v>
      </c>
      <c r="BX24" s="91">
        <f t="shared" si="80"/>
        <v>2257068596.3113022</v>
      </c>
      <c r="BY24" s="91">
        <f t="shared" si="80"/>
        <v>2271315567.3398151</v>
      </c>
      <c r="BZ24" s="91">
        <f t="shared" si="80"/>
        <v>2285556576.468019</v>
      </c>
      <c r="CA24" s="91">
        <f t="shared" si="80"/>
        <v>2299791591.402287</v>
      </c>
      <c r="CB24" s="91">
        <f t="shared" si="80"/>
        <v>2314020579.6740694</v>
      </c>
      <c r="CC24" s="91">
        <f t="shared" si="80"/>
        <v>2328243508.6389437</v>
      </c>
      <c r="CD24" s="91">
        <f t="shared" si="80"/>
        <v>2342460345.4756641</v>
      </c>
      <c r="CE24" s="91">
        <f t="shared" si="80"/>
        <v>2356671057.1852036</v>
      </c>
      <c r="CF24" s="91">
        <f t="shared" si="80"/>
        <v>2370875610.5897894</v>
      </c>
      <c r="CG24" s="91">
        <f t="shared" si="80"/>
        <v>2385073972.3319368</v>
      </c>
      <c r="CH24" s="91">
        <f t="shared" si="80"/>
        <v>2399266108.8734741</v>
      </c>
      <c r="CI24" s="91">
        <f t="shared" si="80"/>
        <v>2413451986.4945645</v>
      </c>
      <c r="CJ24" s="91">
        <f t="shared" si="80"/>
        <v>2427631571.2927227</v>
      </c>
      <c r="CK24" s="91">
        <f t="shared" si="80"/>
        <v>2441804829.1818242</v>
      </c>
      <c r="CL24" s="91">
        <f t="shared" si="80"/>
        <v>2455971725.8911114</v>
      </c>
      <c r="CM24" s="91">
        <f t="shared" si="80"/>
        <v>2470132226.9641933</v>
      </c>
      <c r="CN24" s="91">
        <f t="shared" si="80"/>
        <v>2484300395.4012218</v>
      </c>
      <c r="CO24" s="91">
        <f t="shared" si="80"/>
        <v>2498408057.7628126</v>
      </c>
      <c r="CP24" s="91">
        <f t="shared" si="80"/>
        <v>2512509219.9951448</v>
      </c>
      <c r="CQ24" s="91">
        <f t="shared" si="80"/>
        <v>2526603846.889185</v>
      </c>
      <c r="CR24" s="91">
        <f t="shared" si="80"/>
        <v>2540691903.0451837</v>
      </c>
      <c r="CS24" s="91">
        <f t="shared" si="80"/>
        <v>2554773352.8716431</v>
      </c>
      <c r="CT24" s="91">
        <f t="shared" si="80"/>
        <v>2568848160.5842781</v>
      </c>
      <c r="CU24" s="91">
        <f t="shared" si="80"/>
        <v>2583053611.6705427</v>
      </c>
      <c r="CV24" s="91">
        <f t="shared" si="80"/>
        <v>2597732676.2059636</v>
      </c>
      <c r="CW24" s="91">
        <f t="shared" si="80"/>
        <v>2612404990.1075106</v>
      </c>
      <c r="CX24" s="91">
        <f t="shared" si="80"/>
        <v>2627070516.8092504</v>
      </c>
      <c r="CY24" s="91">
        <f t="shared" si="80"/>
        <v>2641729219.547184</v>
      </c>
      <c r="CZ24" s="91">
        <f t="shared" si="80"/>
        <v>2656381061.3581738</v>
      </c>
      <c r="DA24" s="91">
        <f t="shared" si="80"/>
        <v>2671026005.0788665</v>
      </c>
      <c r="DB24" s="91">
        <f t="shared" si="80"/>
        <v>2685664013.3446059</v>
      </c>
      <c r="DC24" s="91">
        <f t="shared" si="80"/>
        <v>2700295048.5883436</v>
      </c>
      <c r="DD24" s="91">
        <f t="shared" si="80"/>
        <v>2714919073.0395446</v>
      </c>
      <c r="DE24" s="91">
        <f t="shared" si="80"/>
        <v>2729536048.7230821</v>
      </c>
      <c r="DF24" s="91">
        <f t="shared" si="80"/>
        <v>2744145937.4581318</v>
      </c>
      <c r="DG24" s="91">
        <f t="shared" si="80"/>
        <v>2758762798.5002356</v>
      </c>
      <c r="DH24" s="91">
        <f t="shared" si="80"/>
        <v>2773318454.6451192</v>
      </c>
      <c r="DI24" s="91">
        <f t="shared" si="80"/>
        <v>2787866908.0536761</v>
      </c>
      <c r="DJ24" s="91">
        <f t="shared" si="80"/>
        <v>2802408119.7110848</v>
      </c>
      <c r="DK24" s="91">
        <f t="shared" si="80"/>
        <v>2816942050.3911934</v>
      </c>
      <c r="DL24" s="91">
        <f t="shared" si="80"/>
        <v>2831468660.6553745</v>
      </c>
      <c r="DM24" s="91">
        <f t="shared" si="80"/>
        <v>2845987910.8513761</v>
      </c>
      <c r="DN24" s="91">
        <f t="shared" si="80"/>
        <v>2860499761.1121612</v>
      </c>
      <c r="DO24" s="91">
        <f t="shared" si="80"/>
        <v>2875004171.3547478</v>
      </c>
      <c r="DP24" s="91">
        <f t="shared" si="80"/>
        <v>2889501101.279037</v>
      </c>
      <c r="DQ24" s="91">
        <f t="shared" si="80"/>
        <v>2903990510.3666382</v>
      </c>
      <c r="DR24" s="91">
        <f t="shared" si="80"/>
        <v>2918472357.8796864</v>
      </c>
      <c r="DS24" s="91">
        <f t="shared" si="80"/>
        <v>2948083924.3252215</v>
      </c>
      <c r="DT24" s="91">
        <f t="shared" si="80"/>
        <v>2963175818.4848518</v>
      </c>
      <c r="DU24" s="91">
        <f t="shared" si="80"/>
        <v>2978267712.6444821</v>
      </c>
      <c r="DV24" s="91">
        <f t="shared" si="80"/>
        <v>3004359606.8041124</v>
      </c>
      <c r="DW24" s="91">
        <f t="shared" si="80"/>
        <v>3019451500.9637427</v>
      </c>
      <c r="DX24" s="91">
        <f t="shared" si="80"/>
        <v>3034543395.123373</v>
      </c>
      <c r="DY24" s="91">
        <f t="shared" si="80"/>
        <v>3058635289.2830033</v>
      </c>
      <c r="DZ24" s="91">
        <f t="shared" si="80"/>
        <v>3073727183.4426336</v>
      </c>
      <c r="EA24" s="91">
        <f t="shared" si="80"/>
        <v>3088819077.6022639</v>
      </c>
      <c r="EB24" s="91">
        <f t="shared" ref="EB24:GI24" si="81">EB22+EB20</f>
        <v>3103910971.7618942</v>
      </c>
      <c r="EC24" s="91">
        <f t="shared" si="81"/>
        <v>3119002865.9215245</v>
      </c>
      <c r="ED24" s="91">
        <f t="shared" si="81"/>
        <v>3134094760.0811548</v>
      </c>
      <c r="EE24" s="91">
        <f t="shared" si="81"/>
        <v>3149200751.8839655</v>
      </c>
      <c r="EF24" s="91">
        <f t="shared" si="81"/>
        <v>3164252702.721252</v>
      </c>
      <c r="EG24" s="91">
        <f t="shared" si="81"/>
        <v>3179304653.5585384</v>
      </c>
      <c r="EH24" s="91">
        <f t="shared" si="81"/>
        <v>3194356604.3958249</v>
      </c>
      <c r="EI24" s="91">
        <f t="shared" si="81"/>
        <v>3209408555.2331114</v>
      </c>
      <c r="EJ24" s="91">
        <f t="shared" si="81"/>
        <v>3224460506.0703979</v>
      </c>
      <c r="EK24" s="91">
        <f t="shared" si="81"/>
        <v>3244512456.9076843</v>
      </c>
      <c r="EL24" s="91">
        <f t="shared" si="81"/>
        <v>3259564407.7449708</v>
      </c>
      <c r="EM24" s="91">
        <f t="shared" si="81"/>
        <v>3274616358.5822573</v>
      </c>
      <c r="EN24" s="91">
        <f t="shared" si="81"/>
        <v>3289668309.4195437</v>
      </c>
      <c r="EO24" s="91">
        <f t="shared" si="81"/>
        <v>3304720260.2568302</v>
      </c>
      <c r="EP24" s="91">
        <f t="shared" si="81"/>
        <v>3329772211.0941167</v>
      </c>
      <c r="EQ24" s="91">
        <f t="shared" si="81"/>
        <v>3344961483.3969727</v>
      </c>
      <c r="ER24" s="91">
        <f t="shared" si="81"/>
        <v>3360631083.4139233</v>
      </c>
      <c r="ES24" s="91">
        <f t="shared" si="81"/>
        <v>3376300683.4308739</v>
      </c>
      <c r="ET24" s="91">
        <f t="shared" si="81"/>
        <v>3391970283.4478245</v>
      </c>
      <c r="EU24" s="91">
        <f t="shared" si="81"/>
        <v>3407639883.4647751</v>
      </c>
      <c r="EV24" s="91">
        <f t="shared" si="81"/>
        <v>3423309483.4817257</v>
      </c>
      <c r="EW24" s="91">
        <f t="shared" si="81"/>
        <v>3438979083.4986763</v>
      </c>
      <c r="EX24" s="91">
        <f t="shared" si="81"/>
        <v>3454648683.5156269</v>
      </c>
      <c r="EY24" s="91">
        <f t="shared" si="81"/>
        <v>3470318283.5325775</v>
      </c>
      <c r="EZ24" s="91">
        <f t="shared" si="81"/>
        <v>3490987883.5495281</v>
      </c>
      <c r="FA24" s="91">
        <f t="shared" si="81"/>
        <v>3506657483.5664787</v>
      </c>
      <c r="FB24" s="91">
        <f t="shared" si="81"/>
        <v>3522327083.5834293</v>
      </c>
      <c r="FC24" s="91">
        <f t="shared" si="81"/>
        <v>3538010781.2435603</v>
      </c>
      <c r="FD24" s="91">
        <f t="shared" si="81"/>
        <v>3553640437.9381671</v>
      </c>
      <c r="FE24" s="91">
        <f t="shared" si="81"/>
        <v>3569270094.6327739</v>
      </c>
      <c r="FF24" s="91">
        <f t="shared" si="81"/>
        <v>3584899751.3273807</v>
      </c>
      <c r="FG24" s="91">
        <f t="shared" si="81"/>
        <v>3600529408.0219874</v>
      </c>
      <c r="FH24" s="91">
        <f t="shared" si="81"/>
        <v>3626159064.7165942</v>
      </c>
      <c r="FI24" s="91">
        <f t="shared" si="81"/>
        <v>3641788721.411201</v>
      </c>
      <c r="FJ24" s="91">
        <f t="shared" si="81"/>
        <v>3657418378.1058078</v>
      </c>
      <c r="FK24" s="91">
        <f t="shared" si="81"/>
        <v>3673048034.8004146</v>
      </c>
      <c r="FL24" s="91">
        <f t="shared" si="81"/>
        <v>3688677691.4950213</v>
      </c>
      <c r="FM24" s="91">
        <f t="shared" si="81"/>
        <v>3704307348.1896281</v>
      </c>
      <c r="FN24" s="91">
        <f t="shared" si="81"/>
        <v>3719937004.8842349</v>
      </c>
      <c r="FO24" s="91">
        <f t="shared" si="81"/>
        <v>3735703983.0444117</v>
      </c>
      <c r="FP24" s="91">
        <f t="shared" si="81"/>
        <v>3751951288.9186831</v>
      </c>
      <c r="FQ24" s="91">
        <f t="shared" si="81"/>
        <v>3768198594.7929544</v>
      </c>
      <c r="FR24" s="91">
        <f t="shared" si="81"/>
        <v>3784445900.6672258</v>
      </c>
      <c r="FS24" s="91">
        <f t="shared" si="81"/>
        <v>3800693206.5414972</v>
      </c>
      <c r="FT24" s="91">
        <f t="shared" si="81"/>
        <v>3816940512.4157686</v>
      </c>
      <c r="FU24" s="91">
        <f t="shared" si="81"/>
        <v>3833187818.29004</v>
      </c>
      <c r="FV24" s="91">
        <f t="shared" si="81"/>
        <v>3849435124.1643114</v>
      </c>
      <c r="FW24" s="91">
        <f t="shared" si="81"/>
        <v>3865682430.0385828</v>
      </c>
      <c r="FX24" s="91">
        <f t="shared" si="81"/>
        <v>3881929735.9128542</v>
      </c>
      <c r="FY24" s="91">
        <f t="shared" si="81"/>
        <v>3898177041.7871256</v>
      </c>
      <c r="FZ24" s="91">
        <f t="shared" si="81"/>
        <v>3914424347.661397</v>
      </c>
      <c r="GA24" s="91">
        <f t="shared" si="81"/>
        <v>3940685751.1788487</v>
      </c>
      <c r="GB24" s="91">
        <f t="shared" si="81"/>
        <v>3956893113.7307763</v>
      </c>
      <c r="GC24" s="91">
        <f t="shared" si="81"/>
        <v>3973100476.2827039</v>
      </c>
      <c r="GD24" s="91">
        <f t="shared" si="81"/>
        <v>4000307838.8346314</v>
      </c>
      <c r="GE24" s="91">
        <f t="shared" si="81"/>
        <v>4016515201.386559</v>
      </c>
      <c r="GF24" s="91">
        <f t="shared" si="81"/>
        <v>4032722563.9384866</v>
      </c>
      <c r="GG24" s="91">
        <f t="shared" si="81"/>
        <v>4074499686.4904141</v>
      </c>
      <c r="GH24" s="91">
        <f t="shared" si="81"/>
        <v>4090707049.0423417</v>
      </c>
      <c r="GI24" s="91">
        <f t="shared" si="81"/>
        <v>4106914411.5942693</v>
      </c>
      <c r="GJ24" s="91">
        <f t="shared" ref="GJ24:IH24" si="82">GJ22+GJ20</f>
        <v>4123121774.1461968</v>
      </c>
      <c r="GK24" s="91">
        <f t="shared" si="82"/>
        <v>4139329136.6981244</v>
      </c>
      <c r="GL24" s="91">
        <f t="shared" si="82"/>
        <v>4155536499.250052</v>
      </c>
      <c r="GM24" s="91">
        <f t="shared" si="82"/>
        <v>4171018144.3219495</v>
      </c>
      <c r="GN24" s="91">
        <f t="shared" si="82"/>
        <v>4186980117.1079416</v>
      </c>
      <c r="GO24" s="91">
        <f t="shared" si="82"/>
        <v>4202942089.8939338</v>
      </c>
      <c r="GP24" s="91">
        <f t="shared" si="82"/>
        <v>4218904062.6799259</v>
      </c>
      <c r="GQ24" s="91">
        <f t="shared" si="82"/>
        <v>4234866035.4659181</v>
      </c>
      <c r="GR24" s="91">
        <f t="shared" si="82"/>
        <v>4250828008.2519102</v>
      </c>
      <c r="GS24" s="91">
        <f t="shared" si="82"/>
        <v>4266789981.0379024</v>
      </c>
      <c r="GT24" s="91">
        <f t="shared" si="82"/>
        <v>4282751953.8238945</v>
      </c>
      <c r="GU24" s="91">
        <f t="shared" si="82"/>
        <v>4298713926.6098871</v>
      </c>
      <c r="GV24" s="91">
        <f t="shared" si="82"/>
        <v>4314675899.3958797</v>
      </c>
      <c r="GW24" s="91">
        <f t="shared" si="82"/>
        <v>4330637872.1818724</v>
      </c>
      <c r="GX24" s="91">
        <f t="shared" si="82"/>
        <v>4346599844.967865</v>
      </c>
      <c r="GY24" s="91">
        <f t="shared" si="82"/>
        <v>4362575915.3970375</v>
      </c>
      <c r="GZ24" s="91">
        <f t="shared" si="82"/>
        <v>4378497944.8606863</v>
      </c>
      <c r="HA24" s="91">
        <f t="shared" si="82"/>
        <v>4394419974.3243351</v>
      </c>
      <c r="HB24" s="91">
        <f t="shared" si="82"/>
        <v>4410342003.7879839</v>
      </c>
      <c r="HC24" s="91">
        <f t="shared" si="82"/>
        <v>4426264033.2516327</v>
      </c>
      <c r="HD24" s="91">
        <f t="shared" si="82"/>
        <v>4442186062.7152815</v>
      </c>
      <c r="HE24" s="91">
        <f t="shared" si="82"/>
        <v>4458108092.1789303</v>
      </c>
      <c r="HF24" s="91">
        <f t="shared" si="82"/>
        <v>4474030121.6425791</v>
      </c>
      <c r="HG24" s="91">
        <f t="shared" si="82"/>
        <v>4489952151.1062279</v>
      </c>
      <c r="HH24" s="91">
        <f t="shared" si="82"/>
        <v>4505874180.5698767</v>
      </c>
      <c r="HI24" s="91">
        <f t="shared" si="82"/>
        <v>4521796210.0335255</v>
      </c>
      <c r="HJ24" s="91">
        <f t="shared" si="82"/>
        <v>4537718239.4971743</v>
      </c>
      <c r="HK24" s="91">
        <f t="shared" si="82"/>
        <v>4553763492.7832127</v>
      </c>
      <c r="HL24" s="91">
        <f t="shared" si="82"/>
        <v>4570343114.7488699</v>
      </c>
      <c r="HM24" s="91">
        <f t="shared" si="82"/>
        <v>4586922736.7145271</v>
      </c>
      <c r="HN24" s="91">
        <f t="shared" si="82"/>
        <v>4603502358.6801844</v>
      </c>
      <c r="HO24" s="91">
        <f t="shared" si="82"/>
        <v>4620081980.6458416</v>
      </c>
      <c r="HP24" s="91">
        <f t="shared" si="82"/>
        <v>4636661602.6114988</v>
      </c>
      <c r="HQ24" s="91">
        <f t="shared" si="82"/>
        <v>4653241224.5771561</v>
      </c>
      <c r="HR24" s="91">
        <f t="shared" si="82"/>
        <v>4669820846.5428133</v>
      </c>
      <c r="HS24" s="91">
        <f t="shared" si="82"/>
        <v>4686400468.5084705</v>
      </c>
      <c r="HT24" s="91">
        <f t="shared" si="82"/>
        <v>4702980090.4741278</v>
      </c>
      <c r="HU24" s="91">
        <f t="shared" si="82"/>
        <v>4719559712.439785</v>
      </c>
      <c r="HV24" s="91">
        <f t="shared" si="82"/>
        <v>4736139334.4054422</v>
      </c>
      <c r="HW24" s="91">
        <f t="shared" si="82"/>
        <v>4752718956.3710995</v>
      </c>
      <c r="HX24" s="91">
        <f t="shared" si="82"/>
        <v>4769298578.3367567</v>
      </c>
      <c r="HY24" s="91">
        <f t="shared" si="82"/>
        <v>4785878200.3024139</v>
      </c>
      <c r="HZ24" s="91">
        <f t="shared" si="82"/>
        <v>4802457822.2680712</v>
      </c>
      <c r="IA24" s="91">
        <f t="shared" si="82"/>
        <v>4819037444.2337284</v>
      </c>
      <c r="IB24" s="91">
        <f t="shared" si="82"/>
        <v>4835617066.1993856</v>
      </c>
      <c r="IC24" s="91">
        <f t="shared" si="82"/>
        <v>4852196688.1650429</v>
      </c>
      <c r="ID24" s="91">
        <f t="shared" si="82"/>
        <v>4868776310.1307001</v>
      </c>
      <c r="IE24" s="91">
        <f t="shared" si="82"/>
        <v>4885355932.0963573</v>
      </c>
      <c r="IF24" s="91">
        <f t="shared" si="82"/>
        <v>4901935554.0620146</v>
      </c>
      <c r="IG24" s="91">
        <f t="shared" si="82"/>
        <v>4918515176.0276718</v>
      </c>
      <c r="IH24" s="91">
        <f t="shared" si="82"/>
        <v>4935094797.993329</v>
      </c>
    </row>
    <row r="25" spans="1:242" ht="14.65" thickTop="1" x14ac:dyDescent="0.45"/>
    <row r="26" spans="1:242" x14ac:dyDescent="0.45">
      <c r="A26" s="888" t="s">
        <v>334</v>
      </c>
      <c r="B26" s="889"/>
    </row>
    <row r="27" spans="1:242" x14ac:dyDescent="0.45">
      <c r="A27" s="895" t="s">
        <v>337</v>
      </c>
      <c r="B27" s="896"/>
      <c r="C27" s="81">
        <f>'Balance Sheet'!C10-'Balance Sheet'!C8-'Balance Sheet'!C23+'Balance Sheet'!C22</f>
        <v>-987966.37936747074</v>
      </c>
      <c r="D27" s="81">
        <f>'Balance Sheet'!D10-'Balance Sheet'!D8-'Balance Sheet'!D23+'Balance Sheet'!D22</f>
        <v>-548091.37936747074</v>
      </c>
      <c r="E27" s="81">
        <f>'Balance Sheet'!E10-'Balance Sheet'!E8-'Balance Sheet'!E23+'Balance Sheet'!E22</f>
        <v>-548091.37936747074</v>
      </c>
      <c r="F27" s="81">
        <f>'Balance Sheet'!F10-'Balance Sheet'!F8-'Balance Sheet'!F23+'Balance Sheet'!F22</f>
        <v>-548091.37936747074</v>
      </c>
      <c r="G27" s="81">
        <f>'Balance Sheet'!G10-'Balance Sheet'!G8-'Balance Sheet'!G23+'Balance Sheet'!G22</f>
        <v>-548091.37936747074</v>
      </c>
      <c r="H27" s="81">
        <f>'Balance Sheet'!H10-'Balance Sheet'!H8-'Balance Sheet'!H23+'Balance Sheet'!H22</f>
        <v>-548091.37936747074</v>
      </c>
      <c r="I27" s="81">
        <f>'Balance Sheet'!I10-'Balance Sheet'!I8-'Balance Sheet'!I23+'Balance Sheet'!I22</f>
        <v>-548091.37936747074</v>
      </c>
      <c r="J27" s="81">
        <f>'Balance Sheet'!J10-'Balance Sheet'!J8-'Balance Sheet'!J23+'Balance Sheet'!J22</f>
        <v>-548091.37936747074</v>
      </c>
      <c r="K27" s="81">
        <f>'Balance Sheet'!K10-'Balance Sheet'!K8-'Balance Sheet'!K23+'Balance Sheet'!K22</f>
        <v>-548091.37936747074</v>
      </c>
      <c r="L27" s="81">
        <f>'Balance Sheet'!L10-'Balance Sheet'!L8-'Balance Sheet'!L23+'Balance Sheet'!L22</f>
        <v>-548091.37936747074</v>
      </c>
      <c r="M27" s="81">
        <f>'Balance Sheet'!M10-'Balance Sheet'!M8-'Balance Sheet'!M23+'Balance Sheet'!M22</f>
        <v>-548091.37936747074</v>
      </c>
      <c r="N27" s="81">
        <f>'Balance Sheet'!N10-'Balance Sheet'!N8-'Balance Sheet'!N23+'Balance Sheet'!N22</f>
        <v>-548091.37936747074</v>
      </c>
      <c r="O27" s="81">
        <f>'Balance Sheet'!O10-'Balance Sheet'!O8-'Balance Sheet'!O23+'Balance Sheet'!O22</f>
        <v>-752206.04603414237</v>
      </c>
      <c r="P27" s="81">
        <f>'Balance Sheet'!P10-'Balance Sheet'!P8-'Balance Sheet'!P23+'Balance Sheet'!P22</f>
        <v>-591206.04603414237</v>
      </c>
      <c r="Q27" s="81">
        <f>'Balance Sheet'!Q10-'Balance Sheet'!Q8-'Balance Sheet'!Q23+'Balance Sheet'!Q22</f>
        <v>-591206.04603412747</v>
      </c>
      <c r="R27" s="81">
        <f>'Balance Sheet'!R10-'Balance Sheet'!R8-'Balance Sheet'!R23+'Balance Sheet'!R22</f>
        <v>-591206.04603412747</v>
      </c>
      <c r="S27" s="81">
        <f>'Balance Sheet'!S10-'Balance Sheet'!S8-'Balance Sheet'!S23+'Balance Sheet'!S22</f>
        <v>-591206.04603412747</v>
      </c>
      <c r="T27" s="81">
        <f>'Balance Sheet'!T10-'Balance Sheet'!T8-'Balance Sheet'!T23+'Balance Sheet'!T22</f>
        <v>-591206.04603412747</v>
      </c>
      <c r="U27" s="81">
        <f>'Balance Sheet'!U10-'Balance Sheet'!U8-'Balance Sheet'!U23+'Balance Sheet'!U22</f>
        <v>-591206.04603412747</v>
      </c>
      <c r="V27" s="81">
        <f>'Balance Sheet'!V10-'Balance Sheet'!V8-'Balance Sheet'!V23+'Balance Sheet'!V22</f>
        <v>-591206.04603412747</v>
      </c>
      <c r="W27" s="81">
        <f>'Balance Sheet'!W10-'Balance Sheet'!W8-'Balance Sheet'!W23+'Balance Sheet'!W22</f>
        <v>-591206.04603412747</v>
      </c>
      <c r="X27" s="81">
        <f>'Balance Sheet'!X10-'Balance Sheet'!X8-'Balance Sheet'!X23+'Balance Sheet'!X22</f>
        <v>-591206.04603412747</v>
      </c>
      <c r="Y27" s="81">
        <f>'Balance Sheet'!Y10-'Balance Sheet'!Y8-'Balance Sheet'!Y23+'Balance Sheet'!Y22</f>
        <v>-591206.04603412747</v>
      </c>
      <c r="Z27" s="81">
        <f>'Balance Sheet'!Z10-'Balance Sheet'!Z8-'Balance Sheet'!Z23+'Balance Sheet'!Z22</f>
        <v>-591206.04603412747</v>
      </c>
      <c r="AA27" s="81">
        <f>'Balance Sheet'!AA10-'Balance Sheet'!AA8-'Balance Sheet'!AA23+'Balance Sheet'!AA22</f>
        <v>2390855.5219514072</v>
      </c>
      <c r="AB27" s="81">
        <f>'Balance Sheet'!AB10-'Balance Sheet'!AB8-'Balance Sheet'!AB23+'Balance Sheet'!AB22</f>
        <v>2390855.5219514072</v>
      </c>
      <c r="AC27" s="81">
        <f>'Balance Sheet'!AC10-'Balance Sheet'!AC8-'Balance Sheet'!AC23+'Balance Sheet'!AC22</f>
        <v>2390855.5219514072</v>
      </c>
      <c r="AD27" s="81">
        <f>'Balance Sheet'!AD10-'Balance Sheet'!AD8-'Balance Sheet'!AD23+'Balance Sheet'!AD22</f>
        <v>2390855.5219514072</v>
      </c>
      <c r="AE27" s="81">
        <f>'Balance Sheet'!AE10-'Balance Sheet'!AE8-'Balance Sheet'!AE23+'Balance Sheet'!AE22</f>
        <v>2390855.521951437</v>
      </c>
      <c r="AF27" s="81">
        <f>'Balance Sheet'!AF10-'Balance Sheet'!AF8-'Balance Sheet'!AF23+'Balance Sheet'!AF22</f>
        <v>2390855.521951437</v>
      </c>
      <c r="AG27" s="81">
        <f>'Balance Sheet'!AG10-'Balance Sheet'!AG8-'Balance Sheet'!AG23+'Balance Sheet'!AG22</f>
        <v>2390855.521951437</v>
      </c>
      <c r="AH27" s="81">
        <f>'Balance Sheet'!AH10-'Balance Sheet'!AH8-'Balance Sheet'!AH23+'Balance Sheet'!AH22</f>
        <v>2390855.521951437</v>
      </c>
      <c r="AI27" s="81">
        <f>'Balance Sheet'!AI10-'Balance Sheet'!AI8-'Balance Sheet'!AI23+'Balance Sheet'!AI22</f>
        <v>2390855.521951437</v>
      </c>
      <c r="AJ27" s="81">
        <f>'Balance Sheet'!AJ10-'Balance Sheet'!AJ8-'Balance Sheet'!AJ23+'Balance Sheet'!AJ22</f>
        <v>2390855.521951437</v>
      </c>
      <c r="AK27" s="81">
        <f>'Balance Sheet'!AK10-'Balance Sheet'!AK8-'Balance Sheet'!AK23+'Balance Sheet'!AK22</f>
        <v>2390855.521951437</v>
      </c>
      <c r="AL27" s="81">
        <f>'Balance Sheet'!AL10-'Balance Sheet'!AL8-'Balance Sheet'!AL23+'Balance Sheet'!AL22</f>
        <v>2390855.521951437</v>
      </c>
      <c r="AM27" s="81">
        <f>'Balance Sheet'!AM10-'Balance Sheet'!AM8-'Balance Sheet'!AM23+'Balance Sheet'!AM22</f>
        <v>4889357.0730984807</v>
      </c>
      <c r="AN27" s="81">
        <f>'Balance Sheet'!AN10-'Balance Sheet'!AN8-'Balance Sheet'!AN23+'Balance Sheet'!AN22</f>
        <v>4889357.0730984807</v>
      </c>
      <c r="AO27" s="81">
        <f>'Balance Sheet'!AO10-'Balance Sheet'!AO8-'Balance Sheet'!AO23+'Balance Sheet'!AO22</f>
        <v>4889357.0730984807</v>
      </c>
      <c r="AP27" s="81">
        <f>'Balance Sheet'!AP10-'Balance Sheet'!AP8-'Balance Sheet'!AP23+'Balance Sheet'!AP22</f>
        <v>4889357.0730984807</v>
      </c>
      <c r="AQ27" s="81">
        <f>'Balance Sheet'!AQ10-'Balance Sheet'!AQ8-'Balance Sheet'!AQ23+'Balance Sheet'!AQ22</f>
        <v>4889357.0730984807</v>
      </c>
      <c r="AR27" s="81">
        <f>'Balance Sheet'!AR10-'Balance Sheet'!AR8-'Balance Sheet'!AR23+'Balance Sheet'!AR22</f>
        <v>4889357.0730984807</v>
      </c>
      <c r="AS27" s="81">
        <f>'Balance Sheet'!AS10-'Balance Sheet'!AS8-'Balance Sheet'!AS23+'Balance Sheet'!AS22</f>
        <v>4889357.0730984807</v>
      </c>
      <c r="AT27" s="81">
        <f>'Balance Sheet'!AT10-'Balance Sheet'!AT8-'Balance Sheet'!AT23+'Balance Sheet'!AT22</f>
        <v>4889357.0730984807</v>
      </c>
      <c r="AU27" s="81">
        <f>'Balance Sheet'!AU10-'Balance Sheet'!AU8-'Balance Sheet'!AU23+'Balance Sheet'!AU22</f>
        <v>4889357.0730984807</v>
      </c>
      <c r="AV27" s="81">
        <f>'Balance Sheet'!AV10-'Balance Sheet'!AV8-'Balance Sheet'!AV23+'Balance Sheet'!AV22</f>
        <v>4889357.0730984807</v>
      </c>
      <c r="AW27" s="81">
        <f>'Balance Sheet'!AW10-'Balance Sheet'!AW8-'Balance Sheet'!AW23+'Balance Sheet'!AW22</f>
        <v>4889357.0730984807</v>
      </c>
      <c r="AX27" s="81">
        <f>'Balance Sheet'!AX10-'Balance Sheet'!AX8-'Balance Sheet'!AX23+'Balance Sheet'!AX22</f>
        <v>4889357.0730984807</v>
      </c>
      <c r="AY27" s="81">
        <f>'Balance Sheet'!AY10-'Balance Sheet'!AY8-'Balance Sheet'!AY23+'Balance Sheet'!AY22</f>
        <v>7828533.4956961274</v>
      </c>
      <c r="AZ27" s="81">
        <f>'Balance Sheet'!AZ10-'Balance Sheet'!AZ8-'Balance Sheet'!AZ23+'Balance Sheet'!AZ22</f>
        <v>7828533.4956961274</v>
      </c>
      <c r="BA27" s="81">
        <f>'Balance Sheet'!BA10-'Balance Sheet'!BA8-'Balance Sheet'!BA23+'Balance Sheet'!BA22</f>
        <v>7828533.4956961274</v>
      </c>
      <c r="BB27" s="81">
        <f>'Balance Sheet'!BB10-'Balance Sheet'!BB8-'Balance Sheet'!BB23+'Balance Sheet'!BB22</f>
        <v>7828533.4956961274</v>
      </c>
      <c r="BC27" s="81">
        <f>'Balance Sheet'!BC10-'Balance Sheet'!BC8-'Balance Sheet'!BC23+'Balance Sheet'!BC22</f>
        <v>7828533.4956961274</v>
      </c>
      <c r="BD27" s="81">
        <f>'Balance Sheet'!BD10-'Balance Sheet'!BD8-'Balance Sheet'!BD23+'Balance Sheet'!BD22</f>
        <v>7828533.4956961274</v>
      </c>
      <c r="BE27" s="81">
        <f>'Balance Sheet'!BE10-'Balance Sheet'!BE8-'Balance Sheet'!BE23+'Balance Sheet'!BE22</f>
        <v>7828533.4956961274</v>
      </c>
      <c r="BF27" s="81">
        <f>'Balance Sheet'!BF10-'Balance Sheet'!BF8-'Balance Sheet'!BF23+'Balance Sheet'!BF22</f>
        <v>7828533.4956961274</v>
      </c>
      <c r="BG27" s="81">
        <f>'Balance Sheet'!BG10-'Balance Sheet'!BG8-'Balance Sheet'!BG23+'Balance Sheet'!BG22</f>
        <v>7828533.495696187</v>
      </c>
      <c r="BH27" s="81">
        <f>'Balance Sheet'!BH10-'Balance Sheet'!BH8-'Balance Sheet'!BH23+'Balance Sheet'!BH22</f>
        <v>7828533.495696187</v>
      </c>
      <c r="BI27" s="81">
        <f>'Balance Sheet'!BI10-'Balance Sheet'!BI8-'Balance Sheet'!BI23+'Balance Sheet'!BI22</f>
        <v>7828533.495696187</v>
      </c>
      <c r="BJ27" s="81">
        <f>'Balance Sheet'!BJ10-'Balance Sheet'!BJ8-'Balance Sheet'!BJ23+'Balance Sheet'!BJ22</f>
        <v>7828533.495696187</v>
      </c>
      <c r="BK27" s="81">
        <f>'Balance Sheet'!BK10-'Balance Sheet'!BK8-'Balance Sheet'!BK23+'Balance Sheet'!BK22</f>
        <v>9796103.4672245979</v>
      </c>
      <c r="BL27" s="81">
        <f>'Balance Sheet'!BL10-'Balance Sheet'!BL8-'Balance Sheet'!BL23+'Balance Sheet'!BL22</f>
        <v>9796103.4672245979</v>
      </c>
      <c r="BM27" s="81">
        <f>'Balance Sheet'!BM10-'Balance Sheet'!BM8-'Balance Sheet'!BM23+'Balance Sheet'!BM22</f>
        <v>9796103.4672245979</v>
      </c>
      <c r="BN27" s="81">
        <f>'Balance Sheet'!BN10-'Balance Sheet'!BN8-'Balance Sheet'!BN23+'Balance Sheet'!BN22</f>
        <v>9796103.4672245979</v>
      </c>
      <c r="BO27" s="81">
        <f>'Balance Sheet'!BO10-'Balance Sheet'!BO8-'Balance Sheet'!BO23+'Balance Sheet'!BO22</f>
        <v>9796103.4672245979</v>
      </c>
      <c r="BP27" s="81">
        <f>'Balance Sheet'!BP10-'Balance Sheet'!BP8-'Balance Sheet'!BP23+'Balance Sheet'!BP22</f>
        <v>9796103.4672245979</v>
      </c>
      <c r="BQ27" s="81">
        <f>'Balance Sheet'!BQ10-'Balance Sheet'!BQ8-'Balance Sheet'!BQ23+'Balance Sheet'!BQ22</f>
        <v>9796103.4672245979</v>
      </c>
      <c r="BR27" s="81">
        <f>'Balance Sheet'!BR10-'Balance Sheet'!BR8-'Balance Sheet'!BR23+'Balance Sheet'!BR22</f>
        <v>9796103.4672245979</v>
      </c>
      <c r="BS27" s="81">
        <f>'Balance Sheet'!BS10-'Balance Sheet'!BS8-'Balance Sheet'!BS23+'Balance Sheet'!BS22</f>
        <v>9796103.4672245979</v>
      </c>
      <c r="BT27" s="81">
        <f>'Balance Sheet'!BT10-'Balance Sheet'!BT8-'Balance Sheet'!BT23+'Balance Sheet'!BT22</f>
        <v>9796103.4672245979</v>
      </c>
      <c r="BU27" s="81">
        <f>'Balance Sheet'!BU10-'Balance Sheet'!BU8-'Balance Sheet'!BU23+'Balance Sheet'!BU22</f>
        <v>9796103.4672245979</v>
      </c>
      <c r="BV27" s="81">
        <f>'Balance Sheet'!BV10-'Balance Sheet'!BV8-'Balance Sheet'!BV23+'Balance Sheet'!BV22</f>
        <v>9796103.4672245979</v>
      </c>
      <c r="BW27" s="81">
        <f>'Balance Sheet'!BW10-'Balance Sheet'!BW8-'Balance Sheet'!BW23+'Balance Sheet'!BW22</f>
        <v>9880130.7674759626</v>
      </c>
      <c r="BX27" s="81">
        <f>'Balance Sheet'!BX10-'Balance Sheet'!BX8-'Balance Sheet'!BX23+'Balance Sheet'!BX22</f>
        <v>9880130.7674759626</v>
      </c>
      <c r="BY27" s="81">
        <f>'Balance Sheet'!BY10-'Balance Sheet'!BY8-'Balance Sheet'!BY23+'Balance Sheet'!BY22</f>
        <v>9880130.7674759626</v>
      </c>
      <c r="BZ27" s="81">
        <f>'Balance Sheet'!BZ10-'Balance Sheet'!BZ8-'Balance Sheet'!BZ23+'Balance Sheet'!BZ22</f>
        <v>9880130.7674759626</v>
      </c>
      <c r="CA27" s="81">
        <f>'Balance Sheet'!CA10-'Balance Sheet'!CA8-'Balance Sheet'!CA23+'Balance Sheet'!CA22</f>
        <v>9880130.7674759626</v>
      </c>
      <c r="CB27" s="81">
        <f>'Balance Sheet'!CB10-'Balance Sheet'!CB8-'Balance Sheet'!CB23+'Balance Sheet'!CB22</f>
        <v>9880130.7674759626</v>
      </c>
      <c r="CC27" s="81">
        <f>'Balance Sheet'!CC10-'Balance Sheet'!CC8-'Balance Sheet'!CC23+'Balance Sheet'!CC22</f>
        <v>9880130.7674759626</v>
      </c>
      <c r="CD27" s="81">
        <f>'Balance Sheet'!CD10-'Balance Sheet'!CD8-'Balance Sheet'!CD23+'Balance Sheet'!CD22</f>
        <v>9880130.7674759626</v>
      </c>
      <c r="CE27" s="81">
        <f>'Balance Sheet'!CE10-'Balance Sheet'!CE8-'Balance Sheet'!CE23+'Balance Sheet'!CE22</f>
        <v>9880130.7674759626</v>
      </c>
      <c r="CF27" s="81">
        <f>'Balance Sheet'!CF10-'Balance Sheet'!CF8-'Balance Sheet'!CF23+'Balance Sheet'!CF22</f>
        <v>9880130.7674759626</v>
      </c>
      <c r="CG27" s="81">
        <f>'Balance Sheet'!CG10-'Balance Sheet'!CG8-'Balance Sheet'!CG23+'Balance Sheet'!CG22</f>
        <v>9880130.7674759626</v>
      </c>
      <c r="CH27" s="81">
        <f>'Balance Sheet'!CH10-'Balance Sheet'!CH8-'Balance Sheet'!CH23+'Balance Sheet'!CH22</f>
        <v>9880130.7674759626</v>
      </c>
      <c r="CI27" s="81">
        <f>'Balance Sheet'!CI10-'Balance Sheet'!CI8-'Balance Sheet'!CI23+'Balance Sheet'!CI22</f>
        <v>9880130.7674759626</v>
      </c>
      <c r="CJ27" s="81">
        <f>'Balance Sheet'!CJ10-'Balance Sheet'!CJ8-'Balance Sheet'!CJ23+'Balance Sheet'!CJ22</f>
        <v>9880130.7674759626</v>
      </c>
      <c r="CK27" s="81">
        <f>'Balance Sheet'!CK10-'Balance Sheet'!CK8-'Balance Sheet'!CK23+'Balance Sheet'!CK22</f>
        <v>9880130.7674759626</v>
      </c>
      <c r="CL27" s="81">
        <f>'Balance Sheet'!CL10-'Balance Sheet'!CL8-'Balance Sheet'!CL23+'Balance Sheet'!CL22</f>
        <v>9880130.7674759626</v>
      </c>
      <c r="CM27" s="81">
        <f>'Balance Sheet'!CM10-'Balance Sheet'!CM8-'Balance Sheet'!CM23+'Balance Sheet'!CM22</f>
        <v>9880130.7674759626</v>
      </c>
      <c r="CN27" s="81">
        <f>'Balance Sheet'!CN10-'Balance Sheet'!CN8-'Balance Sheet'!CN23+'Balance Sheet'!CN22</f>
        <v>9826089.8019518852</v>
      </c>
      <c r="CO27" s="81">
        <f>'Balance Sheet'!CO10-'Balance Sheet'!CO8-'Balance Sheet'!CO23+'Balance Sheet'!CO22</f>
        <v>9826089.8019518852</v>
      </c>
      <c r="CP27" s="81">
        <f>'Balance Sheet'!CP10-'Balance Sheet'!CP8-'Balance Sheet'!CP23+'Balance Sheet'!CP22</f>
        <v>9826089.8019518852</v>
      </c>
      <c r="CQ27" s="81">
        <f>'Balance Sheet'!CQ10-'Balance Sheet'!CQ8-'Balance Sheet'!CQ23+'Balance Sheet'!CQ22</f>
        <v>9826089.8019518852</v>
      </c>
      <c r="CR27" s="81">
        <f>'Balance Sheet'!CR10-'Balance Sheet'!CR8-'Balance Sheet'!CR23+'Balance Sheet'!CR22</f>
        <v>9826089.8019518852</v>
      </c>
      <c r="CS27" s="81">
        <f>'Balance Sheet'!CS10-'Balance Sheet'!CS8-'Balance Sheet'!CS23+'Balance Sheet'!CS22</f>
        <v>9826089.8019518852</v>
      </c>
      <c r="CT27" s="81">
        <f>'Balance Sheet'!CT10-'Balance Sheet'!CT8-'Balance Sheet'!CT23+'Balance Sheet'!CT22</f>
        <v>9826089.8019518852</v>
      </c>
      <c r="CU27" s="81">
        <f>'Balance Sheet'!CU10-'Balance Sheet'!CU8-'Balance Sheet'!CU23+'Balance Sheet'!CU22</f>
        <v>10306417.516046166</v>
      </c>
      <c r="CV27" s="81">
        <f>'Balance Sheet'!CV10-'Balance Sheet'!CV8-'Balance Sheet'!CV23+'Balance Sheet'!CV22</f>
        <v>10306417.516046166</v>
      </c>
      <c r="CW27" s="81">
        <f>'Balance Sheet'!CW10-'Balance Sheet'!CW8-'Balance Sheet'!CW23+'Balance Sheet'!CW22</f>
        <v>10306417.516046166</v>
      </c>
      <c r="CX27" s="81">
        <f>'Balance Sheet'!CX10-'Balance Sheet'!CX8-'Balance Sheet'!CX23+'Balance Sheet'!CX22</f>
        <v>10306417.516046166</v>
      </c>
      <c r="CY27" s="81">
        <f>'Balance Sheet'!CY10-'Balance Sheet'!CY8-'Balance Sheet'!CY23+'Balance Sheet'!CY22</f>
        <v>10306417.516046166</v>
      </c>
      <c r="CZ27" s="81">
        <f>'Balance Sheet'!CZ10-'Balance Sheet'!CZ8-'Balance Sheet'!CZ23+'Balance Sheet'!CZ22</f>
        <v>10306417.516046166</v>
      </c>
      <c r="DA27" s="81">
        <f>'Balance Sheet'!DA10-'Balance Sheet'!DA8-'Balance Sheet'!DA23+'Balance Sheet'!DA22</f>
        <v>10306417.516046166</v>
      </c>
      <c r="DB27" s="81">
        <f>'Balance Sheet'!DB10-'Balance Sheet'!DB8-'Balance Sheet'!DB23+'Balance Sheet'!DB22</f>
        <v>10306417.516046166</v>
      </c>
      <c r="DC27" s="81">
        <f>'Balance Sheet'!DC10-'Balance Sheet'!DC8-'Balance Sheet'!DC23+'Balance Sheet'!DC22</f>
        <v>10306417.516046166</v>
      </c>
      <c r="DD27" s="81">
        <f>'Balance Sheet'!DD10-'Balance Sheet'!DD8-'Balance Sheet'!DD23+'Balance Sheet'!DD22</f>
        <v>10306417.516046166</v>
      </c>
      <c r="DE27" s="81">
        <f>'Balance Sheet'!DE10-'Balance Sheet'!DE8-'Balance Sheet'!DE23+'Balance Sheet'!DE22</f>
        <v>10306417.516046166</v>
      </c>
      <c r="DF27" s="81">
        <f>'Balance Sheet'!DF10-'Balance Sheet'!DF8-'Balance Sheet'!DF23+'Balance Sheet'!DF22</f>
        <v>10306417.516046166</v>
      </c>
      <c r="DG27" s="81">
        <f>'Balance Sheet'!DG10-'Balance Sheet'!DG8-'Balance Sheet'!DG23+'Balance Sheet'!DG22</f>
        <v>10252376.550522089</v>
      </c>
      <c r="DH27" s="81">
        <f>'Balance Sheet'!DH10-'Balance Sheet'!DH8-'Balance Sheet'!DH23+'Balance Sheet'!DH22</f>
        <v>10252376.550522089</v>
      </c>
      <c r="DI27" s="81">
        <f>'Balance Sheet'!DI10-'Balance Sheet'!DI8-'Balance Sheet'!DI23+'Balance Sheet'!DI22</f>
        <v>10252376.550522089</v>
      </c>
      <c r="DJ27" s="81">
        <f>'Balance Sheet'!DJ10-'Balance Sheet'!DJ8-'Balance Sheet'!DJ23+'Balance Sheet'!DJ22</f>
        <v>10252376.550522089</v>
      </c>
      <c r="DK27" s="81">
        <f>'Balance Sheet'!DK10-'Balance Sheet'!DK8-'Balance Sheet'!DK23+'Balance Sheet'!DK22</f>
        <v>10252376.550522089</v>
      </c>
      <c r="DL27" s="81">
        <f>'Balance Sheet'!DL10-'Balance Sheet'!DL8-'Balance Sheet'!DL23+'Balance Sheet'!DL22</f>
        <v>10252376.550522089</v>
      </c>
      <c r="DM27" s="81">
        <f>'Balance Sheet'!DM10-'Balance Sheet'!DM8-'Balance Sheet'!DM23+'Balance Sheet'!DM22</f>
        <v>10252376.550522089</v>
      </c>
      <c r="DN27" s="81">
        <f>'Balance Sheet'!DN10-'Balance Sheet'!DN8-'Balance Sheet'!DN23+'Balance Sheet'!DN22</f>
        <v>10252376.550522089</v>
      </c>
      <c r="DO27" s="81">
        <f>'Balance Sheet'!DO10-'Balance Sheet'!DO8-'Balance Sheet'!DO23+'Balance Sheet'!DO22</f>
        <v>10252376.550522089</v>
      </c>
      <c r="DP27" s="81">
        <f>'Balance Sheet'!DP10-'Balance Sheet'!DP8-'Balance Sheet'!DP23+'Balance Sheet'!DP22</f>
        <v>10252376.550522089</v>
      </c>
      <c r="DQ27" s="81">
        <f>'Balance Sheet'!DQ10-'Balance Sheet'!DQ8-'Balance Sheet'!DQ23+'Balance Sheet'!DQ22</f>
        <v>10252376.550522089</v>
      </c>
      <c r="DR27" s="81">
        <f>'Balance Sheet'!DR10-'Balance Sheet'!DR8-'Balance Sheet'!DR23+'Balance Sheet'!DR22</f>
        <v>10252376.550522089</v>
      </c>
      <c r="DS27" s="81">
        <f>'Balance Sheet'!DS10-'Balance Sheet'!DS8-'Balance Sheet'!DS23+'Balance Sheet'!DS22</f>
        <v>10732704.264616966</v>
      </c>
      <c r="DT27" s="81">
        <f>'Balance Sheet'!DT10-'Balance Sheet'!DT8-'Balance Sheet'!DT23+'Balance Sheet'!DT22</f>
        <v>10732704.264616966</v>
      </c>
      <c r="DU27" s="81">
        <f>'Balance Sheet'!DU10-'Balance Sheet'!DU8-'Balance Sheet'!DU23+'Balance Sheet'!DU22</f>
        <v>10732704.264616966</v>
      </c>
      <c r="DV27" s="81">
        <f>'Balance Sheet'!DV10-'Balance Sheet'!DV8-'Balance Sheet'!DV23+'Balance Sheet'!DV22</f>
        <v>10732704.264616966</v>
      </c>
      <c r="DW27" s="81">
        <f>'Balance Sheet'!DW10-'Balance Sheet'!DW8-'Balance Sheet'!DW23+'Balance Sheet'!DW22</f>
        <v>10732704.264616966</v>
      </c>
      <c r="DX27" s="81">
        <f>'Balance Sheet'!DX10-'Balance Sheet'!DX8-'Balance Sheet'!DX23+'Balance Sheet'!DX22</f>
        <v>10732704.264616966</v>
      </c>
      <c r="DY27" s="81">
        <f>'Balance Sheet'!DY10-'Balance Sheet'!DY8-'Balance Sheet'!DY23+'Balance Sheet'!DY22</f>
        <v>10732704.264616966</v>
      </c>
      <c r="DZ27" s="81">
        <f>'Balance Sheet'!DZ10-'Balance Sheet'!DZ8-'Balance Sheet'!DZ23+'Balance Sheet'!DZ22</f>
        <v>10732704.264616966</v>
      </c>
      <c r="EA27" s="81">
        <f>'Balance Sheet'!EA10-'Balance Sheet'!EA8-'Balance Sheet'!EA23+'Balance Sheet'!EA22</f>
        <v>10732704.264616966</v>
      </c>
      <c r="EB27" s="81">
        <f>'Balance Sheet'!EB10-'Balance Sheet'!EB8-'Balance Sheet'!EB23+'Balance Sheet'!EB22</f>
        <v>10732704.264616966</v>
      </c>
      <c r="EC27" s="81">
        <f>'Balance Sheet'!EC10-'Balance Sheet'!EC8-'Balance Sheet'!EC23+'Balance Sheet'!EC22</f>
        <v>10732704.264616966</v>
      </c>
      <c r="ED27" s="81">
        <f>'Balance Sheet'!ED10-'Balance Sheet'!ED8-'Balance Sheet'!ED23+'Balance Sheet'!ED22</f>
        <v>10732704.264616966</v>
      </c>
      <c r="EE27" s="81">
        <f>'Balance Sheet'!EE10-'Balance Sheet'!EE8-'Balance Sheet'!EE23+'Balance Sheet'!EE22</f>
        <v>10678663.29909277</v>
      </c>
      <c r="EF27" s="81">
        <f>'Balance Sheet'!EF10-'Balance Sheet'!EF8-'Balance Sheet'!EF23+'Balance Sheet'!EF22</f>
        <v>10678663.29909277</v>
      </c>
      <c r="EG27" s="81">
        <f>'Balance Sheet'!EG10-'Balance Sheet'!EG8-'Balance Sheet'!EG23+'Balance Sheet'!EG22</f>
        <v>10678663.29909277</v>
      </c>
      <c r="EH27" s="81">
        <f>'Balance Sheet'!EH10-'Balance Sheet'!EH8-'Balance Sheet'!EH23+'Balance Sheet'!EH22</f>
        <v>10678663.29909277</v>
      </c>
      <c r="EI27" s="81">
        <f>'Balance Sheet'!EI10-'Balance Sheet'!EI8-'Balance Sheet'!EI23+'Balance Sheet'!EI22</f>
        <v>10678663.29909277</v>
      </c>
      <c r="EJ27" s="81">
        <f>'Balance Sheet'!EJ10-'Balance Sheet'!EJ8-'Balance Sheet'!EJ23+'Balance Sheet'!EJ22</f>
        <v>10678663.29909277</v>
      </c>
      <c r="EK27" s="81">
        <f>'Balance Sheet'!EK10-'Balance Sheet'!EK8-'Balance Sheet'!EK23+'Balance Sheet'!EK22</f>
        <v>10678663.29909277</v>
      </c>
      <c r="EL27" s="81">
        <f>'Balance Sheet'!EL10-'Balance Sheet'!EL8-'Balance Sheet'!EL23+'Balance Sheet'!EL22</f>
        <v>10678663.29909277</v>
      </c>
      <c r="EM27" s="81">
        <f>'Balance Sheet'!EM10-'Balance Sheet'!EM8-'Balance Sheet'!EM23+'Balance Sheet'!EM22</f>
        <v>10678663.29909277</v>
      </c>
      <c r="EN27" s="81">
        <f>'Balance Sheet'!EN10-'Balance Sheet'!EN8-'Balance Sheet'!EN23+'Balance Sheet'!EN22</f>
        <v>10678663.29909277</v>
      </c>
      <c r="EO27" s="81">
        <f>'Balance Sheet'!EO10-'Balance Sheet'!EO8-'Balance Sheet'!EO23+'Balance Sheet'!EO22</f>
        <v>10678663.29909277</v>
      </c>
      <c r="EP27" s="81">
        <f>'Balance Sheet'!EP10-'Balance Sheet'!EP8-'Balance Sheet'!EP23+'Balance Sheet'!EP22</f>
        <v>10678663.29909277</v>
      </c>
      <c r="EQ27" s="81">
        <f>'Balance Sheet'!EQ10-'Balance Sheet'!EQ8-'Balance Sheet'!EQ23+'Balance Sheet'!EQ22</f>
        <v>11158991.013187647</v>
      </c>
      <c r="ER27" s="81">
        <f>'Balance Sheet'!ER10-'Balance Sheet'!ER8-'Balance Sheet'!ER23+'Balance Sheet'!ER22</f>
        <v>11158991.013187647</v>
      </c>
      <c r="ES27" s="81">
        <f>'Balance Sheet'!ES10-'Balance Sheet'!ES8-'Balance Sheet'!ES23+'Balance Sheet'!ES22</f>
        <v>11158991.013187647</v>
      </c>
      <c r="ET27" s="81">
        <f>'Balance Sheet'!ET10-'Balance Sheet'!ET8-'Balance Sheet'!ET23+'Balance Sheet'!ET22</f>
        <v>11158991.013187647</v>
      </c>
      <c r="EU27" s="81">
        <f>'Balance Sheet'!EU10-'Balance Sheet'!EU8-'Balance Sheet'!EU23+'Balance Sheet'!EU22</f>
        <v>11158991.013187647</v>
      </c>
      <c r="EV27" s="81">
        <f>'Balance Sheet'!EV10-'Balance Sheet'!EV8-'Balance Sheet'!EV23+'Balance Sheet'!EV22</f>
        <v>11158991.013187647</v>
      </c>
      <c r="EW27" s="81">
        <f>'Balance Sheet'!EW10-'Balance Sheet'!EW8-'Balance Sheet'!EW23+'Balance Sheet'!EW22</f>
        <v>11158991.013187647</v>
      </c>
      <c r="EX27" s="81">
        <f>'Balance Sheet'!EX10-'Balance Sheet'!EX8-'Balance Sheet'!EX23+'Balance Sheet'!EX22</f>
        <v>11158991.013187647</v>
      </c>
      <c r="EY27" s="81">
        <f>'Balance Sheet'!EY10-'Balance Sheet'!EY8-'Balance Sheet'!EY23+'Balance Sheet'!EY22</f>
        <v>11158991.013187647</v>
      </c>
      <c r="EZ27" s="81">
        <f>'Balance Sheet'!EZ10-'Balance Sheet'!EZ8-'Balance Sheet'!EZ23+'Balance Sheet'!EZ22</f>
        <v>11158991.013187647</v>
      </c>
      <c r="FA27" s="81">
        <f>'Balance Sheet'!FA10-'Balance Sheet'!FA8-'Balance Sheet'!FA23+'Balance Sheet'!FA22</f>
        <v>11158991.013187647</v>
      </c>
      <c r="FB27" s="81">
        <f>'Balance Sheet'!FB10-'Balance Sheet'!FB8-'Balance Sheet'!FB23+'Balance Sheet'!FB22</f>
        <v>11158991.013187647</v>
      </c>
      <c r="FC27" s="81">
        <f>'Balance Sheet'!FC10-'Balance Sheet'!FC8-'Balance Sheet'!FC23+'Balance Sheet'!FC22</f>
        <v>11104950.04766345</v>
      </c>
      <c r="FD27" s="81">
        <f>'Balance Sheet'!FD10-'Balance Sheet'!FD8-'Balance Sheet'!FD23+'Balance Sheet'!FD22</f>
        <v>11104950.04766345</v>
      </c>
      <c r="FE27" s="81">
        <f>'Balance Sheet'!FE10-'Balance Sheet'!FE8-'Balance Sheet'!FE23+'Balance Sheet'!FE22</f>
        <v>11104950.04766345</v>
      </c>
      <c r="FF27" s="81">
        <f>'Balance Sheet'!FF10-'Balance Sheet'!FF8-'Balance Sheet'!FF23+'Balance Sheet'!FF22</f>
        <v>11104950.04766345</v>
      </c>
      <c r="FG27" s="81">
        <f>'Balance Sheet'!FG10-'Balance Sheet'!FG8-'Balance Sheet'!FG23+'Balance Sheet'!FG22</f>
        <v>11104950.04766345</v>
      </c>
      <c r="FH27" s="81">
        <f>'Balance Sheet'!FH10-'Balance Sheet'!FH8-'Balance Sheet'!FH23+'Balance Sheet'!FH22</f>
        <v>11104950.04766345</v>
      </c>
      <c r="FI27" s="81">
        <f>'Balance Sheet'!FI10-'Balance Sheet'!FI8-'Balance Sheet'!FI23+'Balance Sheet'!FI22</f>
        <v>11104950.04766345</v>
      </c>
      <c r="FJ27" s="81">
        <f>'Balance Sheet'!FJ10-'Balance Sheet'!FJ8-'Balance Sheet'!FJ23+'Balance Sheet'!FJ22</f>
        <v>11104950.04766345</v>
      </c>
      <c r="FK27" s="81">
        <f>'Balance Sheet'!FK10-'Balance Sheet'!FK8-'Balance Sheet'!FK23+'Balance Sheet'!FK22</f>
        <v>11104950.04766345</v>
      </c>
      <c r="FL27" s="81">
        <f>'Balance Sheet'!FL10-'Balance Sheet'!FL8-'Balance Sheet'!FL23+'Balance Sheet'!FL22</f>
        <v>11104950.04766345</v>
      </c>
      <c r="FM27" s="81">
        <f>'Balance Sheet'!FM10-'Balance Sheet'!FM8-'Balance Sheet'!FM23+'Balance Sheet'!FM22</f>
        <v>11104950.04766345</v>
      </c>
      <c r="FN27" s="81">
        <f>'Balance Sheet'!FN10-'Balance Sheet'!FN8-'Balance Sheet'!FN23+'Balance Sheet'!FN22</f>
        <v>11104950.04766345</v>
      </c>
      <c r="FO27" s="81">
        <f>'Balance Sheet'!FO10-'Balance Sheet'!FO8-'Balance Sheet'!FO23+'Balance Sheet'!FO22</f>
        <v>11585277.761757851</v>
      </c>
      <c r="FP27" s="81">
        <f>'Balance Sheet'!FP10-'Balance Sheet'!FP8-'Balance Sheet'!FP23+'Balance Sheet'!FP22</f>
        <v>11585277.761757851</v>
      </c>
      <c r="FQ27" s="81">
        <f>'Balance Sheet'!FQ10-'Balance Sheet'!FQ8-'Balance Sheet'!FQ23+'Balance Sheet'!FQ22</f>
        <v>11585277.761757851</v>
      </c>
      <c r="FR27" s="81">
        <f>'Balance Sheet'!FR10-'Balance Sheet'!FR8-'Balance Sheet'!FR23+'Balance Sheet'!FR22</f>
        <v>11585277.761757851</v>
      </c>
      <c r="FS27" s="81">
        <f>'Balance Sheet'!FS10-'Balance Sheet'!FS8-'Balance Sheet'!FS23+'Balance Sheet'!FS22</f>
        <v>11585277.761757851</v>
      </c>
      <c r="FT27" s="81">
        <f>'Balance Sheet'!FT10-'Balance Sheet'!FT8-'Balance Sheet'!FT23+'Balance Sheet'!FT22</f>
        <v>11585277.761757851</v>
      </c>
      <c r="FU27" s="81">
        <f>'Balance Sheet'!FU10-'Balance Sheet'!FU8-'Balance Sheet'!FU23+'Balance Sheet'!FU22</f>
        <v>11585277.761757851</v>
      </c>
      <c r="FV27" s="81">
        <f>'Balance Sheet'!FV10-'Balance Sheet'!FV8-'Balance Sheet'!FV23+'Balance Sheet'!FV22</f>
        <v>11585277.761757851</v>
      </c>
      <c r="FW27" s="81">
        <f>'Balance Sheet'!FW10-'Balance Sheet'!FW8-'Balance Sheet'!FW23+'Balance Sheet'!FW22</f>
        <v>11585277.761757851</v>
      </c>
      <c r="FX27" s="81">
        <f>'Balance Sheet'!FX10-'Balance Sheet'!FX8-'Balance Sheet'!FX23+'Balance Sheet'!FX22</f>
        <v>11585277.761757851</v>
      </c>
      <c r="FY27" s="81">
        <f>'Balance Sheet'!FY10-'Balance Sheet'!FY8-'Balance Sheet'!FY23+'Balance Sheet'!FY22</f>
        <v>11585277.761757851</v>
      </c>
      <c r="FZ27" s="81">
        <f>'Balance Sheet'!FZ10-'Balance Sheet'!FZ8-'Balance Sheet'!FZ23+'Balance Sheet'!FZ22</f>
        <v>11585277.761757851</v>
      </c>
      <c r="GA27" s="81">
        <f>'Balance Sheet'!GA10-'Balance Sheet'!GA8-'Balance Sheet'!GA23+'Balance Sheet'!GA22</f>
        <v>11531236.796233654</v>
      </c>
      <c r="GB27" s="81">
        <f>'Balance Sheet'!GB10-'Balance Sheet'!GB8-'Balance Sheet'!GB23+'Balance Sheet'!GB22</f>
        <v>11531236.796233654</v>
      </c>
      <c r="GC27" s="81">
        <f>'Balance Sheet'!GC10-'Balance Sheet'!GC8-'Balance Sheet'!GC23+'Balance Sheet'!GC22</f>
        <v>11531236.796233654</v>
      </c>
      <c r="GD27" s="81">
        <f>'Balance Sheet'!GD10-'Balance Sheet'!GD8-'Balance Sheet'!GD23+'Balance Sheet'!GD22</f>
        <v>11531236.796233654</v>
      </c>
      <c r="GE27" s="81">
        <f>'Balance Sheet'!GE10-'Balance Sheet'!GE8-'Balance Sheet'!GE23+'Balance Sheet'!GE22</f>
        <v>11531236.796233654</v>
      </c>
      <c r="GF27" s="81">
        <f>'Balance Sheet'!GF10-'Balance Sheet'!GF8-'Balance Sheet'!GF23+'Balance Sheet'!GF22</f>
        <v>11531236.796233654</v>
      </c>
      <c r="GG27" s="81">
        <f>'Balance Sheet'!GG10-'Balance Sheet'!GG8-'Balance Sheet'!GG23+'Balance Sheet'!GG22</f>
        <v>11531236.796233654</v>
      </c>
      <c r="GH27" s="81">
        <f>'Balance Sheet'!GH10-'Balance Sheet'!GH8-'Balance Sheet'!GH23+'Balance Sheet'!GH22</f>
        <v>11531236.796233654</v>
      </c>
      <c r="GI27" s="81">
        <f>'Balance Sheet'!GI10-'Balance Sheet'!GI8-'Balance Sheet'!GI23+'Balance Sheet'!GI22</f>
        <v>11531236.796233654</v>
      </c>
      <c r="GJ27" s="81">
        <f>'Balance Sheet'!GJ10-'Balance Sheet'!GJ8-'Balance Sheet'!GJ23+'Balance Sheet'!GJ22</f>
        <v>11531236.796233654</v>
      </c>
      <c r="GK27" s="81">
        <f>'Balance Sheet'!GK10-'Balance Sheet'!GK8-'Balance Sheet'!GK23+'Balance Sheet'!GK22</f>
        <v>11531236.796233654</v>
      </c>
      <c r="GL27" s="81">
        <f>'Balance Sheet'!GL10-'Balance Sheet'!GL8-'Balance Sheet'!GL23+'Balance Sheet'!GL22</f>
        <v>11531236.796233654</v>
      </c>
      <c r="GM27" s="81">
        <f>'Balance Sheet'!GM10-'Balance Sheet'!GM8-'Balance Sheet'!GM23+'Balance Sheet'!GM22</f>
        <v>12011564.510328531</v>
      </c>
      <c r="GN27" s="81">
        <f>'Balance Sheet'!GN10-'Balance Sheet'!GN8-'Balance Sheet'!GN23+'Balance Sheet'!GN22</f>
        <v>12011564.510328531</v>
      </c>
      <c r="GO27" s="81">
        <f>'Balance Sheet'!GO10-'Balance Sheet'!GO8-'Balance Sheet'!GO23+'Balance Sheet'!GO22</f>
        <v>12011564.510328531</v>
      </c>
      <c r="GP27" s="81">
        <f>'Balance Sheet'!GP10-'Balance Sheet'!GP8-'Balance Sheet'!GP23+'Balance Sheet'!GP22</f>
        <v>12011564.510328531</v>
      </c>
      <c r="GQ27" s="81">
        <f>'Balance Sheet'!GQ10-'Balance Sheet'!GQ8-'Balance Sheet'!GQ23+'Balance Sheet'!GQ22</f>
        <v>12011564.510328531</v>
      </c>
      <c r="GR27" s="81">
        <f>'Balance Sheet'!GR10-'Balance Sheet'!GR8-'Balance Sheet'!GR23+'Balance Sheet'!GR22</f>
        <v>12011564.510328531</v>
      </c>
      <c r="GS27" s="81">
        <f>'Balance Sheet'!GS10-'Balance Sheet'!GS8-'Balance Sheet'!GS23+'Balance Sheet'!GS22</f>
        <v>12011564.510328531</v>
      </c>
      <c r="GT27" s="81">
        <f>'Balance Sheet'!GT10-'Balance Sheet'!GT8-'Balance Sheet'!GT23+'Balance Sheet'!GT22</f>
        <v>12011564.510328531</v>
      </c>
      <c r="GU27" s="81">
        <f>'Balance Sheet'!GU10-'Balance Sheet'!GU8-'Balance Sheet'!GU23+'Balance Sheet'!GU22</f>
        <v>12011564.510328531</v>
      </c>
      <c r="GV27" s="81">
        <f>'Balance Sheet'!GV10-'Balance Sheet'!GV8-'Balance Sheet'!GV23+'Balance Sheet'!GV22</f>
        <v>12011564.510328531</v>
      </c>
      <c r="GW27" s="81">
        <f>'Balance Sheet'!GW10-'Balance Sheet'!GW8-'Balance Sheet'!GW23+'Balance Sheet'!GW22</f>
        <v>12011564.510328531</v>
      </c>
      <c r="GX27" s="81">
        <f>'Balance Sheet'!GX10-'Balance Sheet'!GX8-'Balance Sheet'!GX23+'Balance Sheet'!GX22</f>
        <v>12011564.510328531</v>
      </c>
      <c r="GY27" s="81">
        <f>'Balance Sheet'!GY10-'Balance Sheet'!GY8-'Balance Sheet'!GY23+'Balance Sheet'!GY22</f>
        <v>11957523.544804335</v>
      </c>
      <c r="GZ27" s="81">
        <f>'Balance Sheet'!GZ10-'Balance Sheet'!GZ8-'Balance Sheet'!GZ23+'Balance Sheet'!GZ22</f>
        <v>11957523.544804335</v>
      </c>
      <c r="HA27" s="81">
        <f>'Balance Sheet'!HA10-'Balance Sheet'!HA8-'Balance Sheet'!HA23+'Balance Sheet'!HA22</f>
        <v>11957523.544804335</v>
      </c>
      <c r="HB27" s="81">
        <f>'Balance Sheet'!HB10-'Balance Sheet'!HB8-'Balance Sheet'!HB23+'Balance Sheet'!HB22</f>
        <v>11957523.544804335</v>
      </c>
      <c r="HC27" s="81">
        <f>'Balance Sheet'!HC10-'Balance Sheet'!HC8-'Balance Sheet'!HC23+'Balance Sheet'!HC22</f>
        <v>11957523.544804335</v>
      </c>
      <c r="HD27" s="81">
        <f>'Balance Sheet'!HD10-'Balance Sheet'!HD8-'Balance Sheet'!HD23+'Balance Sheet'!HD22</f>
        <v>11957523.544804335</v>
      </c>
      <c r="HE27" s="81">
        <f>'Balance Sheet'!HE10-'Balance Sheet'!HE8-'Balance Sheet'!HE23+'Balance Sheet'!HE22</f>
        <v>11957523.544804335</v>
      </c>
      <c r="HF27" s="81">
        <f>'Balance Sheet'!HF10-'Balance Sheet'!HF8-'Balance Sheet'!HF23+'Balance Sheet'!HF22</f>
        <v>11957523.544804335</v>
      </c>
      <c r="HG27" s="81">
        <f>'Balance Sheet'!HG10-'Balance Sheet'!HG8-'Balance Sheet'!HG23+'Balance Sheet'!HG22</f>
        <v>11957523.544804335</v>
      </c>
      <c r="HH27" s="81">
        <f>'Balance Sheet'!HH10-'Balance Sheet'!HH8-'Balance Sheet'!HH23+'Balance Sheet'!HH22</f>
        <v>11957523.544804335</v>
      </c>
      <c r="HI27" s="81">
        <f>'Balance Sheet'!HI10-'Balance Sheet'!HI8-'Balance Sheet'!HI23+'Balance Sheet'!HI22</f>
        <v>11957523.544804335</v>
      </c>
      <c r="HJ27" s="81">
        <f>'Balance Sheet'!HJ10-'Balance Sheet'!HJ8-'Balance Sheet'!HJ23+'Balance Sheet'!HJ22</f>
        <v>11957523.544804335</v>
      </c>
      <c r="HK27" s="81">
        <f>'Balance Sheet'!HK10-'Balance Sheet'!HK8-'Balance Sheet'!HK23+'Balance Sheet'!HK22</f>
        <v>12491892.22442317</v>
      </c>
      <c r="HL27" s="81">
        <f>'Balance Sheet'!HL10-'Balance Sheet'!HL8-'Balance Sheet'!HL23+'Balance Sheet'!HL22</f>
        <v>12491892.22442317</v>
      </c>
      <c r="HM27" s="81">
        <f>'Balance Sheet'!HM10-'Balance Sheet'!HM8-'Balance Sheet'!HM23+'Balance Sheet'!HM22</f>
        <v>12491892.22442317</v>
      </c>
      <c r="HN27" s="81">
        <f>'Balance Sheet'!HN10-'Balance Sheet'!HN8-'Balance Sheet'!HN23+'Balance Sheet'!HN22</f>
        <v>12491892.22442317</v>
      </c>
      <c r="HO27" s="81">
        <f>'Balance Sheet'!HO10-'Balance Sheet'!HO8-'Balance Sheet'!HO23+'Balance Sheet'!HO22</f>
        <v>12491892.22442317</v>
      </c>
      <c r="HP27" s="81">
        <f>'Balance Sheet'!HP10-'Balance Sheet'!HP8-'Balance Sheet'!HP23+'Balance Sheet'!HP22</f>
        <v>12491892.22442317</v>
      </c>
      <c r="HQ27" s="81">
        <f>'Balance Sheet'!HQ10-'Balance Sheet'!HQ8-'Balance Sheet'!HQ23+'Balance Sheet'!HQ22</f>
        <v>12491892.22442317</v>
      </c>
      <c r="HR27" s="81">
        <f>'Balance Sheet'!HR10-'Balance Sheet'!HR8-'Balance Sheet'!HR23+'Balance Sheet'!HR22</f>
        <v>12491892.22442317</v>
      </c>
      <c r="HS27" s="81">
        <f>'Balance Sheet'!HS10-'Balance Sheet'!HS8-'Balance Sheet'!HS23+'Balance Sheet'!HS22</f>
        <v>12491892.22442317</v>
      </c>
      <c r="HT27" s="81">
        <f>'Balance Sheet'!HT10-'Balance Sheet'!HT8-'Balance Sheet'!HT23+'Balance Sheet'!HT22</f>
        <v>12491892.22442317</v>
      </c>
      <c r="HU27" s="81">
        <f>'Balance Sheet'!HU10-'Balance Sheet'!HU8-'Balance Sheet'!HU23+'Balance Sheet'!HU22</f>
        <v>12491892.22442317</v>
      </c>
      <c r="HV27" s="81">
        <f>'Balance Sheet'!HV10-'Balance Sheet'!HV8-'Balance Sheet'!HV23+'Balance Sheet'!HV22</f>
        <v>12491892.22442317</v>
      </c>
      <c r="HW27" s="81">
        <f>'Balance Sheet'!HW10-'Balance Sheet'!HW8-'Balance Sheet'!HW23+'Balance Sheet'!HW22</f>
        <v>12491892.22442317</v>
      </c>
      <c r="HX27" s="81">
        <f>'Balance Sheet'!HX10-'Balance Sheet'!HX8-'Balance Sheet'!HX23+'Balance Sheet'!HX22</f>
        <v>12491892.22442317</v>
      </c>
      <c r="HY27" s="81">
        <f>'Balance Sheet'!HY10-'Balance Sheet'!HY8-'Balance Sheet'!HY23+'Balance Sheet'!HY22</f>
        <v>12491892.22442317</v>
      </c>
      <c r="HZ27" s="81">
        <f>'Balance Sheet'!HZ10-'Balance Sheet'!HZ8-'Balance Sheet'!HZ23+'Balance Sheet'!HZ22</f>
        <v>12491892.22442317</v>
      </c>
      <c r="IA27" s="81">
        <f>'Balance Sheet'!IA10-'Balance Sheet'!IA8-'Balance Sheet'!IA23+'Balance Sheet'!IA22</f>
        <v>12491892.22442317</v>
      </c>
      <c r="IB27" s="81">
        <f>'Balance Sheet'!IB10-'Balance Sheet'!IB8-'Balance Sheet'!IB23+'Balance Sheet'!IB22</f>
        <v>12491892.22442317</v>
      </c>
      <c r="IC27" s="81">
        <f>'Balance Sheet'!IC10-'Balance Sheet'!IC8-'Balance Sheet'!IC23+'Balance Sheet'!IC22</f>
        <v>12491892.22442317</v>
      </c>
      <c r="ID27" s="81">
        <f>'Balance Sheet'!ID10-'Balance Sheet'!ID8-'Balance Sheet'!ID23+'Balance Sheet'!ID22</f>
        <v>12491892.22442317</v>
      </c>
      <c r="IE27" s="81">
        <f>'Balance Sheet'!IE10-'Balance Sheet'!IE8-'Balance Sheet'!IE23+'Balance Sheet'!IE22</f>
        <v>12491892.22442317</v>
      </c>
      <c r="IF27" s="81">
        <f>'Balance Sheet'!IF10-'Balance Sheet'!IF8-'Balance Sheet'!IF23+'Balance Sheet'!IF22</f>
        <v>12491892.22442317</v>
      </c>
      <c r="IG27" s="81">
        <f>'Balance Sheet'!IG10-'Balance Sheet'!IG8-'Balance Sheet'!IG23+'Balance Sheet'!IG22</f>
        <v>12491892.22442317</v>
      </c>
      <c r="IH27" s="81">
        <f>'Balance Sheet'!IH10-'Balance Sheet'!IH8-'Balance Sheet'!IH23+'Balance Sheet'!IH22</f>
        <v>12491892.22442317</v>
      </c>
    </row>
    <row r="28" spans="1:242" x14ac:dyDescent="0.45">
      <c r="A28" s="895" t="s">
        <v>276</v>
      </c>
      <c r="B28" s="896"/>
      <c r="C28" s="81">
        <f>'Income Stmt'!C44</f>
        <v>-5346903.7165688919</v>
      </c>
      <c r="D28" s="81">
        <f>'Income Stmt'!D44</f>
        <v>-4937754.5570717733</v>
      </c>
      <c r="E28" s="81">
        <f>'Income Stmt'!E44</f>
        <v>-4910961.0479607107</v>
      </c>
      <c r="F28" s="81">
        <f>'Income Stmt'!F44</f>
        <v>-4884022.4073419664</v>
      </c>
      <c r="G28" s="81">
        <f>'Income Stmt'!G44</f>
        <v>-4856937.8490865342</v>
      </c>
      <c r="H28" s="81">
        <f>'Income Stmt'!H44</f>
        <v>-4829706.5828072205</v>
      </c>
      <c r="I28" s="81">
        <f>'Income Stmt'!I44</f>
        <v>-4802327.8138355594</v>
      </c>
      <c r="J28" s="81">
        <f>'Income Stmt'!J44</f>
        <v>-4774800.7431986332</v>
      </c>
      <c r="K28" s="81">
        <f>'Income Stmt'!K44</f>
        <v>-4747124.5675957594</v>
      </c>
      <c r="L28" s="81">
        <f>'Income Stmt'!L44</f>
        <v>-4719298.4793750374</v>
      </c>
      <c r="M28" s="81">
        <f>'Income Stmt'!M44</f>
        <v>-4691321.6665097848</v>
      </c>
      <c r="N28" s="81">
        <f>'Income Stmt'!N44</f>
        <v>-4663193.3125748467</v>
      </c>
      <c r="O28" s="81">
        <f>'Income Stmt'!O44</f>
        <v>-10571620.234054705</v>
      </c>
      <c r="P28" s="81">
        <f>'Income Stmt'!P44</f>
        <v>-10403186.330991752</v>
      </c>
      <c r="Q28" s="81">
        <f>'Income Stmt'!Q44</f>
        <v>-10374598.410953876</v>
      </c>
      <c r="R28" s="81">
        <f>'Income Stmt'!R44</f>
        <v>-10345855.639682462</v>
      </c>
      <c r="S28" s="81">
        <f>'Income Stmt'!S44</f>
        <v>-10316957.178399993</v>
      </c>
      <c r="T28" s="81">
        <f>'Income Stmt'!T44</f>
        <v>-10287902.183785578</v>
      </c>
      <c r="U28" s="81">
        <f>'Income Stmt'!U44</f>
        <v>-10258689.807950336</v>
      </c>
      <c r="V28" s="81">
        <f>'Income Stmt'!V44</f>
        <v>-10229319.198412651</v>
      </c>
      <c r="W28" s="81">
        <f>'Income Stmt'!W44</f>
        <v>-10199789.498073306</v>
      </c>
      <c r="X28" s="81">
        <f>'Income Stmt'!X44</f>
        <v>-10170099.845190454</v>
      </c>
      <c r="Y28" s="81">
        <f>'Income Stmt'!Y44</f>
        <v>-10140249.373354489</v>
      </c>
      <c r="Z28" s="81">
        <f>'Income Stmt'!Z44</f>
        <v>-10110237.211462744</v>
      </c>
      <c r="AA28" s="81">
        <f>'Income Stmt'!AA44</f>
        <v>-5282892.4991329536</v>
      </c>
      <c r="AB28" s="81">
        <f>'Income Stmt'!AB44</f>
        <v>-5252554.3249222152</v>
      </c>
      <c r="AC28" s="81">
        <f>'Income Stmt'!AC44</f>
        <v>-5222051.8189345021</v>
      </c>
      <c r="AD28" s="81">
        <f>'Income Stmt'!AD44</f>
        <v>-5191384.091039354</v>
      </c>
      <c r="AE28" s="81">
        <f>'Income Stmt'!AE44</f>
        <v>-5160550.2462847754</v>
      </c>
      <c r="AF28" s="81">
        <f>'Income Stmt'!AF44</f>
        <v>-5129549.3848711103</v>
      </c>
      <c r="AG28" s="81">
        <f>'Income Stmt'!AG44</f>
        <v>-5098380.602124786</v>
      </c>
      <c r="AH28" s="81">
        <f>'Income Stmt'!AH44</f>
        <v>-5067042.9884719197</v>
      </c>
      <c r="AI28" s="81">
        <f>'Income Stmt'!AI44</f>
        <v>-5035535.6294117682</v>
      </c>
      <c r="AJ28" s="81">
        <f>'Income Stmt'!AJ44</f>
        <v>-5003857.6054900391</v>
      </c>
      <c r="AK28" s="81">
        <f>'Income Stmt'!AK44</f>
        <v>-4972007.9922720678</v>
      </c>
      <c r="AL28" s="81">
        <f>'Income Stmt'!AL44</f>
        <v>-4939985.8603158332</v>
      </c>
      <c r="AM28" s="81">
        <f>'Income Stmt'!AM44</f>
        <v>-1290556.686170781</v>
      </c>
      <c r="AN28" s="81">
        <f>'Income Stmt'!AN44</f>
        <v>-1258186.7082467726</v>
      </c>
      <c r="AO28" s="81">
        <f>'Income Stmt'!AO44</f>
        <v>-1225641.3929423438</v>
      </c>
      <c r="AP28" s="81">
        <f>'Income Stmt'!AP44</f>
        <v>-1192919.7905133492</v>
      </c>
      <c r="AQ28" s="81">
        <f>'Income Stmt'!AQ44</f>
        <v>-1160020.9460711973</v>
      </c>
      <c r="AR28" s="81">
        <f>'Income Stmt'!AR44</f>
        <v>-1126943.8995549837</v>
      </c>
      <c r="AS28" s="81">
        <f>'Income Stmt'!AS44</f>
        <v>-1093687.6857034736</v>
      </c>
      <c r="AT28" s="81">
        <f>'Income Stmt'!AT44</f>
        <v>-1060251.334026935</v>
      </c>
      <c r="AU28" s="81">
        <f>'Income Stmt'!AU44</f>
        <v>-1026633.8687788155</v>
      </c>
      <c r="AV28" s="81">
        <f>'Income Stmt'!AV44</f>
        <v>-992834.30892726779</v>
      </c>
      <c r="AW28" s="81">
        <f>'Income Stmt'!AW44</f>
        <v>-958851.66812652489</v>
      </c>
      <c r="AX28" s="81">
        <f>'Income Stmt'!AX44</f>
        <v>-924684.95468811039</v>
      </c>
      <c r="AY28" s="81">
        <f>'Income Stmt'!AY44</f>
        <v>2860158.5361687187</v>
      </c>
      <c r="AZ28" s="81">
        <f>'Income Stmt'!AZ44</f>
        <v>2889515.7131693494</v>
      </c>
      <c r="BA28" s="81">
        <f>'Income Stmt'!BA44</f>
        <v>2919031.9082120662</v>
      </c>
      <c r="BB28" s="81">
        <f>'Income Stmt'!BB44</f>
        <v>2948707.9826445989</v>
      </c>
      <c r="BC28" s="81">
        <f>'Income Stmt'!BC44</f>
        <v>2978544.8024803074</v>
      </c>
      <c r="BD28" s="81">
        <f>'Income Stmt'!BD44</f>
        <v>3008543.2384234592</v>
      </c>
      <c r="BE28" s="81">
        <f>'Income Stmt'!BE44</f>
        <v>3038704.1658946369</v>
      </c>
      <c r="BF28" s="81">
        <f>'Income Stmt'!BF44</f>
        <v>3069028.4650562829</v>
      </c>
      <c r="BG28" s="81">
        <f>'Income Stmt'!BG44</f>
        <v>3099517.0208383878</v>
      </c>
      <c r="BH28" s="81">
        <f>'Income Stmt'!BH44</f>
        <v>3130170.7229643124</v>
      </c>
      <c r="BI28" s="81">
        <f>'Income Stmt'!BI44</f>
        <v>3160990.4659767528</v>
      </c>
      <c r="BJ28" s="81">
        <f>'Income Stmt'!BJ44</f>
        <v>3191977.1492638439</v>
      </c>
      <c r="BK28" s="81">
        <f>'Income Stmt'!BK44</f>
        <v>5644417.4107049126</v>
      </c>
      <c r="BL28" s="81">
        <f>'Income Stmt'!BL44</f>
        <v>5675740.692218842</v>
      </c>
      <c r="BM28" s="81">
        <f>'Income Stmt'!BM44</f>
        <v>5707233.6415076395</v>
      </c>
      <c r="BN28" s="81">
        <f>'Income Stmt'!BN44</f>
        <v>5738897.1776050823</v>
      </c>
      <c r="BO28" s="81">
        <f>'Income Stmt'!BO44</f>
        <v>5770732.2245230554</v>
      </c>
      <c r="BP28" s="81">
        <f>'Income Stmt'!BP44</f>
        <v>5802739.7112785</v>
      </c>
      <c r="BQ28" s="81">
        <f>'Income Stmt'!BQ44</f>
        <v>5834920.5719205355</v>
      </c>
      <c r="BR28" s="81">
        <f>'Income Stmt'!BR44</f>
        <v>5867275.745557717</v>
      </c>
      <c r="BS28" s="81">
        <f>'Income Stmt'!BS44</f>
        <v>5899806.1763854325</v>
      </c>
      <c r="BT28" s="81">
        <f>'Income Stmt'!BT44</f>
        <v>5932512.8137134649</v>
      </c>
      <c r="BU28" s="81">
        <f>'Income Stmt'!BU44</f>
        <v>5965396.611993691</v>
      </c>
      <c r="BV28" s="81">
        <f>'Income Stmt'!BV44</f>
        <v>5998458.530847935</v>
      </c>
      <c r="BW28" s="81">
        <f>'Income Stmt'!BW44</f>
        <v>6356431.0175719354</v>
      </c>
      <c r="BX28" s="81">
        <f>'Income Stmt'!BX44</f>
        <v>6389852.0772596486</v>
      </c>
      <c r="BY28" s="81">
        <f>'Income Stmt'!BY44</f>
        <v>6423454.1676873388</v>
      </c>
      <c r="BZ28" s="81">
        <f>'Income Stmt'!BZ44</f>
        <v>6457238.2694381783</v>
      </c>
      <c r="CA28" s="81">
        <f>'Income Stmt'!CA44</f>
        <v>6491205.368406835</v>
      </c>
      <c r="CB28" s="81">
        <f>'Income Stmt'!CB44</f>
        <v>6525356.4558282383</v>
      </c>
      <c r="CC28" s="81">
        <f>'Income Stmt'!CC44</f>
        <v>6559692.5283065075</v>
      </c>
      <c r="CD28" s="81">
        <f>'Income Stmt'!CD44</f>
        <v>6594214.5878440347</v>
      </c>
      <c r="CE28" s="81">
        <f>'Income Stmt'!CE44</f>
        <v>6628923.6418707222</v>
      </c>
      <c r="CF28" s="81">
        <f>'Income Stmt'!CF44</f>
        <v>6663820.7032733886</v>
      </c>
      <c r="CG28" s="81">
        <f>'Income Stmt'!CG44</f>
        <v>6698906.7904253192</v>
      </c>
      <c r="CH28" s="81">
        <f>'Income Stmt'!CH44</f>
        <v>6734182.9272159897</v>
      </c>
      <c r="CI28" s="81">
        <f>'Income Stmt'!CI44</f>
        <v>6769650.1430809423</v>
      </c>
      <c r="CJ28" s="81">
        <f>'Income Stmt'!CJ44</f>
        <v>6805309.47303183</v>
      </c>
      <c r="CK28" s="81">
        <f>'Income Stmt'!CK44</f>
        <v>6841161.9576866198</v>
      </c>
      <c r="CL28" s="81">
        <f>'Income Stmt'!CL44</f>
        <v>6877208.6432999549</v>
      </c>
      <c r="CM28" s="81">
        <f>'Income Stmt'!CM44</f>
        <v>6913450.5817936966</v>
      </c>
      <c r="CN28" s="81">
        <f>'Income Stmt'!CN44</f>
        <v>6909945.5084437151</v>
      </c>
      <c r="CO28" s="81">
        <f>'Income Stmt'!CO44</f>
        <v>6946581.1312863473</v>
      </c>
      <c r="CP28" s="81">
        <f>'Income Stmt'!CP44</f>
        <v>6983415.1970860446</v>
      </c>
      <c r="CQ28" s="81">
        <f>'Income Stmt'!CQ44</f>
        <v>7020448.7807421573</v>
      </c>
      <c r="CR28" s="81">
        <f>'Income Stmt'!CR44</f>
        <v>7057682.9629764054</v>
      </c>
      <c r="CS28" s="81">
        <f>'Income Stmt'!CS44</f>
        <v>7095118.8303644247</v>
      </c>
      <c r="CT28" s="81">
        <f>'Income Stmt'!CT44</f>
        <v>7132757.4753674604</v>
      </c>
      <c r="CU28" s="81">
        <f>'Income Stmt'!CU44</f>
        <v>7788249.1760288067</v>
      </c>
      <c r="CV28" s="81">
        <f>'Income Stmt'!CV44</f>
        <v>7826296.677347675</v>
      </c>
      <c r="CW28" s="81">
        <f>'Income Stmt'!CW44</f>
        <v>7864550.2692986876</v>
      </c>
      <c r="CX28" s="81">
        <f>'Income Stmt'!CX44</f>
        <v>7903011.0682061026</v>
      </c>
      <c r="CY28" s="81">
        <f>'Income Stmt'!CY44</f>
        <v>7941680.1964409314</v>
      </c>
      <c r="CZ28" s="81">
        <f>'Income Stmt'!CZ44</f>
        <v>7980558.7824537</v>
      </c>
      <c r="DA28" s="81">
        <f>'Income Stmt'!DA44</f>
        <v>8019647.96080737</v>
      </c>
      <c r="DB28" s="81">
        <f>'Income Stmt'!DB44</f>
        <v>8058948.8722104551</v>
      </c>
      <c r="DC28" s="81">
        <f>'Income Stmt'!DC44</f>
        <v>8098462.6635503089</v>
      </c>
      <c r="DD28" s="81">
        <f>'Income Stmt'!DD44</f>
        <v>8138190.4879265856</v>
      </c>
      <c r="DE28" s="81">
        <f>'Income Stmt'!DE44</f>
        <v>8178133.5046849018</v>
      </c>
      <c r="DF28" s="81">
        <f>'Income Stmt'!DF44</f>
        <v>8218292.8794506583</v>
      </c>
      <c r="DG28" s="81">
        <f>'Income Stmt'!DG44</f>
        <v>8218726.4618191645</v>
      </c>
      <c r="DH28" s="81">
        <f>'Income Stmt'!DH44</f>
        <v>8259322.074765427</v>
      </c>
      <c r="DI28" s="81">
        <f>'Income Stmt'!DI44</f>
        <v>8300137.5806151498</v>
      </c>
      <c r="DJ28" s="81">
        <f>'Income Stmt'!DJ44</f>
        <v>8341174.1704548895</v>
      </c>
      <c r="DK28" s="81">
        <f>'Income Stmt'!DK44</f>
        <v>8382433.0418229308</v>
      </c>
      <c r="DL28" s="81">
        <f>'Income Stmt'!DL44</f>
        <v>8423915.3987442125</v>
      </c>
      <c r="DM28" s="81">
        <f>'Income Stmt'!DM44</f>
        <v>8465622.4517654851</v>
      </c>
      <c r="DN28" s="81">
        <f>'Income Stmt'!DN44</f>
        <v>8507555.4179906249</v>
      </c>
      <c r="DO28" s="81">
        <f>'Income Stmt'!DO44</f>
        <v>8549715.5211161505</v>
      </c>
      <c r="DP28" s="81">
        <f>'Income Stmt'!DP44</f>
        <v>8592103.9914669376</v>
      </c>
      <c r="DQ28" s="81">
        <f>'Income Stmt'!DQ44</f>
        <v>8634722.0660321265</v>
      </c>
      <c r="DR28" s="81">
        <f>'Income Stmt'!DR44</f>
        <v>8677570.9885012098</v>
      </c>
      <c r="DS28" s="81">
        <f>'Income Stmt'!DS44</f>
        <v>9338301.1889648773</v>
      </c>
      <c r="DT28" s="81">
        <f>'Income Stmt'!DT44</f>
        <v>9338301.1889648773</v>
      </c>
      <c r="DU28" s="81">
        <f>'Income Stmt'!DU44</f>
        <v>9338301.1889648773</v>
      </c>
      <c r="DV28" s="81">
        <f>'Income Stmt'!DV44</f>
        <v>9338301.1889648773</v>
      </c>
      <c r="DW28" s="81">
        <f>'Income Stmt'!DW44</f>
        <v>9338301.1889648773</v>
      </c>
      <c r="DX28" s="81">
        <f>'Income Stmt'!DX44</f>
        <v>9338301.1889648773</v>
      </c>
      <c r="DY28" s="81">
        <f>'Income Stmt'!DY44</f>
        <v>9338301.1889648773</v>
      </c>
      <c r="DZ28" s="81">
        <f>'Income Stmt'!DZ44</f>
        <v>9338301.1889648773</v>
      </c>
      <c r="EA28" s="81">
        <f>'Income Stmt'!EA44</f>
        <v>9338301.1889648773</v>
      </c>
      <c r="EB28" s="81">
        <f>'Income Stmt'!EB44</f>
        <v>9338301.1889648773</v>
      </c>
      <c r="EC28" s="81">
        <f>'Income Stmt'!EC44</f>
        <v>9338301.1889648773</v>
      </c>
      <c r="ED28" s="81">
        <f>'Income Stmt'!ED44</f>
        <v>9338301.1889648773</v>
      </c>
      <c r="EE28" s="81">
        <f>'Income Stmt'!EE44</f>
        <v>9298357.8666209783</v>
      </c>
      <c r="EF28" s="81">
        <f>'Income Stmt'!EF44</f>
        <v>9298357.8666209783</v>
      </c>
      <c r="EG28" s="81">
        <f>'Income Stmt'!EG44</f>
        <v>9298357.8666209783</v>
      </c>
      <c r="EH28" s="81">
        <f>'Income Stmt'!EH44</f>
        <v>9298357.8666209783</v>
      </c>
      <c r="EI28" s="81">
        <f>'Income Stmt'!EI44</f>
        <v>9298357.8666209783</v>
      </c>
      <c r="EJ28" s="81">
        <f>'Income Stmt'!EJ44</f>
        <v>9298357.8666209783</v>
      </c>
      <c r="EK28" s="81">
        <f>'Income Stmt'!EK44</f>
        <v>9298357.8666209783</v>
      </c>
      <c r="EL28" s="81">
        <f>'Income Stmt'!EL44</f>
        <v>9298357.8666209783</v>
      </c>
      <c r="EM28" s="81">
        <f>'Income Stmt'!EM44</f>
        <v>9298357.8666209783</v>
      </c>
      <c r="EN28" s="81">
        <f>'Income Stmt'!EN44</f>
        <v>9298357.8666209783</v>
      </c>
      <c r="EO28" s="81">
        <f>'Income Stmt'!EO44</f>
        <v>9298357.8666209783</v>
      </c>
      <c r="EP28" s="81">
        <f>'Income Stmt'!EP44</f>
        <v>9298357.8666209783</v>
      </c>
      <c r="EQ28" s="81">
        <f>'Income Stmt'!EQ44</f>
        <v>9916007.0462855231</v>
      </c>
      <c r="ER28" s="81">
        <f>'Income Stmt'!ER44</f>
        <v>9916007.0462855231</v>
      </c>
      <c r="ES28" s="81">
        <f>'Income Stmt'!ES44</f>
        <v>9916007.0462855231</v>
      </c>
      <c r="ET28" s="81">
        <f>'Income Stmt'!ET44</f>
        <v>9916007.0462855231</v>
      </c>
      <c r="EU28" s="81">
        <f>'Income Stmt'!EU44</f>
        <v>9916007.0462855231</v>
      </c>
      <c r="EV28" s="81">
        <f>'Income Stmt'!EV44</f>
        <v>9916007.0462855231</v>
      </c>
      <c r="EW28" s="81">
        <f>'Income Stmt'!EW44</f>
        <v>9916007.0462855231</v>
      </c>
      <c r="EX28" s="81">
        <f>'Income Stmt'!EX44</f>
        <v>9916007.0462855231</v>
      </c>
      <c r="EY28" s="81">
        <f>'Income Stmt'!EY44</f>
        <v>9916007.0462855231</v>
      </c>
      <c r="EZ28" s="81">
        <f>'Income Stmt'!EZ44</f>
        <v>9916007.0462855231</v>
      </c>
      <c r="FA28" s="81">
        <f>'Income Stmt'!FA44</f>
        <v>9916007.0462855231</v>
      </c>
      <c r="FB28" s="81">
        <f>'Income Stmt'!FB44</f>
        <v>9916007.0462855231</v>
      </c>
      <c r="FC28" s="81">
        <f>'Income Stmt'!FC44</f>
        <v>9876063.7239416223</v>
      </c>
      <c r="FD28" s="81">
        <f>'Income Stmt'!FD44</f>
        <v>9876063.7239416223</v>
      </c>
      <c r="FE28" s="81">
        <f>'Income Stmt'!FE44</f>
        <v>9876063.7239416223</v>
      </c>
      <c r="FF28" s="81">
        <f>'Income Stmt'!FF44</f>
        <v>9876063.7239416223</v>
      </c>
      <c r="FG28" s="81">
        <f>'Income Stmt'!FG44</f>
        <v>9876063.7239416223</v>
      </c>
      <c r="FH28" s="81">
        <f>'Income Stmt'!FH44</f>
        <v>9876063.7239416223</v>
      </c>
      <c r="FI28" s="81">
        <f>'Income Stmt'!FI44</f>
        <v>9876063.7239416223</v>
      </c>
      <c r="FJ28" s="81">
        <f>'Income Stmt'!FJ44</f>
        <v>9876063.7239416223</v>
      </c>
      <c r="FK28" s="81">
        <f>'Income Stmt'!FK44</f>
        <v>9876063.7239416223</v>
      </c>
      <c r="FL28" s="81">
        <f>'Income Stmt'!FL44</f>
        <v>9876063.7239416223</v>
      </c>
      <c r="FM28" s="81">
        <f>'Income Stmt'!FM44</f>
        <v>9876063.7239416223</v>
      </c>
      <c r="FN28" s="81">
        <f>'Income Stmt'!FN44</f>
        <v>9876063.7239416223</v>
      </c>
      <c r="FO28" s="81">
        <f>'Income Stmt'!FO44</f>
        <v>10493712.903606161</v>
      </c>
      <c r="FP28" s="81">
        <f>'Income Stmt'!FP44</f>
        <v>10493712.903606161</v>
      </c>
      <c r="FQ28" s="81">
        <f>'Income Stmt'!FQ44</f>
        <v>10493712.903606161</v>
      </c>
      <c r="FR28" s="81">
        <f>'Income Stmt'!FR44</f>
        <v>10493712.903606161</v>
      </c>
      <c r="FS28" s="81">
        <f>'Income Stmt'!FS44</f>
        <v>10493712.903606161</v>
      </c>
      <c r="FT28" s="81">
        <f>'Income Stmt'!FT44</f>
        <v>10493712.903606161</v>
      </c>
      <c r="FU28" s="81">
        <f>'Income Stmt'!FU44</f>
        <v>10493712.903606161</v>
      </c>
      <c r="FV28" s="81">
        <f>'Income Stmt'!FV44</f>
        <v>10493712.903606161</v>
      </c>
      <c r="FW28" s="81">
        <f>'Income Stmt'!FW44</f>
        <v>10493712.903606161</v>
      </c>
      <c r="FX28" s="81">
        <f>'Income Stmt'!FX44</f>
        <v>10493712.903606161</v>
      </c>
      <c r="FY28" s="81">
        <f>'Income Stmt'!FY44</f>
        <v>10493712.903606161</v>
      </c>
      <c r="FZ28" s="81">
        <f>'Income Stmt'!FZ44</f>
        <v>10493712.903606161</v>
      </c>
      <c r="GA28" s="81">
        <f>'Income Stmt'!GA44</f>
        <v>10453769.581262264</v>
      </c>
      <c r="GB28" s="81">
        <f>'Income Stmt'!GB44</f>
        <v>10453769.581262264</v>
      </c>
      <c r="GC28" s="81">
        <f>'Income Stmt'!GC44</f>
        <v>10453769.581262264</v>
      </c>
      <c r="GD28" s="81">
        <f>'Income Stmt'!GD44</f>
        <v>10453769.581262264</v>
      </c>
      <c r="GE28" s="81">
        <f>'Income Stmt'!GE44</f>
        <v>10453769.581262264</v>
      </c>
      <c r="GF28" s="81">
        <f>'Income Stmt'!GF44</f>
        <v>10453769.581262264</v>
      </c>
      <c r="GG28" s="81">
        <f>'Income Stmt'!GG44</f>
        <v>10453769.581262264</v>
      </c>
      <c r="GH28" s="81">
        <f>'Income Stmt'!GH44</f>
        <v>10453769.581262264</v>
      </c>
      <c r="GI28" s="81">
        <f>'Income Stmt'!GI44</f>
        <v>10453769.581262264</v>
      </c>
      <c r="GJ28" s="81">
        <f>'Income Stmt'!GJ44</f>
        <v>10453769.581262264</v>
      </c>
      <c r="GK28" s="81">
        <f>'Income Stmt'!GK44</f>
        <v>10453769.581262264</v>
      </c>
      <c r="GL28" s="81">
        <f>'Income Stmt'!GL44</f>
        <v>10453769.581262264</v>
      </c>
      <c r="GM28" s="81">
        <f>'Income Stmt'!GM44</f>
        <v>15961972.785992295</v>
      </c>
      <c r="GN28" s="81">
        <f>'Income Stmt'!GN44</f>
        <v>15961972.785992295</v>
      </c>
      <c r="GO28" s="81">
        <f>'Income Stmt'!GO44</f>
        <v>15961972.785992295</v>
      </c>
      <c r="GP28" s="81">
        <f>'Income Stmt'!GP44</f>
        <v>15961972.785992295</v>
      </c>
      <c r="GQ28" s="81">
        <f>'Income Stmt'!GQ44</f>
        <v>15961972.785992295</v>
      </c>
      <c r="GR28" s="81">
        <f>'Income Stmt'!GR44</f>
        <v>15961972.785992295</v>
      </c>
      <c r="GS28" s="81">
        <f>'Income Stmt'!GS44</f>
        <v>15961972.785992295</v>
      </c>
      <c r="GT28" s="81">
        <f>'Income Stmt'!GT44</f>
        <v>15961972.785992295</v>
      </c>
      <c r="GU28" s="81">
        <f>'Income Stmt'!GU44</f>
        <v>15961972.785992295</v>
      </c>
      <c r="GV28" s="81">
        <f>'Income Stmt'!GV44</f>
        <v>15961972.785992295</v>
      </c>
      <c r="GW28" s="81">
        <f>'Income Stmt'!GW44</f>
        <v>15961972.785992295</v>
      </c>
      <c r="GX28" s="81">
        <f>'Income Stmt'!GX44</f>
        <v>15961972.785992295</v>
      </c>
      <c r="GY28" s="81">
        <f>'Income Stmt'!GY44</f>
        <v>15922029.463648397</v>
      </c>
      <c r="GZ28" s="81">
        <f>'Income Stmt'!GZ44</f>
        <v>15922029.463648397</v>
      </c>
      <c r="HA28" s="81">
        <f>'Income Stmt'!HA44</f>
        <v>15922029.463648397</v>
      </c>
      <c r="HB28" s="81">
        <f>'Income Stmt'!HB44</f>
        <v>15922029.463648397</v>
      </c>
      <c r="HC28" s="81">
        <f>'Income Stmt'!HC44</f>
        <v>15922029.463648397</v>
      </c>
      <c r="HD28" s="81">
        <f>'Income Stmt'!HD44</f>
        <v>15922029.463648397</v>
      </c>
      <c r="HE28" s="81">
        <f>'Income Stmt'!HE44</f>
        <v>15922029.463648397</v>
      </c>
      <c r="HF28" s="81">
        <f>'Income Stmt'!HF44</f>
        <v>15922029.463648397</v>
      </c>
      <c r="HG28" s="81">
        <f>'Income Stmt'!HG44</f>
        <v>15922029.463648397</v>
      </c>
      <c r="HH28" s="81">
        <f>'Income Stmt'!HH44</f>
        <v>15922029.463648397</v>
      </c>
      <c r="HI28" s="81">
        <f>'Income Stmt'!HI44</f>
        <v>15922029.463648397</v>
      </c>
      <c r="HJ28" s="81">
        <f>'Income Stmt'!HJ44</f>
        <v>15922029.463648397</v>
      </c>
      <c r="HK28" s="81">
        <f>'Income Stmt'!HK44</f>
        <v>16579621.96565683</v>
      </c>
      <c r="HL28" s="81">
        <f>'Income Stmt'!HL44</f>
        <v>16579621.96565683</v>
      </c>
      <c r="HM28" s="81">
        <f>'Income Stmt'!HM44</f>
        <v>16579621.96565683</v>
      </c>
      <c r="HN28" s="81">
        <f>'Income Stmt'!HN44</f>
        <v>16579621.96565683</v>
      </c>
      <c r="HO28" s="81">
        <f>'Income Stmt'!HO44</f>
        <v>16579621.96565683</v>
      </c>
      <c r="HP28" s="81">
        <f>'Income Stmt'!HP44</f>
        <v>16579621.96565683</v>
      </c>
      <c r="HQ28" s="81">
        <f>'Income Stmt'!HQ44</f>
        <v>16579621.96565683</v>
      </c>
      <c r="HR28" s="81">
        <f>'Income Stmt'!HR44</f>
        <v>16579621.96565683</v>
      </c>
      <c r="HS28" s="81">
        <f>'Income Stmt'!HS44</f>
        <v>16579621.96565683</v>
      </c>
      <c r="HT28" s="81">
        <f>'Income Stmt'!HT44</f>
        <v>16579621.96565683</v>
      </c>
      <c r="HU28" s="81">
        <f>'Income Stmt'!HU44</f>
        <v>16579621.96565683</v>
      </c>
      <c r="HV28" s="81">
        <f>'Income Stmt'!HV44</f>
        <v>16579621.96565683</v>
      </c>
      <c r="HW28" s="81">
        <f>'Income Stmt'!HW44</f>
        <v>16579621.96565683</v>
      </c>
      <c r="HX28" s="81">
        <f>'Income Stmt'!HX44</f>
        <v>16579621.96565683</v>
      </c>
      <c r="HY28" s="81">
        <f>'Income Stmt'!HY44</f>
        <v>16579621.96565683</v>
      </c>
      <c r="HZ28" s="81">
        <f>'Income Stmt'!HZ44</f>
        <v>16579621.96565683</v>
      </c>
      <c r="IA28" s="81">
        <f>'Income Stmt'!IA44</f>
        <v>16579621.96565683</v>
      </c>
      <c r="IB28" s="81">
        <f>'Income Stmt'!IB44</f>
        <v>16579621.96565683</v>
      </c>
      <c r="IC28" s="81">
        <f>'Income Stmt'!IC44</f>
        <v>16579621.96565683</v>
      </c>
      <c r="ID28" s="81">
        <f>'Income Stmt'!ID44</f>
        <v>16579621.96565683</v>
      </c>
      <c r="IE28" s="81">
        <f>'Income Stmt'!IE44</f>
        <v>16579621.96565683</v>
      </c>
      <c r="IF28" s="81">
        <f>'Income Stmt'!IF44</f>
        <v>16579621.96565683</v>
      </c>
      <c r="IG28" s="81">
        <f>'Income Stmt'!IG44</f>
        <v>16579621.96565683</v>
      </c>
      <c r="IH28" s="81">
        <f>'Income Stmt'!IH44</f>
        <v>16579621.96565683</v>
      </c>
    </row>
    <row r="29" spans="1:242" x14ac:dyDescent="0.45">
      <c r="A29" s="895" t="s">
        <v>303</v>
      </c>
      <c r="B29" s="896"/>
      <c r="C29" s="81">
        <f>-'Income Stmt'!C40</f>
        <v>0</v>
      </c>
      <c r="D29" s="81">
        <f>'Income Stmt'!D60</f>
        <v>0</v>
      </c>
      <c r="E29" s="81">
        <f>'Income Stmt'!E60</f>
        <v>0</v>
      </c>
      <c r="F29" s="81">
        <f>'Income Stmt'!F60</f>
        <v>0</v>
      </c>
      <c r="G29" s="81">
        <f>'Income Stmt'!G60</f>
        <v>0</v>
      </c>
      <c r="H29" s="81">
        <f>'Income Stmt'!H60</f>
        <v>0</v>
      </c>
      <c r="I29" s="81">
        <f>'Income Stmt'!I60</f>
        <v>0</v>
      </c>
      <c r="J29" s="81">
        <f>'Income Stmt'!J60</f>
        <v>0</v>
      </c>
      <c r="K29" s="81">
        <f>'Income Stmt'!K60</f>
        <v>0</v>
      </c>
      <c r="L29" s="81">
        <f>'Income Stmt'!L60</f>
        <v>0</v>
      </c>
      <c r="M29" s="81">
        <f>'Income Stmt'!M60</f>
        <v>0</v>
      </c>
      <c r="N29" s="81">
        <f>'Income Stmt'!N60</f>
        <v>0</v>
      </c>
      <c r="O29" s="81">
        <f>'Income Stmt'!O60</f>
        <v>0</v>
      </c>
      <c r="P29" s="81">
        <f>'Income Stmt'!P60</f>
        <v>0</v>
      </c>
      <c r="Q29" s="81">
        <f>'Income Stmt'!Q60</f>
        <v>0</v>
      </c>
      <c r="R29" s="81">
        <f>'Income Stmt'!R60</f>
        <v>0</v>
      </c>
      <c r="S29" s="81">
        <f>'Income Stmt'!S60</f>
        <v>0</v>
      </c>
      <c r="T29" s="81">
        <f>'Income Stmt'!T60</f>
        <v>0</v>
      </c>
      <c r="U29" s="81">
        <f>'Income Stmt'!U60</f>
        <v>0</v>
      </c>
      <c r="V29" s="81">
        <f>'Income Stmt'!V60</f>
        <v>0</v>
      </c>
      <c r="W29" s="81">
        <f>'Income Stmt'!W60</f>
        <v>0</v>
      </c>
      <c r="X29" s="81">
        <f>'Income Stmt'!X60</f>
        <v>0</v>
      </c>
      <c r="Y29" s="81">
        <f>'Income Stmt'!Y60</f>
        <v>0</v>
      </c>
      <c r="Z29" s="81">
        <f>'Income Stmt'!Z60</f>
        <v>0</v>
      </c>
      <c r="AA29" s="81">
        <f>'Income Stmt'!AA60</f>
        <v>0</v>
      </c>
      <c r="AB29" s="81">
        <f>'Income Stmt'!AB60</f>
        <v>0</v>
      </c>
      <c r="AC29" s="81">
        <f>'Income Stmt'!AC60</f>
        <v>0</v>
      </c>
      <c r="AD29" s="81">
        <f>'Income Stmt'!AD60</f>
        <v>0</v>
      </c>
      <c r="AE29" s="81">
        <f>'Income Stmt'!AE60</f>
        <v>0</v>
      </c>
      <c r="AF29" s="81">
        <f>'Income Stmt'!AF60</f>
        <v>0</v>
      </c>
      <c r="AG29" s="81">
        <f>'Income Stmt'!AG60</f>
        <v>0</v>
      </c>
      <c r="AH29" s="81">
        <f>'Income Stmt'!AH60</f>
        <v>0</v>
      </c>
      <c r="AI29" s="81">
        <f>'Income Stmt'!AI60</f>
        <v>0</v>
      </c>
      <c r="AJ29" s="81">
        <f>'Income Stmt'!AJ60</f>
        <v>0</v>
      </c>
      <c r="AK29" s="81">
        <f>'Income Stmt'!AK60</f>
        <v>0</v>
      </c>
      <c r="AL29" s="81">
        <f>'Income Stmt'!AL60</f>
        <v>0</v>
      </c>
      <c r="AM29" s="81">
        <f>'Income Stmt'!AM60</f>
        <v>0</v>
      </c>
      <c r="AN29" s="81">
        <f>'Income Stmt'!AN60</f>
        <v>0</v>
      </c>
      <c r="AO29" s="81">
        <f>'Income Stmt'!AO60</f>
        <v>0</v>
      </c>
      <c r="AP29" s="81">
        <f>'Income Stmt'!AP60</f>
        <v>0</v>
      </c>
      <c r="AQ29" s="81">
        <f>'Income Stmt'!AQ60</f>
        <v>0</v>
      </c>
      <c r="AR29" s="81">
        <f>'Income Stmt'!AR60</f>
        <v>0</v>
      </c>
      <c r="AS29" s="81">
        <f>'Income Stmt'!AS60</f>
        <v>0</v>
      </c>
      <c r="AT29" s="81">
        <f>'Income Stmt'!AT60</f>
        <v>0</v>
      </c>
      <c r="AU29" s="81">
        <f>'Income Stmt'!AU60</f>
        <v>0</v>
      </c>
      <c r="AV29" s="81">
        <f>'Income Stmt'!AV60</f>
        <v>0</v>
      </c>
      <c r="AW29" s="81">
        <f>'Income Stmt'!AW60</f>
        <v>0</v>
      </c>
      <c r="AX29" s="81">
        <f>'Income Stmt'!AX60</f>
        <v>0</v>
      </c>
      <c r="AY29" s="81">
        <f>'Income Stmt'!AY60</f>
        <v>0</v>
      </c>
      <c r="AZ29" s="81">
        <f>'Income Stmt'!AZ60</f>
        <v>0</v>
      </c>
      <c r="BA29" s="81">
        <f>'Income Stmt'!BA60</f>
        <v>0</v>
      </c>
      <c r="BB29" s="81">
        <f>'Income Stmt'!BB60</f>
        <v>0</v>
      </c>
      <c r="BC29" s="81">
        <f>'Income Stmt'!BC60</f>
        <v>0</v>
      </c>
      <c r="BD29" s="81">
        <f>'Income Stmt'!BD60</f>
        <v>0</v>
      </c>
      <c r="BE29" s="81">
        <f>'Income Stmt'!BE60</f>
        <v>0</v>
      </c>
      <c r="BF29" s="81">
        <f>'Income Stmt'!BF60</f>
        <v>0</v>
      </c>
      <c r="BG29" s="81">
        <f>'Income Stmt'!BG60</f>
        <v>0</v>
      </c>
      <c r="BH29" s="81">
        <f>'Income Stmt'!BH60</f>
        <v>0</v>
      </c>
      <c r="BI29" s="81">
        <f>'Income Stmt'!BI60</f>
        <v>0</v>
      </c>
      <c r="BJ29" s="81">
        <f>'Income Stmt'!BJ60</f>
        <v>0</v>
      </c>
      <c r="BK29" s="81">
        <f>'Income Stmt'!BK60</f>
        <v>0</v>
      </c>
      <c r="BL29" s="81">
        <f>'Income Stmt'!BL60</f>
        <v>0</v>
      </c>
      <c r="BM29" s="81">
        <f>'Income Stmt'!BM60</f>
        <v>0</v>
      </c>
      <c r="BN29" s="81">
        <f>'Income Stmt'!BN60</f>
        <v>0</v>
      </c>
      <c r="BO29" s="81">
        <f>'Income Stmt'!BO60</f>
        <v>0</v>
      </c>
      <c r="BP29" s="81">
        <f>'Income Stmt'!BP60</f>
        <v>0</v>
      </c>
      <c r="BQ29" s="81">
        <f>'Income Stmt'!BQ60</f>
        <v>0</v>
      </c>
      <c r="BR29" s="81">
        <f>'Income Stmt'!BR60</f>
        <v>0</v>
      </c>
      <c r="BS29" s="81">
        <f>'Income Stmt'!BS60</f>
        <v>0</v>
      </c>
      <c r="BT29" s="81">
        <f>'Income Stmt'!BT60</f>
        <v>0</v>
      </c>
      <c r="BU29" s="81">
        <f>'Income Stmt'!BU60</f>
        <v>0</v>
      </c>
      <c r="BV29" s="81">
        <f>'Income Stmt'!BV60</f>
        <v>0</v>
      </c>
      <c r="BW29" s="81">
        <f>'Income Stmt'!BW60</f>
        <v>0</v>
      </c>
      <c r="BX29" s="81">
        <f>'Income Stmt'!BX60</f>
        <v>0</v>
      </c>
      <c r="BY29" s="81">
        <f>'Income Stmt'!BY60</f>
        <v>0</v>
      </c>
      <c r="BZ29" s="81">
        <f>'Income Stmt'!BZ60</f>
        <v>0</v>
      </c>
      <c r="CA29" s="81">
        <f>'Income Stmt'!CA60</f>
        <v>0</v>
      </c>
      <c r="CB29" s="81">
        <f>'Income Stmt'!CB60</f>
        <v>0</v>
      </c>
      <c r="CC29" s="81">
        <f>'Income Stmt'!CC60</f>
        <v>0</v>
      </c>
      <c r="CD29" s="81">
        <f>'Income Stmt'!CD60</f>
        <v>0</v>
      </c>
      <c r="CE29" s="81">
        <f>'Income Stmt'!CE60</f>
        <v>0</v>
      </c>
      <c r="CF29" s="81">
        <f>'Income Stmt'!CF60</f>
        <v>0</v>
      </c>
      <c r="CG29" s="81">
        <f>'Income Stmt'!CG60</f>
        <v>0</v>
      </c>
      <c r="CH29" s="81">
        <f>'Income Stmt'!CH60</f>
        <v>0</v>
      </c>
      <c r="CI29" s="81">
        <f>'Income Stmt'!CI60</f>
        <v>0</v>
      </c>
      <c r="CJ29" s="81">
        <f>'Income Stmt'!CJ60</f>
        <v>0</v>
      </c>
      <c r="CK29" s="81">
        <f>'Income Stmt'!CK60</f>
        <v>0</v>
      </c>
      <c r="CL29" s="81">
        <f>'Income Stmt'!CL60</f>
        <v>0</v>
      </c>
      <c r="CM29" s="81">
        <f>'Income Stmt'!CM60</f>
        <v>0</v>
      </c>
      <c r="CN29" s="81">
        <f>'Income Stmt'!CN60</f>
        <v>0</v>
      </c>
      <c r="CO29" s="81">
        <f>'Income Stmt'!CO60</f>
        <v>0</v>
      </c>
      <c r="CP29" s="81">
        <f>'Income Stmt'!CP60</f>
        <v>0</v>
      </c>
      <c r="CQ29" s="81">
        <f>'Income Stmt'!CQ60</f>
        <v>0</v>
      </c>
      <c r="CR29" s="81">
        <f>'Income Stmt'!CR60</f>
        <v>0</v>
      </c>
      <c r="CS29" s="81">
        <f>'Income Stmt'!CS60</f>
        <v>0</v>
      </c>
      <c r="CT29" s="81">
        <f>'Income Stmt'!CT60</f>
        <v>0</v>
      </c>
      <c r="CU29" s="81">
        <f>'Income Stmt'!CU60</f>
        <v>0</v>
      </c>
      <c r="CV29" s="81">
        <f>'Income Stmt'!CV60</f>
        <v>0</v>
      </c>
      <c r="CW29" s="81">
        <f>'Income Stmt'!CW60</f>
        <v>0</v>
      </c>
      <c r="CX29" s="81">
        <f>'Income Stmt'!CX60</f>
        <v>0</v>
      </c>
      <c r="CY29" s="81">
        <f>'Income Stmt'!CY60</f>
        <v>0</v>
      </c>
      <c r="CZ29" s="81">
        <f>'Income Stmt'!CZ60</f>
        <v>0</v>
      </c>
      <c r="DA29" s="81">
        <f>'Income Stmt'!DA60</f>
        <v>0</v>
      </c>
      <c r="DB29" s="81">
        <f>'Income Stmt'!DB60</f>
        <v>0</v>
      </c>
      <c r="DC29" s="81">
        <f>'Income Stmt'!DC60</f>
        <v>0</v>
      </c>
      <c r="DD29" s="81">
        <f>'Income Stmt'!DD60</f>
        <v>0</v>
      </c>
      <c r="DE29" s="81">
        <f>'Income Stmt'!DE60</f>
        <v>0</v>
      </c>
      <c r="DF29" s="81">
        <f>'Income Stmt'!DF60</f>
        <v>0</v>
      </c>
      <c r="DG29" s="81">
        <f>'Income Stmt'!DG60</f>
        <v>0</v>
      </c>
      <c r="DH29" s="81">
        <f>'Income Stmt'!DH60</f>
        <v>0</v>
      </c>
      <c r="DI29" s="81">
        <f>'Income Stmt'!DI60</f>
        <v>0</v>
      </c>
      <c r="DJ29" s="81">
        <f>'Income Stmt'!DJ60</f>
        <v>0</v>
      </c>
      <c r="DK29" s="81">
        <f>'Income Stmt'!DK60</f>
        <v>0</v>
      </c>
      <c r="DL29" s="81">
        <f>'Income Stmt'!DL60</f>
        <v>0</v>
      </c>
      <c r="DM29" s="81">
        <f>'Income Stmt'!DM60</f>
        <v>0</v>
      </c>
      <c r="DN29" s="81">
        <f>'Income Stmt'!DN60</f>
        <v>0</v>
      </c>
      <c r="DO29" s="81">
        <f>'Income Stmt'!DO60</f>
        <v>0</v>
      </c>
      <c r="DP29" s="81">
        <f>'Income Stmt'!DP60</f>
        <v>0</v>
      </c>
      <c r="DQ29" s="81">
        <f>'Income Stmt'!DQ60</f>
        <v>0</v>
      </c>
      <c r="DR29" s="81">
        <f>'Income Stmt'!DR60</f>
        <v>0</v>
      </c>
      <c r="DS29" s="81">
        <f>'Income Stmt'!DS60</f>
        <v>0</v>
      </c>
      <c r="DT29" s="81">
        <f>'Income Stmt'!DT60</f>
        <v>0</v>
      </c>
      <c r="DU29" s="81">
        <f>'Income Stmt'!DU60</f>
        <v>0</v>
      </c>
      <c r="DV29" s="81">
        <f>'Income Stmt'!DV60</f>
        <v>0</v>
      </c>
      <c r="DW29" s="81">
        <f>'Income Stmt'!DW60</f>
        <v>0</v>
      </c>
      <c r="DX29" s="81">
        <f>'Income Stmt'!DX60</f>
        <v>0</v>
      </c>
      <c r="DY29" s="81">
        <f>'Income Stmt'!DY60</f>
        <v>0</v>
      </c>
      <c r="DZ29" s="81">
        <f>'Income Stmt'!DZ60</f>
        <v>0</v>
      </c>
      <c r="EA29" s="81">
        <f>'Income Stmt'!EA60</f>
        <v>0</v>
      </c>
      <c r="EB29" s="81">
        <f>'Income Stmt'!EB60</f>
        <v>0</v>
      </c>
      <c r="EC29" s="81">
        <f>'Income Stmt'!EC60</f>
        <v>0</v>
      </c>
      <c r="ED29" s="81">
        <f>'Income Stmt'!ED60</f>
        <v>0</v>
      </c>
      <c r="EE29" s="81">
        <f>'Income Stmt'!EE60</f>
        <v>0</v>
      </c>
      <c r="EF29" s="81">
        <f>'Income Stmt'!EF60</f>
        <v>0</v>
      </c>
      <c r="EG29" s="81">
        <f>'Income Stmt'!EG60</f>
        <v>0</v>
      </c>
      <c r="EH29" s="81">
        <f>'Income Stmt'!EH60</f>
        <v>0</v>
      </c>
      <c r="EI29" s="81">
        <f>'Income Stmt'!EI60</f>
        <v>0</v>
      </c>
      <c r="EJ29" s="81">
        <f>'Income Stmt'!EJ60</f>
        <v>0</v>
      </c>
      <c r="EK29" s="81">
        <f>'Income Stmt'!EK60</f>
        <v>0</v>
      </c>
      <c r="EL29" s="81">
        <f>'Income Stmt'!EL60</f>
        <v>0</v>
      </c>
      <c r="EM29" s="81">
        <f>'Income Stmt'!EM60</f>
        <v>0</v>
      </c>
      <c r="EN29" s="81">
        <f>'Income Stmt'!EN60</f>
        <v>0</v>
      </c>
      <c r="EO29" s="81">
        <f>'Income Stmt'!EO60</f>
        <v>0</v>
      </c>
      <c r="EP29" s="81">
        <f>'Income Stmt'!EP60</f>
        <v>0</v>
      </c>
      <c r="EQ29" s="81">
        <f>'Income Stmt'!EQ60</f>
        <v>0</v>
      </c>
      <c r="ER29" s="81">
        <f>'Income Stmt'!ER60</f>
        <v>0</v>
      </c>
      <c r="ES29" s="81">
        <f>'Income Stmt'!ES60</f>
        <v>0</v>
      </c>
      <c r="ET29" s="81">
        <f>'Income Stmt'!ET60</f>
        <v>0</v>
      </c>
      <c r="EU29" s="81">
        <f>'Income Stmt'!EU60</f>
        <v>0</v>
      </c>
      <c r="EV29" s="81">
        <f>'Income Stmt'!EV60</f>
        <v>0</v>
      </c>
      <c r="EW29" s="81">
        <f>'Income Stmt'!EW60</f>
        <v>0</v>
      </c>
      <c r="EX29" s="81">
        <f>'Income Stmt'!EX60</f>
        <v>0</v>
      </c>
      <c r="EY29" s="81">
        <f>'Income Stmt'!EY60</f>
        <v>0</v>
      </c>
      <c r="EZ29" s="81">
        <f>'Income Stmt'!EZ60</f>
        <v>0</v>
      </c>
      <c r="FA29" s="81">
        <f>'Income Stmt'!FA60</f>
        <v>0</v>
      </c>
      <c r="FB29" s="81">
        <f>'Income Stmt'!FB60</f>
        <v>0</v>
      </c>
      <c r="FC29" s="81">
        <f>'Income Stmt'!FC60</f>
        <v>0</v>
      </c>
      <c r="FD29" s="81">
        <f>'Income Stmt'!FD60</f>
        <v>0</v>
      </c>
      <c r="FE29" s="81">
        <f>'Income Stmt'!FE60</f>
        <v>0</v>
      </c>
      <c r="FF29" s="81">
        <f>'Income Stmt'!FF60</f>
        <v>0</v>
      </c>
      <c r="FG29" s="81">
        <f>'Income Stmt'!FG60</f>
        <v>0</v>
      </c>
      <c r="FH29" s="81">
        <f>'Income Stmt'!FH60</f>
        <v>0</v>
      </c>
      <c r="FI29" s="81">
        <f>'Income Stmt'!FI60</f>
        <v>0</v>
      </c>
      <c r="FJ29" s="81">
        <f>'Income Stmt'!FJ60</f>
        <v>0</v>
      </c>
      <c r="FK29" s="81">
        <f>'Income Stmt'!FK60</f>
        <v>0</v>
      </c>
      <c r="FL29" s="81">
        <f>'Income Stmt'!FL60</f>
        <v>0</v>
      </c>
      <c r="FM29" s="81">
        <f>'Income Stmt'!FM60</f>
        <v>0</v>
      </c>
      <c r="FN29" s="81">
        <f>'Income Stmt'!FN60</f>
        <v>0</v>
      </c>
      <c r="FO29" s="81">
        <f>'Income Stmt'!FO60</f>
        <v>0</v>
      </c>
      <c r="FP29" s="81">
        <f>'Income Stmt'!FP60</f>
        <v>0</v>
      </c>
      <c r="FQ29" s="81">
        <f>'Income Stmt'!FQ60</f>
        <v>0</v>
      </c>
      <c r="FR29" s="81">
        <f>'Income Stmt'!FR60</f>
        <v>0</v>
      </c>
      <c r="FS29" s="81">
        <f>'Income Stmt'!FS60</f>
        <v>0</v>
      </c>
      <c r="FT29" s="81">
        <f>'Income Stmt'!FT60</f>
        <v>0</v>
      </c>
      <c r="FU29" s="81">
        <f>'Income Stmt'!FU60</f>
        <v>0</v>
      </c>
      <c r="FV29" s="81">
        <f>'Income Stmt'!FV60</f>
        <v>0</v>
      </c>
      <c r="FW29" s="81">
        <f>'Income Stmt'!FW60</f>
        <v>0</v>
      </c>
      <c r="FX29" s="81">
        <f>'Income Stmt'!FX60</f>
        <v>0</v>
      </c>
      <c r="FY29" s="81">
        <f>'Income Stmt'!FY60</f>
        <v>0</v>
      </c>
      <c r="FZ29" s="81">
        <f>'Income Stmt'!FZ60</f>
        <v>0</v>
      </c>
      <c r="GA29" s="81">
        <f>'Income Stmt'!GA60</f>
        <v>0</v>
      </c>
      <c r="GB29" s="81">
        <f>'Income Stmt'!GB60</f>
        <v>0</v>
      </c>
      <c r="GC29" s="81">
        <f>'Income Stmt'!GC60</f>
        <v>0</v>
      </c>
      <c r="GD29" s="81">
        <f>'Income Stmt'!GD60</f>
        <v>0</v>
      </c>
      <c r="GE29" s="81">
        <f>'Income Stmt'!GE60</f>
        <v>0</v>
      </c>
      <c r="GF29" s="81">
        <f>'Income Stmt'!GF60</f>
        <v>0</v>
      </c>
      <c r="GG29" s="81">
        <f>'Income Stmt'!GG60</f>
        <v>0</v>
      </c>
      <c r="GH29" s="81">
        <f>'Income Stmt'!GH60</f>
        <v>0</v>
      </c>
      <c r="GI29" s="81">
        <f>'Income Stmt'!GI60</f>
        <v>0</v>
      </c>
      <c r="GJ29" s="81">
        <f>'Income Stmt'!GJ60</f>
        <v>0</v>
      </c>
      <c r="GK29" s="81">
        <f>'Income Stmt'!GK60</f>
        <v>0</v>
      </c>
      <c r="GL29" s="81">
        <f>'Income Stmt'!GL60</f>
        <v>0</v>
      </c>
      <c r="GM29" s="81">
        <f>'Income Stmt'!GM60</f>
        <v>0</v>
      </c>
      <c r="GN29" s="81">
        <f>'Income Stmt'!GN60</f>
        <v>0</v>
      </c>
      <c r="GO29" s="81">
        <f>'Income Stmt'!GO60</f>
        <v>0</v>
      </c>
      <c r="GP29" s="81">
        <f>'Income Stmt'!GP60</f>
        <v>0</v>
      </c>
      <c r="GQ29" s="81">
        <f>'Income Stmt'!GQ60</f>
        <v>0</v>
      </c>
      <c r="GR29" s="81">
        <f>'Income Stmt'!GR60</f>
        <v>0</v>
      </c>
      <c r="GS29" s="81">
        <f>'Income Stmt'!GS60</f>
        <v>0</v>
      </c>
      <c r="GT29" s="81">
        <f>'Income Stmt'!GT60</f>
        <v>0</v>
      </c>
      <c r="GU29" s="81">
        <f>'Income Stmt'!GU60</f>
        <v>0</v>
      </c>
      <c r="GV29" s="81">
        <f>'Income Stmt'!GV60</f>
        <v>0</v>
      </c>
      <c r="GW29" s="81">
        <f>'Income Stmt'!GW60</f>
        <v>0</v>
      </c>
      <c r="GX29" s="81">
        <f>'Income Stmt'!GX60</f>
        <v>0</v>
      </c>
      <c r="GY29" s="81">
        <f>'Income Stmt'!GY60</f>
        <v>0</v>
      </c>
      <c r="GZ29" s="81">
        <f>'Income Stmt'!GZ60</f>
        <v>0</v>
      </c>
      <c r="HA29" s="81">
        <f>'Income Stmt'!HA60</f>
        <v>0</v>
      </c>
      <c r="HB29" s="81">
        <f>'Income Stmt'!HB60</f>
        <v>0</v>
      </c>
      <c r="HC29" s="81">
        <f>'Income Stmt'!HC60</f>
        <v>0</v>
      </c>
      <c r="HD29" s="81">
        <f>'Income Stmt'!HD60</f>
        <v>0</v>
      </c>
      <c r="HE29" s="81">
        <f>'Income Stmt'!HE60</f>
        <v>0</v>
      </c>
      <c r="HF29" s="81">
        <f>'Income Stmt'!HF60</f>
        <v>0</v>
      </c>
      <c r="HG29" s="81">
        <f>'Income Stmt'!HG60</f>
        <v>0</v>
      </c>
      <c r="HH29" s="81">
        <f>'Income Stmt'!HH60</f>
        <v>0</v>
      </c>
      <c r="HI29" s="81">
        <f>'Income Stmt'!HI60</f>
        <v>0</v>
      </c>
      <c r="HJ29" s="81">
        <f>'Income Stmt'!HJ60</f>
        <v>0</v>
      </c>
      <c r="HK29" s="81">
        <f>'Income Stmt'!HK60</f>
        <v>0</v>
      </c>
      <c r="HL29" s="81">
        <f>'Income Stmt'!HL60</f>
        <v>0</v>
      </c>
      <c r="HM29" s="81">
        <f>'Income Stmt'!HM60</f>
        <v>0</v>
      </c>
      <c r="HN29" s="81">
        <f>'Income Stmt'!HN60</f>
        <v>0</v>
      </c>
      <c r="HO29" s="81">
        <f>'Income Stmt'!HO60</f>
        <v>0</v>
      </c>
      <c r="HP29" s="81">
        <f>'Income Stmt'!HP60</f>
        <v>0</v>
      </c>
      <c r="HQ29" s="81">
        <f>'Income Stmt'!HQ60</f>
        <v>0</v>
      </c>
      <c r="HR29" s="81">
        <f>'Income Stmt'!HR60</f>
        <v>0</v>
      </c>
      <c r="HS29" s="81">
        <f>'Income Stmt'!HS60</f>
        <v>0</v>
      </c>
      <c r="HT29" s="81">
        <f>'Income Stmt'!HT60</f>
        <v>0</v>
      </c>
      <c r="HU29" s="81">
        <f>'Income Stmt'!HU60</f>
        <v>0</v>
      </c>
      <c r="HV29" s="81">
        <f>'Income Stmt'!HV60</f>
        <v>0</v>
      </c>
      <c r="HW29" s="81">
        <f>'Income Stmt'!HW60</f>
        <v>0</v>
      </c>
      <c r="HX29" s="81">
        <f>'Income Stmt'!HX60</f>
        <v>0</v>
      </c>
      <c r="HY29" s="81">
        <f>'Income Stmt'!HY60</f>
        <v>0</v>
      </c>
      <c r="HZ29" s="81">
        <f>'Income Stmt'!HZ60</f>
        <v>0</v>
      </c>
      <c r="IA29" s="81">
        <f>'Income Stmt'!IA60</f>
        <v>0</v>
      </c>
      <c r="IB29" s="81">
        <f>'Income Stmt'!IB60</f>
        <v>0</v>
      </c>
      <c r="IC29" s="81">
        <f>'Income Stmt'!IC60</f>
        <v>0</v>
      </c>
      <c r="ID29" s="81">
        <f>'Income Stmt'!ID60</f>
        <v>0</v>
      </c>
      <c r="IE29" s="81">
        <f>'Income Stmt'!IE60</f>
        <v>0</v>
      </c>
      <c r="IF29" s="81">
        <f>'Income Stmt'!IF60</f>
        <v>0</v>
      </c>
      <c r="IG29" s="81">
        <f>'Income Stmt'!IG60</f>
        <v>0</v>
      </c>
      <c r="IH29" s="81">
        <f>'Income Stmt'!IH60</f>
        <v>0</v>
      </c>
    </row>
    <row r="30" spans="1:242" x14ac:dyDescent="0.45">
      <c r="A30" s="77" t="s">
        <v>335</v>
      </c>
      <c r="B30" s="78"/>
      <c r="C30" s="81">
        <f>-C27</f>
        <v>987966.37936747074</v>
      </c>
      <c r="D30" s="81">
        <f>-(D27-C27)</f>
        <v>-439875</v>
      </c>
      <c r="E30" s="81">
        <f t="shared" ref="E30:BP30" si="83">-(E27-D27)</f>
        <v>0</v>
      </c>
      <c r="F30" s="81">
        <f t="shared" si="83"/>
        <v>0</v>
      </c>
      <c r="G30" s="81">
        <f t="shared" si="83"/>
        <v>0</v>
      </c>
      <c r="H30" s="81">
        <f t="shared" si="83"/>
        <v>0</v>
      </c>
      <c r="I30" s="81">
        <f t="shared" si="83"/>
        <v>0</v>
      </c>
      <c r="J30" s="81">
        <f t="shared" si="83"/>
        <v>0</v>
      </c>
      <c r="K30" s="81">
        <f t="shared" si="83"/>
        <v>0</v>
      </c>
      <c r="L30" s="81">
        <f t="shared" si="83"/>
        <v>0</v>
      </c>
      <c r="M30" s="81">
        <f t="shared" si="83"/>
        <v>0</v>
      </c>
      <c r="N30" s="81">
        <f t="shared" si="83"/>
        <v>0</v>
      </c>
      <c r="O30" s="81">
        <f t="shared" si="83"/>
        <v>204114.66666667163</v>
      </c>
      <c r="P30" s="81">
        <f t="shared" si="83"/>
        <v>-161000</v>
      </c>
      <c r="Q30" s="81">
        <f t="shared" si="83"/>
        <v>-1.4901161193847656E-8</v>
      </c>
      <c r="R30" s="81">
        <f t="shared" si="83"/>
        <v>0</v>
      </c>
      <c r="S30" s="81">
        <f t="shared" si="83"/>
        <v>0</v>
      </c>
      <c r="T30" s="81">
        <f t="shared" si="83"/>
        <v>0</v>
      </c>
      <c r="U30" s="81">
        <f t="shared" si="83"/>
        <v>0</v>
      </c>
      <c r="V30" s="81">
        <f t="shared" si="83"/>
        <v>0</v>
      </c>
      <c r="W30" s="81">
        <f t="shared" si="83"/>
        <v>0</v>
      </c>
      <c r="X30" s="81">
        <f t="shared" si="83"/>
        <v>0</v>
      </c>
      <c r="Y30" s="81">
        <f t="shared" si="83"/>
        <v>0</v>
      </c>
      <c r="Z30" s="81">
        <f t="shared" si="83"/>
        <v>0</v>
      </c>
      <c r="AA30" s="81">
        <f t="shared" si="83"/>
        <v>-2982061.5679855347</v>
      </c>
      <c r="AB30" s="81">
        <f t="shared" si="83"/>
        <v>0</v>
      </c>
      <c r="AC30" s="81">
        <f t="shared" si="83"/>
        <v>0</v>
      </c>
      <c r="AD30" s="81">
        <f t="shared" si="83"/>
        <v>0</v>
      </c>
      <c r="AE30" s="81">
        <f t="shared" si="83"/>
        <v>-2.9802322387695313E-8</v>
      </c>
      <c r="AF30" s="81">
        <f t="shared" si="83"/>
        <v>0</v>
      </c>
      <c r="AG30" s="81">
        <f t="shared" si="83"/>
        <v>0</v>
      </c>
      <c r="AH30" s="81">
        <f t="shared" si="83"/>
        <v>0</v>
      </c>
      <c r="AI30" s="81">
        <f t="shared" si="83"/>
        <v>0</v>
      </c>
      <c r="AJ30" s="81">
        <f t="shared" si="83"/>
        <v>0</v>
      </c>
      <c r="AK30" s="81">
        <f t="shared" si="83"/>
        <v>0</v>
      </c>
      <c r="AL30" s="81">
        <f t="shared" si="83"/>
        <v>0</v>
      </c>
      <c r="AM30" s="81">
        <f t="shared" si="83"/>
        <v>-2498501.5511470437</v>
      </c>
      <c r="AN30" s="81">
        <f t="shared" si="83"/>
        <v>0</v>
      </c>
      <c r="AO30" s="81">
        <f t="shared" si="83"/>
        <v>0</v>
      </c>
      <c r="AP30" s="81">
        <f t="shared" si="83"/>
        <v>0</v>
      </c>
      <c r="AQ30" s="81">
        <f t="shared" si="83"/>
        <v>0</v>
      </c>
      <c r="AR30" s="81">
        <f t="shared" si="83"/>
        <v>0</v>
      </c>
      <c r="AS30" s="81">
        <f t="shared" si="83"/>
        <v>0</v>
      </c>
      <c r="AT30" s="81">
        <f t="shared" si="83"/>
        <v>0</v>
      </c>
      <c r="AU30" s="81">
        <f t="shared" si="83"/>
        <v>0</v>
      </c>
      <c r="AV30" s="81">
        <f t="shared" si="83"/>
        <v>0</v>
      </c>
      <c r="AW30" s="81">
        <f t="shared" si="83"/>
        <v>0</v>
      </c>
      <c r="AX30" s="81">
        <f t="shared" si="83"/>
        <v>0</v>
      </c>
      <c r="AY30" s="81">
        <f t="shared" si="83"/>
        <v>-2939176.4225976467</v>
      </c>
      <c r="AZ30" s="81">
        <f t="shared" si="83"/>
        <v>0</v>
      </c>
      <c r="BA30" s="81">
        <f t="shared" si="83"/>
        <v>0</v>
      </c>
      <c r="BB30" s="81">
        <f t="shared" si="83"/>
        <v>0</v>
      </c>
      <c r="BC30" s="81">
        <f t="shared" si="83"/>
        <v>0</v>
      </c>
      <c r="BD30" s="81">
        <f t="shared" si="83"/>
        <v>0</v>
      </c>
      <c r="BE30" s="81">
        <f t="shared" si="83"/>
        <v>0</v>
      </c>
      <c r="BF30" s="81">
        <f t="shared" si="83"/>
        <v>0</v>
      </c>
      <c r="BG30" s="81">
        <f t="shared" si="83"/>
        <v>-5.9604644775390625E-8</v>
      </c>
      <c r="BH30" s="81">
        <f t="shared" si="83"/>
        <v>0</v>
      </c>
      <c r="BI30" s="81">
        <f t="shared" si="83"/>
        <v>0</v>
      </c>
      <c r="BJ30" s="81">
        <f t="shared" si="83"/>
        <v>0</v>
      </c>
      <c r="BK30" s="81">
        <f t="shared" si="83"/>
        <v>-1967569.9715284109</v>
      </c>
      <c r="BL30" s="81">
        <f t="shared" si="83"/>
        <v>0</v>
      </c>
      <c r="BM30" s="81">
        <f t="shared" si="83"/>
        <v>0</v>
      </c>
      <c r="BN30" s="81">
        <f t="shared" si="83"/>
        <v>0</v>
      </c>
      <c r="BO30" s="81">
        <f t="shared" si="83"/>
        <v>0</v>
      </c>
      <c r="BP30" s="81">
        <f t="shared" si="83"/>
        <v>0</v>
      </c>
      <c r="BQ30" s="81">
        <f t="shared" ref="BQ30:EB30" si="84">-(BQ27-BP27)</f>
        <v>0</v>
      </c>
      <c r="BR30" s="81">
        <f t="shared" si="84"/>
        <v>0</v>
      </c>
      <c r="BS30" s="81">
        <f t="shared" si="84"/>
        <v>0</v>
      </c>
      <c r="BT30" s="81">
        <f t="shared" si="84"/>
        <v>0</v>
      </c>
      <c r="BU30" s="81">
        <f t="shared" si="84"/>
        <v>0</v>
      </c>
      <c r="BV30" s="81">
        <f t="shared" si="84"/>
        <v>0</v>
      </c>
      <c r="BW30" s="81">
        <f t="shared" si="84"/>
        <v>-84027.300251364708</v>
      </c>
      <c r="BX30" s="81">
        <f t="shared" si="84"/>
        <v>0</v>
      </c>
      <c r="BY30" s="81">
        <f t="shared" si="84"/>
        <v>0</v>
      </c>
      <c r="BZ30" s="81">
        <f t="shared" si="84"/>
        <v>0</v>
      </c>
      <c r="CA30" s="81">
        <f t="shared" si="84"/>
        <v>0</v>
      </c>
      <c r="CB30" s="81">
        <f t="shared" si="84"/>
        <v>0</v>
      </c>
      <c r="CC30" s="81">
        <f t="shared" si="84"/>
        <v>0</v>
      </c>
      <c r="CD30" s="81">
        <f t="shared" si="84"/>
        <v>0</v>
      </c>
      <c r="CE30" s="81">
        <f t="shared" si="84"/>
        <v>0</v>
      </c>
      <c r="CF30" s="81">
        <f t="shared" si="84"/>
        <v>0</v>
      </c>
      <c r="CG30" s="81">
        <f t="shared" si="84"/>
        <v>0</v>
      </c>
      <c r="CH30" s="81">
        <f t="shared" si="84"/>
        <v>0</v>
      </c>
      <c r="CI30" s="81">
        <f t="shared" si="84"/>
        <v>0</v>
      </c>
      <c r="CJ30" s="81">
        <f t="shared" si="84"/>
        <v>0</v>
      </c>
      <c r="CK30" s="81">
        <f t="shared" si="84"/>
        <v>0</v>
      </c>
      <c r="CL30" s="81">
        <f t="shared" si="84"/>
        <v>0</v>
      </c>
      <c r="CM30" s="81">
        <f t="shared" si="84"/>
        <v>0</v>
      </c>
      <c r="CN30" s="81">
        <f t="shared" si="84"/>
        <v>54040.965524077415</v>
      </c>
      <c r="CO30" s="81">
        <f t="shared" si="84"/>
        <v>0</v>
      </c>
      <c r="CP30" s="81">
        <f t="shared" si="84"/>
        <v>0</v>
      </c>
      <c r="CQ30" s="81">
        <f t="shared" si="84"/>
        <v>0</v>
      </c>
      <c r="CR30" s="81">
        <f t="shared" si="84"/>
        <v>0</v>
      </c>
      <c r="CS30" s="81">
        <f t="shared" si="84"/>
        <v>0</v>
      </c>
      <c r="CT30" s="81">
        <f t="shared" si="84"/>
        <v>0</v>
      </c>
      <c r="CU30" s="81">
        <f t="shared" si="84"/>
        <v>-480327.7140942812</v>
      </c>
      <c r="CV30" s="81">
        <f t="shared" si="84"/>
        <v>0</v>
      </c>
      <c r="CW30" s="81">
        <f t="shared" si="84"/>
        <v>0</v>
      </c>
      <c r="CX30" s="81">
        <f t="shared" si="84"/>
        <v>0</v>
      </c>
      <c r="CY30" s="81">
        <f t="shared" si="84"/>
        <v>0</v>
      </c>
      <c r="CZ30" s="81">
        <f t="shared" si="84"/>
        <v>0</v>
      </c>
      <c r="DA30" s="81">
        <f t="shared" si="84"/>
        <v>0</v>
      </c>
      <c r="DB30" s="81">
        <f t="shared" si="84"/>
        <v>0</v>
      </c>
      <c r="DC30" s="81">
        <f t="shared" si="84"/>
        <v>0</v>
      </c>
      <c r="DD30" s="81">
        <f t="shared" si="84"/>
        <v>0</v>
      </c>
      <c r="DE30" s="81">
        <f t="shared" si="84"/>
        <v>0</v>
      </c>
      <c r="DF30" s="81">
        <f t="shared" si="84"/>
        <v>0</v>
      </c>
      <c r="DG30" s="81">
        <f t="shared" si="84"/>
        <v>54040.965524077415</v>
      </c>
      <c r="DH30" s="81">
        <f t="shared" si="84"/>
        <v>0</v>
      </c>
      <c r="DI30" s="81">
        <f t="shared" si="84"/>
        <v>0</v>
      </c>
      <c r="DJ30" s="81">
        <f t="shared" si="84"/>
        <v>0</v>
      </c>
      <c r="DK30" s="81">
        <f t="shared" si="84"/>
        <v>0</v>
      </c>
      <c r="DL30" s="81">
        <f t="shared" si="84"/>
        <v>0</v>
      </c>
      <c r="DM30" s="81">
        <f t="shared" si="84"/>
        <v>0</v>
      </c>
      <c r="DN30" s="81">
        <f t="shared" si="84"/>
        <v>0</v>
      </c>
      <c r="DO30" s="81">
        <f t="shared" si="84"/>
        <v>0</v>
      </c>
      <c r="DP30" s="81">
        <f t="shared" si="84"/>
        <v>0</v>
      </c>
      <c r="DQ30" s="81">
        <f t="shared" si="84"/>
        <v>0</v>
      </c>
      <c r="DR30" s="81">
        <f t="shared" si="84"/>
        <v>0</v>
      </c>
      <c r="DS30" s="81">
        <f t="shared" si="84"/>
        <v>-480327.71409487724</v>
      </c>
      <c r="DT30" s="81">
        <f t="shared" si="84"/>
        <v>0</v>
      </c>
      <c r="DU30" s="81">
        <f t="shared" si="84"/>
        <v>0</v>
      </c>
      <c r="DV30" s="81">
        <f t="shared" si="84"/>
        <v>0</v>
      </c>
      <c r="DW30" s="81">
        <f t="shared" si="84"/>
        <v>0</v>
      </c>
      <c r="DX30" s="81">
        <f t="shared" si="84"/>
        <v>0</v>
      </c>
      <c r="DY30" s="81">
        <f t="shared" si="84"/>
        <v>0</v>
      </c>
      <c r="DZ30" s="81">
        <f t="shared" si="84"/>
        <v>0</v>
      </c>
      <c r="EA30" s="81">
        <f t="shared" si="84"/>
        <v>0</v>
      </c>
      <c r="EB30" s="81">
        <f t="shared" si="84"/>
        <v>0</v>
      </c>
      <c r="EC30" s="81">
        <f t="shared" ref="EC30:FZ30" si="85">-(EC27-EB27)</f>
        <v>0</v>
      </c>
      <c r="ED30" s="81">
        <f t="shared" si="85"/>
        <v>0</v>
      </c>
      <c r="EE30" s="81">
        <f t="shared" si="85"/>
        <v>54040.965524196625</v>
      </c>
      <c r="EF30" s="81">
        <f t="shared" si="85"/>
        <v>0</v>
      </c>
      <c r="EG30" s="81">
        <f t="shared" si="85"/>
        <v>0</v>
      </c>
      <c r="EH30" s="81">
        <f t="shared" si="85"/>
        <v>0</v>
      </c>
      <c r="EI30" s="81">
        <f t="shared" si="85"/>
        <v>0</v>
      </c>
      <c r="EJ30" s="81">
        <f t="shared" si="85"/>
        <v>0</v>
      </c>
      <c r="EK30" s="81">
        <f t="shared" si="85"/>
        <v>0</v>
      </c>
      <c r="EL30" s="81">
        <f t="shared" si="85"/>
        <v>0</v>
      </c>
      <c r="EM30" s="81">
        <f t="shared" si="85"/>
        <v>0</v>
      </c>
      <c r="EN30" s="81">
        <f t="shared" si="85"/>
        <v>0</v>
      </c>
      <c r="EO30" s="81">
        <f t="shared" si="85"/>
        <v>0</v>
      </c>
      <c r="EP30" s="81">
        <f t="shared" si="85"/>
        <v>0</v>
      </c>
      <c r="EQ30" s="81">
        <f t="shared" si="85"/>
        <v>-480327.71409487724</v>
      </c>
      <c r="ER30" s="81">
        <f t="shared" si="85"/>
        <v>0</v>
      </c>
      <c r="ES30" s="81">
        <f t="shared" si="85"/>
        <v>0</v>
      </c>
      <c r="ET30" s="81">
        <f t="shared" si="85"/>
        <v>0</v>
      </c>
      <c r="EU30" s="81">
        <f t="shared" si="85"/>
        <v>0</v>
      </c>
      <c r="EV30" s="81">
        <f t="shared" si="85"/>
        <v>0</v>
      </c>
      <c r="EW30" s="81">
        <f t="shared" si="85"/>
        <v>0</v>
      </c>
      <c r="EX30" s="81">
        <f t="shared" si="85"/>
        <v>0</v>
      </c>
      <c r="EY30" s="81">
        <f t="shared" si="85"/>
        <v>0</v>
      </c>
      <c r="EZ30" s="81">
        <f t="shared" si="85"/>
        <v>0</v>
      </c>
      <c r="FA30" s="81">
        <f t="shared" si="85"/>
        <v>0</v>
      </c>
      <c r="FB30" s="81">
        <f t="shared" si="85"/>
        <v>0</v>
      </c>
      <c r="FC30" s="81">
        <f t="shared" si="85"/>
        <v>54040.965524196625</v>
      </c>
      <c r="FD30" s="81">
        <f t="shared" si="85"/>
        <v>0</v>
      </c>
      <c r="FE30" s="81">
        <f t="shared" si="85"/>
        <v>0</v>
      </c>
      <c r="FF30" s="81">
        <f t="shared" si="85"/>
        <v>0</v>
      </c>
      <c r="FG30" s="81">
        <f t="shared" si="85"/>
        <v>0</v>
      </c>
      <c r="FH30" s="81">
        <f t="shared" si="85"/>
        <v>0</v>
      </c>
      <c r="FI30" s="81">
        <f t="shared" si="85"/>
        <v>0</v>
      </c>
      <c r="FJ30" s="81">
        <f t="shared" si="85"/>
        <v>0</v>
      </c>
      <c r="FK30" s="81">
        <f t="shared" si="85"/>
        <v>0</v>
      </c>
      <c r="FL30" s="81">
        <f t="shared" si="85"/>
        <v>0</v>
      </c>
      <c r="FM30" s="81">
        <f t="shared" si="85"/>
        <v>0</v>
      </c>
      <c r="FN30" s="81">
        <f t="shared" si="85"/>
        <v>0</v>
      </c>
      <c r="FO30" s="81">
        <f t="shared" si="85"/>
        <v>-480327.71409440041</v>
      </c>
      <c r="FP30" s="81">
        <f t="shared" si="85"/>
        <v>0</v>
      </c>
      <c r="FQ30" s="81">
        <f t="shared" si="85"/>
        <v>0</v>
      </c>
      <c r="FR30" s="81">
        <f t="shared" si="85"/>
        <v>0</v>
      </c>
      <c r="FS30" s="81">
        <f t="shared" si="85"/>
        <v>0</v>
      </c>
      <c r="FT30" s="81">
        <f t="shared" si="85"/>
        <v>0</v>
      </c>
      <c r="FU30" s="81">
        <f t="shared" si="85"/>
        <v>0</v>
      </c>
      <c r="FV30" s="81">
        <f t="shared" si="85"/>
        <v>0</v>
      </c>
      <c r="FW30" s="81">
        <f t="shared" si="85"/>
        <v>0</v>
      </c>
      <c r="FX30" s="81">
        <f t="shared" si="85"/>
        <v>0</v>
      </c>
      <c r="FY30" s="81">
        <f t="shared" si="85"/>
        <v>0</v>
      </c>
      <c r="FZ30" s="81">
        <f t="shared" si="85"/>
        <v>0</v>
      </c>
      <c r="GA30" s="81">
        <f t="shared" ref="GA30" si="86">-(GA27-FZ27)</f>
        <v>54040.965524196625</v>
      </c>
      <c r="GB30" s="81">
        <f t="shared" ref="GB30" si="87">-(GB27-GA27)</f>
        <v>0</v>
      </c>
      <c r="GC30" s="81">
        <f t="shared" ref="GC30" si="88">-(GC27-GB27)</f>
        <v>0</v>
      </c>
      <c r="GD30" s="81">
        <f t="shared" ref="GD30" si="89">-(GD27-GC27)</f>
        <v>0</v>
      </c>
      <c r="GE30" s="81">
        <f t="shared" ref="GE30" si="90">-(GE27-GD27)</f>
        <v>0</v>
      </c>
      <c r="GF30" s="81">
        <f t="shared" ref="GF30" si="91">-(GF27-GE27)</f>
        <v>0</v>
      </c>
      <c r="GG30" s="81">
        <f t="shared" ref="GG30" si="92">-(GG27-GF27)</f>
        <v>0</v>
      </c>
      <c r="GH30" s="81">
        <f t="shared" ref="GH30" si="93">-(GH27-GG27)</f>
        <v>0</v>
      </c>
      <c r="GI30" s="81">
        <f t="shared" ref="GI30" si="94">-(GI27-GH27)</f>
        <v>0</v>
      </c>
      <c r="GJ30" s="81">
        <f t="shared" ref="GJ30" si="95">-(GJ27-GI27)</f>
        <v>0</v>
      </c>
      <c r="GK30" s="81">
        <f t="shared" ref="GK30" si="96">-(GK27-GJ27)</f>
        <v>0</v>
      </c>
      <c r="GL30" s="81">
        <f t="shared" ref="GL30" si="97">-(GL27-GK27)</f>
        <v>0</v>
      </c>
      <c r="GM30" s="81">
        <f t="shared" ref="GM30" si="98">-(GM27-GL27)</f>
        <v>-480327.71409487724</v>
      </c>
      <c r="GN30" s="81">
        <f t="shared" ref="GN30" si="99">-(GN27-GM27)</f>
        <v>0</v>
      </c>
      <c r="GO30" s="81">
        <f t="shared" ref="GO30" si="100">-(GO27-GN27)</f>
        <v>0</v>
      </c>
      <c r="GP30" s="81">
        <f t="shared" ref="GP30" si="101">-(GP27-GO27)</f>
        <v>0</v>
      </c>
      <c r="GQ30" s="81">
        <f t="shared" ref="GQ30" si="102">-(GQ27-GP27)</f>
        <v>0</v>
      </c>
      <c r="GR30" s="81">
        <f t="shared" ref="GR30" si="103">-(GR27-GQ27)</f>
        <v>0</v>
      </c>
      <c r="GS30" s="81">
        <f t="shared" ref="GS30" si="104">-(GS27-GR27)</f>
        <v>0</v>
      </c>
      <c r="GT30" s="81">
        <f t="shared" ref="GT30" si="105">-(GT27-GS27)</f>
        <v>0</v>
      </c>
      <c r="GU30" s="81">
        <f t="shared" ref="GU30" si="106">-(GU27-GT27)</f>
        <v>0</v>
      </c>
      <c r="GV30" s="81">
        <f t="shared" ref="GV30" si="107">-(GV27-GU27)</f>
        <v>0</v>
      </c>
      <c r="GW30" s="81">
        <f t="shared" ref="GW30" si="108">-(GW27-GV27)</f>
        <v>0</v>
      </c>
      <c r="GX30" s="81">
        <f t="shared" ref="GX30" si="109">-(GX27-GW27)</f>
        <v>0</v>
      </c>
      <c r="GY30" s="81">
        <f t="shared" ref="GY30" si="110">-(GY27-GX27)</f>
        <v>54040.965524196625</v>
      </c>
      <c r="GZ30" s="81">
        <f t="shared" ref="GZ30" si="111">-(GZ27-GY27)</f>
        <v>0</v>
      </c>
      <c r="HA30" s="81">
        <f t="shared" ref="HA30" si="112">-(HA27-GZ27)</f>
        <v>0</v>
      </c>
      <c r="HB30" s="81">
        <f t="shared" ref="HB30" si="113">-(HB27-HA27)</f>
        <v>0</v>
      </c>
      <c r="HC30" s="81">
        <f t="shared" ref="HC30" si="114">-(HC27-HB27)</f>
        <v>0</v>
      </c>
      <c r="HD30" s="81">
        <f t="shared" ref="HD30" si="115">-(HD27-HC27)</f>
        <v>0</v>
      </c>
      <c r="HE30" s="81">
        <f t="shared" ref="HE30" si="116">-(HE27-HD27)</f>
        <v>0</v>
      </c>
      <c r="HF30" s="81">
        <f t="shared" ref="HF30" si="117">-(HF27-HE27)</f>
        <v>0</v>
      </c>
      <c r="HG30" s="81">
        <f t="shared" ref="HG30" si="118">-(HG27-HF27)</f>
        <v>0</v>
      </c>
      <c r="HH30" s="81">
        <f t="shared" ref="HH30" si="119">-(HH27-HG27)</f>
        <v>0</v>
      </c>
      <c r="HI30" s="81">
        <f t="shared" ref="HI30" si="120">-(HI27-HH27)</f>
        <v>0</v>
      </c>
      <c r="HJ30" s="81">
        <f t="shared" ref="HJ30" si="121">-(HJ27-HI27)</f>
        <v>0</v>
      </c>
      <c r="HK30" s="81">
        <f t="shared" ref="HK30" si="122">-(HK27-HJ27)</f>
        <v>-534368.67961883545</v>
      </c>
      <c r="HL30" s="81">
        <f t="shared" ref="HL30" si="123">-(HL27-HK27)</f>
        <v>0</v>
      </c>
      <c r="HM30" s="81">
        <f t="shared" ref="HM30" si="124">-(HM27-HL27)</f>
        <v>0</v>
      </c>
      <c r="HN30" s="81">
        <f t="shared" ref="HN30" si="125">-(HN27-HM27)</f>
        <v>0</v>
      </c>
      <c r="HO30" s="81">
        <f t="shared" ref="HO30" si="126">-(HO27-HN27)</f>
        <v>0</v>
      </c>
      <c r="HP30" s="81">
        <f t="shared" ref="HP30" si="127">-(HP27-HO27)</f>
        <v>0</v>
      </c>
      <c r="HQ30" s="81">
        <f t="shared" ref="HQ30" si="128">-(HQ27-HP27)</f>
        <v>0</v>
      </c>
      <c r="HR30" s="81">
        <f t="shared" ref="HR30" si="129">-(HR27-HQ27)</f>
        <v>0</v>
      </c>
      <c r="HS30" s="81">
        <f t="shared" ref="HS30" si="130">-(HS27-HR27)</f>
        <v>0</v>
      </c>
      <c r="HT30" s="81">
        <f t="shared" ref="HT30" si="131">-(HT27-HS27)</f>
        <v>0</v>
      </c>
      <c r="HU30" s="81">
        <f t="shared" ref="HU30" si="132">-(HU27-HT27)</f>
        <v>0</v>
      </c>
      <c r="HV30" s="81">
        <f t="shared" ref="HV30" si="133">-(HV27-HU27)</f>
        <v>0</v>
      </c>
      <c r="HW30" s="81">
        <f t="shared" ref="HW30" si="134">-(HW27-HV27)</f>
        <v>0</v>
      </c>
      <c r="HX30" s="81">
        <f t="shared" ref="HX30" si="135">-(HX27-HW27)</f>
        <v>0</v>
      </c>
      <c r="HY30" s="81">
        <f t="shared" ref="HY30" si="136">-(HY27-HX27)</f>
        <v>0</v>
      </c>
      <c r="HZ30" s="81">
        <f t="shared" ref="HZ30" si="137">-(HZ27-HY27)</f>
        <v>0</v>
      </c>
      <c r="IA30" s="81">
        <f t="shared" ref="IA30" si="138">-(IA27-HZ27)</f>
        <v>0</v>
      </c>
      <c r="IB30" s="81">
        <f t="shared" ref="IB30" si="139">-(IB27-IA27)</f>
        <v>0</v>
      </c>
      <c r="IC30" s="81">
        <f t="shared" ref="IC30" si="140">-(IC27-IB27)</f>
        <v>0</v>
      </c>
      <c r="ID30" s="81">
        <f t="shared" ref="ID30" si="141">-(ID27-IC27)</f>
        <v>0</v>
      </c>
      <c r="IE30" s="81">
        <f t="shared" ref="IE30" si="142">-(IE27-ID27)</f>
        <v>0</v>
      </c>
      <c r="IF30" s="81">
        <f t="shared" ref="IF30" si="143">-(IF27-IE27)</f>
        <v>0</v>
      </c>
      <c r="IG30" s="81">
        <f t="shared" ref="IG30" si="144">-(IG27-IF27)</f>
        <v>0</v>
      </c>
      <c r="IH30" s="81">
        <f t="shared" ref="IH30" si="145">-(IH27-IG27)</f>
        <v>0</v>
      </c>
    </row>
    <row r="31" spans="1:242" ht="14.65" thickBot="1" x14ac:dyDescent="0.5">
      <c r="A31" s="77" t="s">
        <v>336</v>
      </c>
      <c r="B31" s="78"/>
      <c r="C31" s="82">
        <f>-'Income Stmt'!C41</f>
        <v>-4487802.5171189178</v>
      </c>
      <c r="D31" s="82">
        <f>-'Income Stmt'!D41</f>
        <v>-4461153.3576217992</v>
      </c>
      <c r="E31" s="82">
        <f>-'Income Stmt'!E41</f>
        <v>-4434359.8485107366</v>
      </c>
      <c r="F31" s="82">
        <f>-'Income Stmt'!F41</f>
        <v>-4407421.2078919923</v>
      </c>
      <c r="G31" s="82">
        <f>-'Income Stmt'!G41</f>
        <v>-4380336.6496365601</v>
      </c>
      <c r="H31" s="82">
        <f>-'Income Stmt'!H41</f>
        <v>-4353105.3833572464</v>
      </c>
      <c r="I31" s="82">
        <f>-'Income Stmt'!I41</f>
        <v>-4325726.6143855853</v>
      </c>
      <c r="J31" s="82">
        <f>-'Income Stmt'!J41</f>
        <v>-4298199.5437486591</v>
      </c>
      <c r="K31" s="82">
        <f>-'Income Stmt'!K41</f>
        <v>-4270523.3681457853</v>
      </c>
      <c r="L31" s="82">
        <f>-'Income Stmt'!L41</f>
        <v>-4242697.2799250633</v>
      </c>
      <c r="M31" s="82">
        <f>-'Income Stmt'!M41</f>
        <v>-4214720.4670598106</v>
      </c>
      <c r="N31" s="82">
        <f>-'Income Stmt'!N41</f>
        <v>-4186592.1131248726</v>
      </c>
      <c r="O31" s="82">
        <f>-'Income Stmt'!O41</f>
        <v>-4158311.3972727866</v>
      </c>
      <c r="P31" s="82">
        <f>-'Income Stmt'!P41</f>
        <v>-4129877.4942098344</v>
      </c>
      <c r="Q31" s="82">
        <f>-'Income Stmt'!Q41</f>
        <v>-4101289.5741719576</v>
      </c>
      <c r="R31" s="82">
        <f>-'Income Stmt'!R41</f>
        <v>-4072546.8029005434</v>
      </c>
      <c r="S31" s="82">
        <f>-'Income Stmt'!S41</f>
        <v>-4043648.3416180746</v>
      </c>
      <c r="T31" s="82">
        <f>-'Income Stmt'!T41</f>
        <v>-4014593.3470036597</v>
      </c>
      <c r="U31" s="82">
        <f>-'Income Stmt'!U41</f>
        <v>-3985380.9711684179</v>
      </c>
      <c r="V31" s="82">
        <f>-'Income Stmt'!V41</f>
        <v>-3956010.3616307327</v>
      </c>
      <c r="W31" s="82">
        <f>-'Income Stmt'!W41</f>
        <v>-3926480.6612913879</v>
      </c>
      <c r="X31" s="82">
        <f>-'Income Stmt'!X41</f>
        <v>-3896791.0084085362</v>
      </c>
      <c r="Y31" s="82">
        <f>-'Income Stmt'!Y41</f>
        <v>-3866940.5365725695</v>
      </c>
      <c r="Z31" s="82">
        <f>-'Income Stmt'!Z41</f>
        <v>-3836928.3746808255</v>
      </c>
      <c r="AA31" s="82">
        <f>-'Income Stmt'!AA41</f>
        <v>-3806753.6469121664</v>
      </c>
      <c r="AB31" s="82">
        <f>-'Income Stmt'!AB41</f>
        <v>-3776415.472701428</v>
      </c>
      <c r="AC31" s="82">
        <f>-'Income Stmt'!AC41</f>
        <v>-3745912.9667137149</v>
      </c>
      <c r="AD31" s="82">
        <f>-'Income Stmt'!AD41</f>
        <v>-3715245.2388185677</v>
      </c>
      <c r="AE31" s="82">
        <f>-'Income Stmt'!AE41</f>
        <v>-3684411.3940639892</v>
      </c>
      <c r="AF31" s="82">
        <f>-'Income Stmt'!AF41</f>
        <v>-3653410.5326503236</v>
      </c>
      <c r="AG31" s="82">
        <f>-'Income Stmt'!AG41</f>
        <v>-3622241.7499039993</v>
      </c>
      <c r="AH31" s="82">
        <f>-'Income Stmt'!AH41</f>
        <v>-3590904.1362511329</v>
      </c>
      <c r="AI31" s="82">
        <f>-'Income Stmt'!AI41</f>
        <v>-3559396.7771909814</v>
      </c>
      <c r="AJ31" s="82">
        <f>-'Income Stmt'!AJ41</f>
        <v>-3527718.7532692524</v>
      </c>
      <c r="AK31" s="82">
        <f>-'Income Stmt'!AK41</f>
        <v>-3495869.1400512815</v>
      </c>
      <c r="AL31" s="82">
        <f>-'Income Stmt'!AL41</f>
        <v>-3463847.008095047</v>
      </c>
      <c r="AM31" s="82">
        <f>-'Income Stmt'!AM41</f>
        <v>-3431651.4229240492</v>
      </c>
      <c r="AN31" s="82">
        <f>-'Income Stmt'!AN41</f>
        <v>-3399281.4450000408</v>
      </c>
      <c r="AO31" s="82">
        <f>-'Income Stmt'!AO41</f>
        <v>-3366736.129695612</v>
      </c>
      <c r="AP31" s="82">
        <f>-'Income Stmt'!AP41</f>
        <v>-3334014.5272666174</v>
      </c>
      <c r="AQ31" s="82">
        <f>-'Income Stmt'!AQ41</f>
        <v>-3301115.6828244654</v>
      </c>
      <c r="AR31" s="82">
        <f>-'Income Stmt'!AR41</f>
        <v>-3268038.6363082519</v>
      </c>
      <c r="AS31" s="82">
        <f>-'Income Stmt'!AS41</f>
        <v>-3234782.4224567418</v>
      </c>
      <c r="AT31" s="82">
        <f>-'Income Stmt'!AT41</f>
        <v>-3201346.0707802032</v>
      </c>
      <c r="AU31" s="82">
        <f>-'Income Stmt'!AU41</f>
        <v>-3167728.6055320837</v>
      </c>
      <c r="AV31" s="82">
        <f>-'Income Stmt'!AV41</f>
        <v>-3133929.045680536</v>
      </c>
      <c r="AW31" s="82">
        <f>-'Income Stmt'!AW41</f>
        <v>-3099946.4048797931</v>
      </c>
      <c r="AX31" s="82">
        <f>-'Income Stmt'!AX41</f>
        <v>-3065779.6914413786</v>
      </c>
      <c r="AY31" s="82">
        <f>-'Income Stmt'!AY41</f>
        <v>-3031427.9083051733</v>
      </c>
      <c r="AZ31" s="82">
        <f>-'Income Stmt'!AZ41</f>
        <v>-2996890.0530103138</v>
      </c>
      <c r="BA31" s="82">
        <f>-'Income Stmt'!BA41</f>
        <v>-2962165.1176659409</v>
      </c>
      <c r="BB31" s="82">
        <f>-'Income Stmt'!BB41</f>
        <v>-2927252.0889217849</v>
      </c>
      <c r="BC31" s="82">
        <f>-'Income Stmt'!BC41</f>
        <v>-2892149.9479385982</v>
      </c>
      <c r="BD31" s="82">
        <f>-'Income Stmt'!BD41</f>
        <v>-2856857.6703584199</v>
      </c>
      <c r="BE31" s="82">
        <f>-'Income Stmt'!BE41</f>
        <v>-2821374.2262746813</v>
      </c>
      <c r="BF31" s="82">
        <f>-'Income Stmt'!BF41</f>
        <v>-2785698.5802021562</v>
      </c>
      <c r="BG31" s="82">
        <f>-'Income Stmt'!BG41</f>
        <v>-2749829.691046739</v>
      </c>
      <c r="BH31" s="82">
        <f>-'Income Stmt'!BH41</f>
        <v>-2713766.5120750628</v>
      </c>
      <c r="BI31" s="82">
        <f>-'Income Stmt'!BI41</f>
        <v>-2677507.9908839567</v>
      </c>
      <c r="BJ31" s="82">
        <f>-'Income Stmt'!BJ41</f>
        <v>-2641053.0693697319</v>
      </c>
      <c r="BK31" s="82">
        <f>-'Income Stmt'!BK41</f>
        <v>-2604400.6836973052</v>
      </c>
      <c r="BL31" s="82">
        <f>-'Income Stmt'!BL41</f>
        <v>-2567549.7642691531</v>
      </c>
      <c r="BM31" s="82">
        <f>-'Income Stmt'!BM41</f>
        <v>-2530499.2356940978</v>
      </c>
      <c r="BN31" s="82">
        <f>-'Income Stmt'!BN41</f>
        <v>-2493248.0167559288</v>
      </c>
      <c r="BO31" s="82">
        <f>-'Income Stmt'!BO41</f>
        <v>-2455795.0203818437</v>
      </c>
      <c r="BP31" s="82">
        <f>-'Income Stmt'!BP41</f>
        <v>-2418139.1536107324</v>
      </c>
      <c r="BQ31" s="82">
        <f>-'Income Stmt'!BQ41</f>
        <v>-2380279.3175612777</v>
      </c>
      <c r="BR31" s="82">
        <f>-'Income Stmt'!BR41</f>
        <v>-2342214.4073998882</v>
      </c>
      <c r="BS31" s="82">
        <f>-'Income Stmt'!BS41</f>
        <v>-2303943.3123084586</v>
      </c>
      <c r="BT31" s="82">
        <f>-'Income Stmt'!BT41</f>
        <v>-2265464.9154519499</v>
      </c>
      <c r="BU31" s="82">
        <f>-'Income Stmt'!BU41</f>
        <v>-2226778.0939458022</v>
      </c>
      <c r="BV31" s="82">
        <f>-'Income Stmt'!BV41</f>
        <v>-2187881.7188231619</v>
      </c>
      <c r="BW31" s="82">
        <f>-'Income Stmt'!BW41</f>
        <v>-2148774.6550019411</v>
      </c>
      <c r="BX31" s="82">
        <f>-'Income Stmt'!BX41</f>
        <v>-2109455.7612516894</v>
      </c>
      <c r="BY31" s="82">
        <f>-'Income Stmt'!BY41</f>
        <v>-2069923.8901602898</v>
      </c>
      <c r="BZ31" s="82">
        <f>-'Income Stmt'!BZ41</f>
        <v>-2030177.8881004786</v>
      </c>
      <c r="CA31" s="82">
        <f>-'Income Stmt'!CA41</f>
        <v>-1990216.5951961766</v>
      </c>
      <c r="CB31" s="82">
        <f>-'Income Stmt'!CB41</f>
        <v>-1950038.8452886431</v>
      </c>
      <c r="CC31" s="82">
        <f>-'Income Stmt'!CC41</f>
        <v>-1909643.465902444</v>
      </c>
      <c r="CD31" s="82">
        <f>-'Income Stmt'!CD41</f>
        <v>-1869029.278211236</v>
      </c>
      <c r="CE31" s="82">
        <f>-'Income Stmt'!CE41</f>
        <v>-1828195.0970033675</v>
      </c>
      <c r="CF31" s="82">
        <f>-'Income Stmt'!CF41</f>
        <v>-1787139.7306472899</v>
      </c>
      <c r="CG31" s="82">
        <f>-'Income Stmt'!CG41</f>
        <v>-1745861.9810567831</v>
      </c>
      <c r="CH31" s="82">
        <f>-'Income Stmt'!CH41</f>
        <v>-1704360.6436559947</v>
      </c>
      <c r="CI31" s="82">
        <f>-'Income Stmt'!CI41</f>
        <v>-1662634.507344285</v>
      </c>
      <c r="CJ31" s="82">
        <f>-'Income Stmt'!CJ41</f>
        <v>-1620682.3544608874</v>
      </c>
      <c r="CK31" s="82">
        <f>-'Income Stmt'!CK41</f>
        <v>-1578502.960749371</v>
      </c>
      <c r="CL31" s="82">
        <f>-'Income Stmt'!CL41</f>
        <v>-1536095.0953219174</v>
      </c>
      <c r="CM31" s="82">
        <f>-'Income Stmt'!CM41</f>
        <v>-1493457.5206233982</v>
      </c>
      <c r="CN31" s="82">
        <f>-'Income Stmt'!CN41</f>
        <v>-1450588.9923952625</v>
      </c>
      <c r="CO31" s="82">
        <f>-'Income Stmt'!CO41</f>
        <v>-1407488.2596392238</v>
      </c>
      <c r="CP31" s="82">
        <f>-'Income Stmt'!CP41</f>
        <v>-1364154.0645807569</v>
      </c>
      <c r="CQ31" s="82">
        <f>-'Income Stmt'!CQ41</f>
        <v>-1320585.1426323899</v>
      </c>
      <c r="CR31" s="82">
        <f>-'Income Stmt'!CR41</f>
        <v>-1276780.2223568026</v>
      </c>
      <c r="CS31" s="82">
        <f>-'Income Stmt'!CS41</f>
        <v>-1232738.0254297224</v>
      </c>
      <c r="CT31" s="82">
        <f>-'Income Stmt'!CT41</f>
        <v>-1188457.2666026207</v>
      </c>
      <c r="CU31" s="82">
        <f>-'Income Stmt'!CU41</f>
        <v>-1143936.6536652055</v>
      </c>
      <c r="CV31" s="82">
        <f>-'Income Stmt'!CV41</f>
        <v>-1099174.8874077126</v>
      </c>
      <c r="CW31" s="82">
        <f>-'Income Stmt'!CW41</f>
        <v>-1054170.6615829917</v>
      </c>
      <c r="CX31" s="82">
        <f>-'Income Stmt'!CX41</f>
        <v>-1008922.6628683868</v>
      </c>
      <c r="CY31" s="82">
        <f>-'Income Stmt'!CY41</f>
        <v>-963429.57082741114</v>
      </c>
      <c r="CZ31" s="82">
        <f>-'Income Stmt'!CZ41</f>
        <v>-917690.05787121342</v>
      </c>
      <c r="DA31" s="82">
        <f>-'Income Stmt'!DA41</f>
        <v>-871702.78921983659</v>
      </c>
      <c r="DB31" s="82">
        <f>-'Income Stmt'!DB41</f>
        <v>-825466.42286326457</v>
      </c>
      <c r="DC31" s="82">
        <f>-'Income Stmt'!DC41</f>
        <v>-778979.60952226084</v>
      </c>
      <c r="DD31" s="82">
        <f>-'Income Stmt'!DD41</f>
        <v>-732240.99260899378</v>
      </c>
      <c r="DE31" s="82">
        <f>-'Income Stmt'!DE41</f>
        <v>-685249.20818744646</v>
      </c>
      <c r="DF31" s="82">
        <f>-'Income Stmt'!DF41</f>
        <v>-638002.88493361569</v>
      </c>
      <c r="DG31" s="82">
        <f>-'Income Stmt'!DG41</f>
        <v>-590500.64409549336</v>
      </c>
      <c r="DH31" s="82">
        <f>-'Income Stmt'!DH41</f>
        <v>-542741.0994528312</v>
      </c>
      <c r="DI31" s="82">
        <f>-'Income Stmt'!DI41</f>
        <v>-494722.85727668786</v>
      </c>
      <c r="DJ31" s="82">
        <f>-'Income Stmt'!DJ41</f>
        <v>-446444.51628875721</v>
      </c>
      <c r="DK31" s="82">
        <f>-'Income Stmt'!DK41</f>
        <v>-397904.66762047523</v>
      </c>
      <c r="DL31" s="82">
        <f>-'Income Stmt'!DL41</f>
        <v>-349101.89477190672</v>
      </c>
      <c r="DM31" s="82">
        <f>-'Income Stmt'!DM41</f>
        <v>-300034.7735704084</v>
      </c>
      <c r="DN31" s="82">
        <f>-'Income Stmt'!DN41</f>
        <v>-250701.87212906871</v>
      </c>
      <c r="DO31" s="82">
        <f>-'Income Stmt'!DO41</f>
        <v>-201101.75080492173</v>
      </c>
      <c r="DP31" s="82">
        <f>-'Income Stmt'!DP41</f>
        <v>-151232.96215693562</v>
      </c>
      <c r="DQ31" s="82">
        <f>-'Income Stmt'!DQ41</f>
        <v>-101094.05090377292</v>
      </c>
      <c r="DR31" s="82">
        <f>-'Income Stmt'!DR41</f>
        <v>-50683.553881322274</v>
      </c>
      <c r="DS31" s="82">
        <f>-'Income Stmt'!DS41</f>
        <v>0</v>
      </c>
      <c r="DT31" s="82">
        <f>-'Income Stmt'!DT41</f>
        <v>0</v>
      </c>
      <c r="DU31" s="82">
        <f>-'Income Stmt'!DU41</f>
        <v>0</v>
      </c>
      <c r="DV31" s="82">
        <f>-'Income Stmt'!DV41</f>
        <v>0</v>
      </c>
      <c r="DW31" s="82">
        <f>-'Income Stmt'!DW41</f>
        <v>0</v>
      </c>
      <c r="DX31" s="82">
        <f>-'Income Stmt'!DX41</f>
        <v>0</v>
      </c>
      <c r="DY31" s="82">
        <f>-'Income Stmt'!DY41</f>
        <v>0</v>
      </c>
      <c r="DZ31" s="82">
        <f>-'Income Stmt'!DZ41</f>
        <v>0</v>
      </c>
      <c r="EA31" s="82">
        <f>-'Income Stmt'!EA41</f>
        <v>0</v>
      </c>
      <c r="EB31" s="82">
        <f>-'Income Stmt'!EB41</f>
        <v>0</v>
      </c>
      <c r="EC31" s="82">
        <f>-'Income Stmt'!EC41</f>
        <v>0</v>
      </c>
      <c r="ED31" s="82">
        <f>-'Income Stmt'!ED41</f>
        <v>0</v>
      </c>
      <c r="EE31" s="82">
        <f>-'Income Stmt'!EE41</f>
        <v>0</v>
      </c>
      <c r="EF31" s="82">
        <f>-'Income Stmt'!EF41</f>
        <v>0</v>
      </c>
      <c r="EG31" s="82">
        <f>-'Income Stmt'!EG41</f>
        <v>0</v>
      </c>
      <c r="EH31" s="82">
        <f>-'Income Stmt'!EH41</f>
        <v>0</v>
      </c>
      <c r="EI31" s="82">
        <f>-'Income Stmt'!EI41</f>
        <v>0</v>
      </c>
      <c r="EJ31" s="82">
        <f>-'Income Stmt'!EJ41</f>
        <v>0</v>
      </c>
      <c r="EK31" s="82">
        <f>-'Income Stmt'!EK41</f>
        <v>0</v>
      </c>
      <c r="EL31" s="82">
        <f>-'Income Stmt'!EL41</f>
        <v>0</v>
      </c>
      <c r="EM31" s="82">
        <f>-'Income Stmt'!EM41</f>
        <v>0</v>
      </c>
      <c r="EN31" s="82">
        <f>-'Income Stmt'!EN41</f>
        <v>0</v>
      </c>
      <c r="EO31" s="82">
        <f>-'Income Stmt'!EO41</f>
        <v>0</v>
      </c>
      <c r="EP31" s="82">
        <f>-'Income Stmt'!EP41</f>
        <v>0</v>
      </c>
      <c r="EQ31" s="82">
        <f>-'Income Stmt'!EQ41</f>
        <v>0</v>
      </c>
      <c r="ER31" s="82">
        <f>-'Income Stmt'!ER41</f>
        <v>0</v>
      </c>
      <c r="ES31" s="82">
        <f>-'Income Stmt'!ES41</f>
        <v>0</v>
      </c>
      <c r="ET31" s="82">
        <f>-'Income Stmt'!ET41</f>
        <v>0</v>
      </c>
      <c r="EU31" s="82">
        <f>-'Income Stmt'!EU41</f>
        <v>0</v>
      </c>
      <c r="EV31" s="82">
        <f>-'Income Stmt'!EV41</f>
        <v>0</v>
      </c>
      <c r="EW31" s="82">
        <f>-'Income Stmt'!EW41</f>
        <v>0</v>
      </c>
      <c r="EX31" s="82">
        <f>-'Income Stmt'!EX41</f>
        <v>0</v>
      </c>
      <c r="EY31" s="82">
        <f>-'Income Stmt'!EY41</f>
        <v>0</v>
      </c>
      <c r="EZ31" s="82">
        <f>-'Income Stmt'!EZ41</f>
        <v>0</v>
      </c>
      <c r="FA31" s="82">
        <f>-'Income Stmt'!FA41</f>
        <v>0</v>
      </c>
      <c r="FB31" s="82">
        <f>-'Income Stmt'!FB41</f>
        <v>0</v>
      </c>
      <c r="FC31" s="82">
        <f>-'Income Stmt'!FC41</f>
        <v>0</v>
      </c>
      <c r="FD31" s="82">
        <f>-'Income Stmt'!FD41</f>
        <v>0</v>
      </c>
      <c r="FE31" s="82">
        <f>-'Income Stmt'!FE41</f>
        <v>0</v>
      </c>
      <c r="FF31" s="82">
        <f>-'Income Stmt'!FF41</f>
        <v>0</v>
      </c>
      <c r="FG31" s="82">
        <f>-'Income Stmt'!FG41</f>
        <v>0</v>
      </c>
      <c r="FH31" s="82">
        <f>-'Income Stmt'!FH41</f>
        <v>0</v>
      </c>
      <c r="FI31" s="82">
        <f>-'Income Stmt'!FI41</f>
        <v>0</v>
      </c>
      <c r="FJ31" s="82">
        <f>-'Income Stmt'!FJ41</f>
        <v>0</v>
      </c>
      <c r="FK31" s="82">
        <f>-'Income Stmt'!FK41</f>
        <v>0</v>
      </c>
      <c r="FL31" s="82">
        <f>-'Income Stmt'!FL41</f>
        <v>0</v>
      </c>
      <c r="FM31" s="82">
        <f>-'Income Stmt'!FM41</f>
        <v>0</v>
      </c>
      <c r="FN31" s="82">
        <f>-'Income Stmt'!FN41</f>
        <v>0</v>
      </c>
      <c r="FO31" s="82">
        <f>-'Income Stmt'!FO41</f>
        <v>0</v>
      </c>
      <c r="FP31" s="82">
        <f>-'Income Stmt'!FP41</f>
        <v>0</v>
      </c>
      <c r="FQ31" s="82">
        <f>-'Income Stmt'!FQ41</f>
        <v>0</v>
      </c>
      <c r="FR31" s="82">
        <f>-'Income Stmt'!FR41</f>
        <v>0</v>
      </c>
      <c r="FS31" s="82">
        <f>-'Income Stmt'!FS41</f>
        <v>0</v>
      </c>
      <c r="FT31" s="82">
        <f>-'Income Stmt'!FT41</f>
        <v>0</v>
      </c>
      <c r="FU31" s="82">
        <f>-'Income Stmt'!FU41</f>
        <v>0</v>
      </c>
      <c r="FV31" s="82">
        <f>-'Income Stmt'!FV41</f>
        <v>0</v>
      </c>
      <c r="FW31" s="82">
        <f>-'Income Stmt'!FW41</f>
        <v>0</v>
      </c>
      <c r="FX31" s="82">
        <f>-'Income Stmt'!FX41</f>
        <v>0</v>
      </c>
      <c r="FY31" s="82">
        <f>-'Income Stmt'!FY41</f>
        <v>0</v>
      </c>
      <c r="FZ31" s="82">
        <f>-'Income Stmt'!FZ41</f>
        <v>0</v>
      </c>
      <c r="GA31" s="82">
        <f>-'Income Stmt'!GA41</f>
        <v>0</v>
      </c>
      <c r="GB31" s="82">
        <f>-'Income Stmt'!GB41</f>
        <v>0</v>
      </c>
      <c r="GC31" s="82">
        <f>-'Income Stmt'!GC41</f>
        <v>0</v>
      </c>
      <c r="GD31" s="82">
        <f>-'Income Stmt'!GD41</f>
        <v>0</v>
      </c>
      <c r="GE31" s="82">
        <f>-'Income Stmt'!GE41</f>
        <v>0</v>
      </c>
      <c r="GF31" s="82">
        <f>-'Income Stmt'!GF41</f>
        <v>0</v>
      </c>
      <c r="GG31" s="82">
        <f>-'Income Stmt'!GG41</f>
        <v>0</v>
      </c>
      <c r="GH31" s="82">
        <f>-'Income Stmt'!GH41</f>
        <v>0</v>
      </c>
      <c r="GI31" s="82">
        <f>-'Income Stmt'!GI41</f>
        <v>0</v>
      </c>
      <c r="GJ31" s="82">
        <f>-'Income Stmt'!GJ41</f>
        <v>0</v>
      </c>
      <c r="GK31" s="82">
        <f>-'Income Stmt'!GK41</f>
        <v>0</v>
      </c>
      <c r="GL31" s="82">
        <f>-'Income Stmt'!GL41</f>
        <v>0</v>
      </c>
      <c r="GM31" s="82">
        <f>-'Income Stmt'!GM41</f>
        <v>0</v>
      </c>
      <c r="GN31" s="82">
        <f>-'Income Stmt'!GN41</f>
        <v>0</v>
      </c>
      <c r="GO31" s="82">
        <f>-'Income Stmt'!GO41</f>
        <v>0</v>
      </c>
      <c r="GP31" s="82">
        <f>-'Income Stmt'!GP41</f>
        <v>0</v>
      </c>
      <c r="GQ31" s="82">
        <f>-'Income Stmt'!GQ41</f>
        <v>0</v>
      </c>
      <c r="GR31" s="82">
        <f>-'Income Stmt'!GR41</f>
        <v>0</v>
      </c>
      <c r="GS31" s="82">
        <f>-'Income Stmt'!GS41</f>
        <v>0</v>
      </c>
      <c r="GT31" s="82">
        <f>-'Income Stmt'!GT41</f>
        <v>0</v>
      </c>
      <c r="GU31" s="82">
        <f>-'Income Stmt'!GU41</f>
        <v>0</v>
      </c>
      <c r="GV31" s="82">
        <f>-'Income Stmt'!GV41</f>
        <v>0</v>
      </c>
      <c r="GW31" s="82">
        <f>-'Income Stmt'!GW41</f>
        <v>0</v>
      </c>
      <c r="GX31" s="82">
        <f>-'Income Stmt'!GX41</f>
        <v>0</v>
      </c>
      <c r="GY31" s="82">
        <f>-'Income Stmt'!GY41</f>
        <v>0</v>
      </c>
      <c r="GZ31" s="82">
        <f>-'Income Stmt'!GZ41</f>
        <v>0</v>
      </c>
      <c r="HA31" s="82">
        <f>-'Income Stmt'!HA41</f>
        <v>0</v>
      </c>
      <c r="HB31" s="82">
        <f>-'Income Stmt'!HB41</f>
        <v>0</v>
      </c>
      <c r="HC31" s="82">
        <f>-'Income Stmt'!HC41</f>
        <v>0</v>
      </c>
      <c r="HD31" s="82">
        <f>-'Income Stmt'!HD41</f>
        <v>0</v>
      </c>
      <c r="HE31" s="82">
        <f>-'Income Stmt'!HE41</f>
        <v>0</v>
      </c>
      <c r="HF31" s="82">
        <f>-'Income Stmt'!HF41</f>
        <v>0</v>
      </c>
      <c r="HG31" s="82">
        <f>-'Income Stmt'!HG41</f>
        <v>0</v>
      </c>
      <c r="HH31" s="82">
        <f>-'Income Stmt'!HH41</f>
        <v>0</v>
      </c>
      <c r="HI31" s="82">
        <f>-'Income Stmt'!HI41</f>
        <v>0</v>
      </c>
      <c r="HJ31" s="82">
        <f>-'Income Stmt'!HJ41</f>
        <v>0</v>
      </c>
      <c r="HK31" s="82">
        <f>-'Income Stmt'!HK41</f>
        <v>0</v>
      </c>
      <c r="HL31" s="82">
        <f>-'Income Stmt'!HL41</f>
        <v>0</v>
      </c>
      <c r="HM31" s="82">
        <f>-'Income Stmt'!HM41</f>
        <v>0</v>
      </c>
      <c r="HN31" s="82">
        <f>-'Income Stmt'!HN41</f>
        <v>0</v>
      </c>
      <c r="HO31" s="82">
        <f>-'Income Stmt'!HO41</f>
        <v>0</v>
      </c>
      <c r="HP31" s="82">
        <f>-'Income Stmt'!HP41</f>
        <v>0</v>
      </c>
      <c r="HQ31" s="82">
        <f>-'Income Stmt'!HQ41</f>
        <v>0</v>
      </c>
      <c r="HR31" s="82">
        <f>-'Income Stmt'!HR41</f>
        <v>0</v>
      </c>
      <c r="HS31" s="82">
        <f>-'Income Stmt'!HS41</f>
        <v>0</v>
      </c>
      <c r="HT31" s="82">
        <f>-'Income Stmt'!HT41</f>
        <v>0</v>
      </c>
      <c r="HU31" s="82">
        <f>-'Income Stmt'!HU41</f>
        <v>0</v>
      </c>
      <c r="HV31" s="82">
        <f>-'Income Stmt'!HV41</f>
        <v>0</v>
      </c>
      <c r="HW31" s="82">
        <f>-'Income Stmt'!HW41</f>
        <v>0</v>
      </c>
      <c r="HX31" s="82">
        <f>-'Income Stmt'!HX41</f>
        <v>0</v>
      </c>
      <c r="HY31" s="82">
        <f>-'Income Stmt'!HY41</f>
        <v>0</v>
      </c>
      <c r="HZ31" s="82">
        <f>-'Income Stmt'!HZ41</f>
        <v>0</v>
      </c>
      <c r="IA31" s="82">
        <f>-'Income Stmt'!IA41</f>
        <v>0</v>
      </c>
      <c r="IB31" s="82">
        <f>-'Income Stmt'!IB41</f>
        <v>0</v>
      </c>
      <c r="IC31" s="82">
        <f>-'Income Stmt'!IC41</f>
        <v>0</v>
      </c>
      <c r="ID31" s="82">
        <f>-'Income Stmt'!ID41</f>
        <v>0</v>
      </c>
      <c r="IE31" s="82">
        <f>-'Income Stmt'!IE41</f>
        <v>0</v>
      </c>
      <c r="IF31" s="82">
        <f>-'Income Stmt'!IF41</f>
        <v>0</v>
      </c>
      <c r="IG31" s="82">
        <f>-'Income Stmt'!IG41</f>
        <v>0</v>
      </c>
      <c r="IH31" s="82">
        <f>-'Income Stmt'!IH41</f>
        <v>0</v>
      </c>
    </row>
    <row r="32" spans="1:242" ht="15" thickTop="1" thickBot="1" x14ac:dyDescent="0.5">
      <c r="A32" s="888"/>
      <c r="B32" s="889"/>
      <c r="C32" s="91">
        <f>SUM(C27:C31)</f>
        <v>-9834706.2336878106</v>
      </c>
      <c r="D32" s="91">
        <f t="shared" ref="D32:BO32" si="146">SUM(D27:D31)</f>
        <v>-10386874.294061042</v>
      </c>
      <c r="E32" s="91">
        <f t="shared" si="146"/>
        <v>-9893412.275838919</v>
      </c>
      <c r="F32" s="91">
        <f t="shared" si="146"/>
        <v>-9839534.9946014285</v>
      </c>
      <c r="G32" s="91">
        <f t="shared" si="146"/>
        <v>-9785365.8780905642</v>
      </c>
      <c r="H32" s="91">
        <f t="shared" si="146"/>
        <v>-9730903.3455319367</v>
      </c>
      <c r="I32" s="91">
        <f t="shared" si="146"/>
        <v>-9676145.8075886145</v>
      </c>
      <c r="J32" s="91">
        <f t="shared" si="146"/>
        <v>-9621091.6663147621</v>
      </c>
      <c r="K32" s="91">
        <f t="shared" si="146"/>
        <v>-9565739.3151090145</v>
      </c>
      <c r="L32" s="91">
        <f t="shared" si="146"/>
        <v>-9510087.1386675723</v>
      </c>
      <c r="M32" s="91">
        <f t="shared" si="146"/>
        <v>-9454133.5129370652</v>
      </c>
      <c r="N32" s="91">
        <f t="shared" si="146"/>
        <v>-9397876.805067189</v>
      </c>
      <c r="O32" s="91">
        <f t="shared" si="146"/>
        <v>-15278023.010694962</v>
      </c>
      <c r="P32" s="91">
        <f t="shared" si="146"/>
        <v>-15285269.871235728</v>
      </c>
      <c r="Q32" s="91">
        <f t="shared" si="146"/>
        <v>-15067094.031159975</v>
      </c>
      <c r="R32" s="91">
        <f t="shared" si="146"/>
        <v>-15009608.488617133</v>
      </c>
      <c r="S32" s="91">
        <f t="shared" si="146"/>
        <v>-14951811.566052195</v>
      </c>
      <c r="T32" s="91">
        <f t="shared" si="146"/>
        <v>-14893701.576823365</v>
      </c>
      <c r="U32" s="91">
        <f t="shared" si="146"/>
        <v>-14835276.825152881</v>
      </c>
      <c r="V32" s="91">
        <f t="shared" si="146"/>
        <v>-14776535.606077511</v>
      </c>
      <c r="W32" s="91">
        <f t="shared" si="146"/>
        <v>-14717476.20539882</v>
      </c>
      <c r="X32" s="91">
        <f t="shared" si="146"/>
        <v>-14658096.899633117</v>
      </c>
      <c r="Y32" s="91">
        <f t="shared" si="146"/>
        <v>-14598395.955961186</v>
      </c>
      <c r="Z32" s="91">
        <f t="shared" si="146"/>
        <v>-14538371.632177696</v>
      </c>
      <c r="AA32" s="91">
        <f t="shared" si="146"/>
        <v>-9680852.1920792479</v>
      </c>
      <c r="AB32" s="91">
        <f t="shared" si="146"/>
        <v>-6638114.2756722365</v>
      </c>
      <c r="AC32" s="91">
        <f t="shared" si="146"/>
        <v>-6577109.2636968102</v>
      </c>
      <c r="AD32" s="91">
        <f t="shared" si="146"/>
        <v>-6515773.807906514</v>
      </c>
      <c r="AE32" s="91">
        <f t="shared" si="146"/>
        <v>-6454106.1183973569</v>
      </c>
      <c r="AF32" s="91">
        <f t="shared" si="146"/>
        <v>-6392104.3955699969</v>
      </c>
      <c r="AG32" s="91">
        <f t="shared" si="146"/>
        <v>-6329766.8300773483</v>
      </c>
      <c r="AH32" s="91">
        <f t="shared" si="146"/>
        <v>-6267091.6027716156</v>
      </c>
      <c r="AI32" s="91">
        <f t="shared" si="146"/>
        <v>-6204076.8846513126</v>
      </c>
      <c r="AJ32" s="91">
        <f t="shared" si="146"/>
        <v>-6140720.8368078545</v>
      </c>
      <c r="AK32" s="91">
        <f t="shared" si="146"/>
        <v>-6077021.6103719119</v>
      </c>
      <c r="AL32" s="91">
        <f t="shared" si="146"/>
        <v>-6012977.3464594427</v>
      </c>
      <c r="AM32" s="91">
        <f t="shared" si="146"/>
        <v>-2331352.5871433932</v>
      </c>
      <c r="AN32" s="91">
        <f t="shared" si="146"/>
        <v>231888.91985166725</v>
      </c>
      <c r="AO32" s="91">
        <f t="shared" si="146"/>
        <v>296979.55046052486</v>
      </c>
      <c r="AP32" s="91">
        <f t="shared" si="146"/>
        <v>362422.75531851407</v>
      </c>
      <c r="AQ32" s="91">
        <f t="shared" si="146"/>
        <v>428220.44420281798</v>
      </c>
      <c r="AR32" s="91">
        <f t="shared" si="146"/>
        <v>494374.53723524511</v>
      </c>
      <c r="AS32" s="91">
        <f t="shared" si="146"/>
        <v>560886.96493826527</v>
      </c>
      <c r="AT32" s="91">
        <f t="shared" si="146"/>
        <v>627759.66829134244</v>
      </c>
      <c r="AU32" s="91">
        <f t="shared" si="146"/>
        <v>694994.59878758155</v>
      </c>
      <c r="AV32" s="91">
        <f t="shared" si="146"/>
        <v>762593.71849067695</v>
      </c>
      <c r="AW32" s="91">
        <f t="shared" si="146"/>
        <v>830559.00009216275</v>
      </c>
      <c r="AX32" s="91">
        <f t="shared" si="146"/>
        <v>898892.42696899176</v>
      </c>
      <c r="AY32" s="91">
        <f t="shared" si="146"/>
        <v>4718087.7009620257</v>
      </c>
      <c r="AZ32" s="91">
        <f t="shared" si="146"/>
        <v>7721159.155855163</v>
      </c>
      <c r="BA32" s="91">
        <f t="shared" si="146"/>
        <v>7785400.2862422522</v>
      </c>
      <c r="BB32" s="91">
        <f t="shared" si="146"/>
        <v>7849989.389418941</v>
      </c>
      <c r="BC32" s="91">
        <f t="shared" si="146"/>
        <v>7914928.3502378352</v>
      </c>
      <c r="BD32" s="91">
        <f t="shared" si="146"/>
        <v>7980219.0637611672</v>
      </c>
      <c r="BE32" s="91">
        <f t="shared" si="146"/>
        <v>8045863.435316083</v>
      </c>
      <c r="BF32" s="91">
        <f t="shared" si="146"/>
        <v>8111863.3805502541</v>
      </c>
      <c r="BG32" s="91">
        <f t="shared" si="146"/>
        <v>8178220.8254877757</v>
      </c>
      <c r="BH32" s="91">
        <f t="shared" si="146"/>
        <v>8244937.7065854371</v>
      </c>
      <c r="BI32" s="91">
        <f t="shared" si="146"/>
        <v>8312015.9707889827</v>
      </c>
      <c r="BJ32" s="91">
        <f t="shared" si="146"/>
        <v>8379457.5755902994</v>
      </c>
      <c r="BK32" s="91">
        <f t="shared" si="146"/>
        <v>10868550.222703794</v>
      </c>
      <c r="BL32" s="91">
        <f t="shared" si="146"/>
        <v>12904294.395174287</v>
      </c>
      <c r="BM32" s="91">
        <f t="shared" si="146"/>
        <v>12972837.873038141</v>
      </c>
      <c r="BN32" s="91">
        <f t="shared" si="146"/>
        <v>13041752.62807375</v>
      </c>
      <c r="BO32" s="91">
        <f t="shared" si="146"/>
        <v>13111040.671365811</v>
      </c>
      <c r="BP32" s="91">
        <f t="shared" ref="BP32:EA32" si="147">SUM(BP27:BP31)</f>
        <v>13180704.024892366</v>
      </c>
      <c r="BQ32" s="91">
        <f t="shared" si="147"/>
        <v>13250744.721583856</v>
      </c>
      <c r="BR32" s="91">
        <f t="shared" si="147"/>
        <v>13321164.805382427</v>
      </c>
      <c r="BS32" s="91">
        <f t="shared" si="147"/>
        <v>13391966.331301572</v>
      </c>
      <c r="BT32" s="91">
        <f t="shared" si="147"/>
        <v>13463151.365486113</v>
      </c>
      <c r="BU32" s="91">
        <f t="shared" si="147"/>
        <v>13534721.985272486</v>
      </c>
      <c r="BV32" s="91">
        <f t="shared" si="147"/>
        <v>13606680.27924937</v>
      </c>
      <c r="BW32" s="91">
        <f t="shared" si="147"/>
        <v>14003759.829794593</v>
      </c>
      <c r="BX32" s="91">
        <f t="shared" si="147"/>
        <v>14160527.083483921</v>
      </c>
      <c r="BY32" s="91">
        <f t="shared" si="147"/>
        <v>14233661.04500301</v>
      </c>
      <c r="BZ32" s="91">
        <f t="shared" si="147"/>
        <v>14307191.148813661</v>
      </c>
      <c r="CA32" s="91">
        <f t="shared" si="147"/>
        <v>14381119.540686622</v>
      </c>
      <c r="CB32" s="91">
        <f t="shared" si="147"/>
        <v>14455448.378015557</v>
      </c>
      <c r="CC32" s="91">
        <f t="shared" si="147"/>
        <v>14530179.829880025</v>
      </c>
      <c r="CD32" s="91">
        <f t="shared" si="147"/>
        <v>14605316.077108761</v>
      </c>
      <c r="CE32" s="91">
        <f t="shared" si="147"/>
        <v>14680859.312343318</v>
      </c>
      <c r="CF32" s="91">
        <f t="shared" si="147"/>
        <v>14756811.740102062</v>
      </c>
      <c r="CG32" s="91">
        <f t="shared" si="147"/>
        <v>14833175.576844499</v>
      </c>
      <c r="CH32" s="91">
        <f t="shared" si="147"/>
        <v>14909953.051035957</v>
      </c>
      <c r="CI32" s="91">
        <f t="shared" si="147"/>
        <v>14987146.40321262</v>
      </c>
      <c r="CJ32" s="91">
        <f t="shared" si="147"/>
        <v>15064757.886046905</v>
      </c>
      <c r="CK32" s="91">
        <f t="shared" si="147"/>
        <v>15142789.764413211</v>
      </c>
      <c r="CL32" s="91">
        <f t="shared" si="147"/>
        <v>15221244.315454001</v>
      </c>
      <c r="CM32" s="91">
        <f t="shared" si="147"/>
        <v>15300123.828646259</v>
      </c>
      <c r="CN32" s="91">
        <f t="shared" si="147"/>
        <v>15339487.283524413</v>
      </c>
      <c r="CO32" s="91">
        <f t="shared" si="147"/>
        <v>15365182.673599008</v>
      </c>
      <c r="CP32" s="91">
        <f t="shared" si="147"/>
        <v>15445350.934457172</v>
      </c>
      <c r="CQ32" s="91">
        <f t="shared" si="147"/>
        <v>15525953.440061653</v>
      </c>
      <c r="CR32" s="91">
        <f t="shared" si="147"/>
        <v>15606992.542571487</v>
      </c>
      <c r="CS32" s="91">
        <f t="shared" si="147"/>
        <v>15688470.606886588</v>
      </c>
      <c r="CT32" s="91">
        <f t="shared" si="147"/>
        <v>15770390.010716725</v>
      </c>
      <c r="CU32" s="91">
        <f t="shared" si="147"/>
        <v>16470402.324315486</v>
      </c>
      <c r="CV32" s="91">
        <f t="shared" si="147"/>
        <v>17033539.305986129</v>
      </c>
      <c r="CW32" s="91">
        <f t="shared" si="147"/>
        <v>17116797.123761863</v>
      </c>
      <c r="CX32" s="91">
        <f t="shared" si="147"/>
        <v>17200505.92138388</v>
      </c>
      <c r="CY32" s="91">
        <f t="shared" si="147"/>
        <v>17284668.141659688</v>
      </c>
      <c r="CZ32" s="91">
        <f t="shared" si="147"/>
        <v>17369286.240628652</v>
      </c>
      <c r="DA32" s="91">
        <f t="shared" si="147"/>
        <v>17454362.687633697</v>
      </c>
      <c r="DB32" s="91">
        <f t="shared" si="147"/>
        <v>17539899.965393357</v>
      </c>
      <c r="DC32" s="91">
        <f t="shared" si="147"/>
        <v>17625900.570074216</v>
      </c>
      <c r="DD32" s="91">
        <f t="shared" si="147"/>
        <v>17712367.01136376</v>
      </c>
      <c r="DE32" s="91">
        <f t="shared" si="147"/>
        <v>17799301.812543623</v>
      </c>
      <c r="DF32" s="91">
        <f t="shared" si="147"/>
        <v>17886707.510563206</v>
      </c>
      <c r="DG32" s="91">
        <f t="shared" si="147"/>
        <v>17934643.333769839</v>
      </c>
      <c r="DH32" s="91">
        <f t="shared" si="147"/>
        <v>17968957.525834687</v>
      </c>
      <c r="DI32" s="91">
        <f t="shared" si="147"/>
        <v>18057791.273860548</v>
      </c>
      <c r="DJ32" s="91">
        <f t="shared" si="147"/>
        <v>18147106.204688221</v>
      </c>
      <c r="DK32" s="91">
        <f t="shared" si="147"/>
        <v>18236904.924724545</v>
      </c>
      <c r="DL32" s="91">
        <f t="shared" si="147"/>
        <v>18327190.054494392</v>
      </c>
      <c r="DM32" s="91">
        <f t="shared" si="147"/>
        <v>18417964.228717167</v>
      </c>
      <c r="DN32" s="91">
        <f t="shared" si="147"/>
        <v>18509230.096383646</v>
      </c>
      <c r="DO32" s="91">
        <f t="shared" si="147"/>
        <v>18600990.320833318</v>
      </c>
      <c r="DP32" s="91">
        <f t="shared" si="147"/>
        <v>18693247.579832092</v>
      </c>
      <c r="DQ32" s="91">
        <f t="shared" si="147"/>
        <v>18786004.565650444</v>
      </c>
      <c r="DR32" s="91">
        <f t="shared" si="147"/>
        <v>18879263.985141978</v>
      </c>
      <c r="DS32" s="91">
        <f t="shared" si="147"/>
        <v>19590677.739486966</v>
      </c>
      <c r="DT32" s="91">
        <f t="shared" si="147"/>
        <v>20071005.453581844</v>
      </c>
      <c r="DU32" s="91">
        <f t="shared" si="147"/>
        <v>20071005.453581844</v>
      </c>
      <c r="DV32" s="91">
        <f t="shared" si="147"/>
        <v>20071005.453581844</v>
      </c>
      <c r="DW32" s="91">
        <f t="shared" si="147"/>
        <v>20071005.453581844</v>
      </c>
      <c r="DX32" s="91">
        <f t="shared" si="147"/>
        <v>20071005.453581844</v>
      </c>
      <c r="DY32" s="91">
        <f t="shared" si="147"/>
        <v>20071005.453581844</v>
      </c>
      <c r="DZ32" s="91">
        <f t="shared" si="147"/>
        <v>20071005.453581844</v>
      </c>
      <c r="EA32" s="91">
        <f t="shared" si="147"/>
        <v>20071005.453581844</v>
      </c>
      <c r="EB32" s="91">
        <f t="shared" ref="EB32:GI32" si="148">SUM(EB27:EB31)</f>
        <v>20071005.453581844</v>
      </c>
      <c r="EC32" s="91">
        <f t="shared" si="148"/>
        <v>20071005.453581844</v>
      </c>
      <c r="ED32" s="91">
        <f t="shared" si="148"/>
        <v>20071005.453581844</v>
      </c>
      <c r="EE32" s="91">
        <f t="shared" si="148"/>
        <v>20031062.131237946</v>
      </c>
      <c r="EF32" s="91">
        <f t="shared" si="148"/>
        <v>19977021.16571375</v>
      </c>
      <c r="EG32" s="91">
        <f t="shared" si="148"/>
        <v>19977021.16571375</v>
      </c>
      <c r="EH32" s="91">
        <f t="shared" si="148"/>
        <v>19977021.16571375</v>
      </c>
      <c r="EI32" s="91">
        <f t="shared" si="148"/>
        <v>19977021.16571375</v>
      </c>
      <c r="EJ32" s="91">
        <f t="shared" si="148"/>
        <v>19977021.16571375</v>
      </c>
      <c r="EK32" s="91">
        <f t="shared" si="148"/>
        <v>19977021.16571375</v>
      </c>
      <c r="EL32" s="91">
        <f t="shared" si="148"/>
        <v>19977021.16571375</v>
      </c>
      <c r="EM32" s="91">
        <f t="shared" si="148"/>
        <v>19977021.16571375</v>
      </c>
      <c r="EN32" s="91">
        <f t="shared" si="148"/>
        <v>19977021.16571375</v>
      </c>
      <c r="EO32" s="91">
        <f t="shared" si="148"/>
        <v>19977021.16571375</v>
      </c>
      <c r="EP32" s="91">
        <f t="shared" si="148"/>
        <v>19977021.16571375</v>
      </c>
      <c r="EQ32" s="91">
        <f t="shared" si="148"/>
        <v>20594670.345378295</v>
      </c>
      <c r="ER32" s="91">
        <f t="shared" si="148"/>
        <v>21074998.059473172</v>
      </c>
      <c r="ES32" s="91">
        <f t="shared" si="148"/>
        <v>21074998.059473172</v>
      </c>
      <c r="ET32" s="91">
        <f t="shared" si="148"/>
        <v>21074998.059473172</v>
      </c>
      <c r="EU32" s="91">
        <f t="shared" si="148"/>
        <v>21074998.059473172</v>
      </c>
      <c r="EV32" s="91">
        <f t="shared" si="148"/>
        <v>21074998.059473172</v>
      </c>
      <c r="EW32" s="91">
        <f t="shared" si="148"/>
        <v>21074998.059473172</v>
      </c>
      <c r="EX32" s="91">
        <f t="shared" si="148"/>
        <v>21074998.059473172</v>
      </c>
      <c r="EY32" s="91">
        <f t="shared" si="148"/>
        <v>21074998.059473172</v>
      </c>
      <c r="EZ32" s="91">
        <f t="shared" si="148"/>
        <v>21074998.059473172</v>
      </c>
      <c r="FA32" s="91">
        <f t="shared" si="148"/>
        <v>21074998.059473172</v>
      </c>
      <c r="FB32" s="91">
        <f t="shared" si="148"/>
        <v>21074998.059473172</v>
      </c>
      <c r="FC32" s="91">
        <f t="shared" si="148"/>
        <v>21035054.737129271</v>
      </c>
      <c r="FD32" s="91">
        <f t="shared" si="148"/>
        <v>20981013.771605074</v>
      </c>
      <c r="FE32" s="91">
        <f t="shared" si="148"/>
        <v>20981013.771605074</v>
      </c>
      <c r="FF32" s="91">
        <f t="shared" si="148"/>
        <v>20981013.771605074</v>
      </c>
      <c r="FG32" s="91">
        <f t="shared" si="148"/>
        <v>20981013.771605074</v>
      </c>
      <c r="FH32" s="91">
        <f t="shared" si="148"/>
        <v>20981013.771605074</v>
      </c>
      <c r="FI32" s="91">
        <f t="shared" si="148"/>
        <v>20981013.771605074</v>
      </c>
      <c r="FJ32" s="91">
        <f t="shared" si="148"/>
        <v>20981013.771605074</v>
      </c>
      <c r="FK32" s="91">
        <f t="shared" si="148"/>
        <v>20981013.771605074</v>
      </c>
      <c r="FL32" s="91">
        <f t="shared" si="148"/>
        <v>20981013.771605074</v>
      </c>
      <c r="FM32" s="91">
        <f t="shared" si="148"/>
        <v>20981013.771605074</v>
      </c>
      <c r="FN32" s="91">
        <f t="shared" si="148"/>
        <v>20981013.771605074</v>
      </c>
      <c r="FO32" s="91">
        <f t="shared" si="148"/>
        <v>21598662.951269612</v>
      </c>
      <c r="FP32" s="91">
        <f t="shared" si="148"/>
        <v>22078990.665364012</v>
      </c>
      <c r="FQ32" s="91">
        <f t="shared" si="148"/>
        <v>22078990.665364012</v>
      </c>
      <c r="FR32" s="91">
        <f t="shared" si="148"/>
        <v>22078990.665364012</v>
      </c>
      <c r="FS32" s="91">
        <f t="shared" si="148"/>
        <v>22078990.665364012</v>
      </c>
      <c r="FT32" s="91">
        <f t="shared" si="148"/>
        <v>22078990.665364012</v>
      </c>
      <c r="FU32" s="91">
        <f t="shared" si="148"/>
        <v>22078990.665364012</v>
      </c>
      <c r="FV32" s="91">
        <f t="shared" si="148"/>
        <v>22078990.665364012</v>
      </c>
      <c r="FW32" s="91">
        <f t="shared" si="148"/>
        <v>22078990.665364012</v>
      </c>
      <c r="FX32" s="91">
        <f t="shared" si="148"/>
        <v>22078990.665364012</v>
      </c>
      <c r="FY32" s="91">
        <f t="shared" si="148"/>
        <v>22078990.665364012</v>
      </c>
      <c r="FZ32" s="91">
        <f t="shared" si="148"/>
        <v>22078990.665364012</v>
      </c>
      <c r="GA32" s="91">
        <f t="shared" si="148"/>
        <v>22039047.343020115</v>
      </c>
      <c r="GB32" s="91">
        <f t="shared" si="148"/>
        <v>21985006.377495918</v>
      </c>
      <c r="GC32" s="91">
        <f t="shared" si="148"/>
        <v>21985006.377495918</v>
      </c>
      <c r="GD32" s="91">
        <f t="shared" si="148"/>
        <v>21985006.377495918</v>
      </c>
      <c r="GE32" s="91">
        <f t="shared" si="148"/>
        <v>21985006.377495918</v>
      </c>
      <c r="GF32" s="91">
        <f t="shared" si="148"/>
        <v>21985006.377495918</v>
      </c>
      <c r="GG32" s="91">
        <f t="shared" si="148"/>
        <v>21985006.377495918</v>
      </c>
      <c r="GH32" s="91">
        <f t="shared" si="148"/>
        <v>21985006.377495918</v>
      </c>
      <c r="GI32" s="91">
        <f t="shared" si="148"/>
        <v>21985006.377495918</v>
      </c>
      <c r="GJ32" s="91">
        <f t="shared" ref="GJ32:IH32" si="149">SUM(GJ27:GJ31)</f>
        <v>21985006.377495918</v>
      </c>
      <c r="GK32" s="91">
        <f t="shared" si="149"/>
        <v>21985006.377495918</v>
      </c>
      <c r="GL32" s="91">
        <f t="shared" si="149"/>
        <v>21985006.377495918</v>
      </c>
      <c r="GM32" s="91">
        <f t="shared" si="149"/>
        <v>27493209.582225949</v>
      </c>
      <c r="GN32" s="91">
        <f t="shared" si="149"/>
        <v>27973537.296320826</v>
      </c>
      <c r="GO32" s="91">
        <f t="shared" si="149"/>
        <v>27973537.296320826</v>
      </c>
      <c r="GP32" s="91">
        <f t="shared" si="149"/>
        <v>27973537.296320826</v>
      </c>
      <c r="GQ32" s="91">
        <f t="shared" si="149"/>
        <v>27973537.296320826</v>
      </c>
      <c r="GR32" s="91">
        <f t="shared" si="149"/>
        <v>27973537.296320826</v>
      </c>
      <c r="GS32" s="91">
        <f t="shared" si="149"/>
        <v>27973537.296320826</v>
      </c>
      <c r="GT32" s="91">
        <f t="shared" si="149"/>
        <v>27973537.296320826</v>
      </c>
      <c r="GU32" s="91">
        <f t="shared" si="149"/>
        <v>27973537.296320826</v>
      </c>
      <c r="GV32" s="91">
        <f t="shared" si="149"/>
        <v>27973537.296320826</v>
      </c>
      <c r="GW32" s="91">
        <f t="shared" si="149"/>
        <v>27973537.296320826</v>
      </c>
      <c r="GX32" s="91">
        <f t="shared" si="149"/>
        <v>27973537.296320826</v>
      </c>
      <c r="GY32" s="91">
        <f t="shared" si="149"/>
        <v>27933593.973976929</v>
      </c>
      <c r="GZ32" s="91">
        <f t="shared" si="149"/>
        <v>27879553.008452732</v>
      </c>
      <c r="HA32" s="91">
        <f t="shared" si="149"/>
        <v>27879553.008452732</v>
      </c>
      <c r="HB32" s="91">
        <f t="shared" si="149"/>
        <v>27879553.008452732</v>
      </c>
      <c r="HC32" s="91">
        <f t="shared" si="149"/>
        <v>27879553.008452732</v>
      </c>
      <c r="HD32" s="91">
        <f t="shared" si="149"/>
        <v>27879553.008452732</v>
      </c>
      <c r="HE32" s="91">
        <f t="shared" si="149"/>
        <v>27879553.008452732</v>
      </c>
      <c r="HF32" s="91">
        <f t="shared" si="149"/>
        <v>27879553.008452732</v>
      </c>
      <c r="HG32" s="91">
        <f t="shared" si="149"/>
        <v>27879553.008452732</v>
      </c>
      <c r="HH32" s="91">
        <f t="shared" si="149"/>
        <v>27879553.008452732</v>
      </c>
      <c r="HI32" s="91">
        <f t="shared" si="149"/>
        <v>27879553.008452732</v>
      </c>
      <c r="HJ32" s="91">
        <f t="shared" si="149"/>
        <v>27879553.008452732</v>
      </c>
      <c r="HK32" s="91">
        <f t="shared" si="149"/>
        <v>28537145.510461167</v>
      </c>
      <c r="HL32" s="91">
        <f t="shared" si="149"/>
        <v>29071514.190080002</v>
      </c>
      <c r="HM32" s="91">
        <f t="shared" si="149"/>
        <v>29071514.190080002</v>
      </c>
      <c r="HN32" s="91">
        <f t="shared" si="149"/>
        <v>29071514.190080002</v>
      </c>
      <c r="HO32" s="91">
        <f t="shared" si="149"/>
        <v>29071514.190080002</v>
      </c>
      <c r="HP32" s="91">
        <f t="shared" si="149"/>
        <v>29071514.190080002</v>
      </c>
      <c r="HQ32" s="91">
        <f t="shared" si="149"/>
        <v>29071514.190080002</v>
      </c>
      <c r="HR32" s="91">
        <f t="shared" si="149"/>
        <v>29071514.190080002</v>
      </c>
      <c r="HS32" s="91">
        <f t="shared" si="149"/>
        <v>29071514.190080002</v>
      </c>
      <c r="HT32" s="91">
        <f t="shared" si="149"/>
        <v>29071514.190080002</v>
      </c>
      <c r="HU32" s="91">
        <f t="shared" si="149"/>
        <v>29071514.190080002</v>
      </c>
      <c r="HV32" s="91">
        <f t="shared" si="149"/>
        <v>29071514.190080002</v>
      </c>
      <c r="HW32" s="91">
        <f t="shared" si="149"/>
        <v>29071514.190080002</v>
      </c>
      <c r="HX32" s="91">
        <f t="shared" si="149"/>
        <v>29071514.190080002</v>
      </c>
      <c r="HY32" s="91">
        <f t="shared" si="149"/>
        <v>29071514.190080002</v>
      </c>
      <c r="HZ32" s="91">
        <f t="shared" si="149"/>
        <v>29071514.190080002</v>
      </c>
      <c r="IA32" s="91">
        <f t="shared" si="149"/>
        <v>29071514.190080002</v>
      </c>
      <c r="IB32" s="91">
        <f t="shared" si="149"/>
        <v>29071514.190080002</v>
      </c>
      <c r="IC32" s="91">
        <f t="shared" si="149"/>
        <v>29071514.190080002</v>
      </c>
      <c r="ID32" s="91">
        <f t="shared" si="149"/>
        <v>29071514.190080002</v>
      </c>
      <c r="IE32" s="91">
        <f t="shared" si="149"/>
        <v>29071514.190080002</v>
      </c>
      <c r="IF32" s="91">
        <f t="shared" si="149"/>
        <v>29071514.190080002</v>
      </c>
      <c r="IG32" s="91">
        <f t="shared" si="149"/>
        <v>29071514.190080002</v>
      </c>
      <c r="IH32" s="91">
        <f t="shared" si="149"/>
        <v>29071514.190080002</v>
      </c>
    </row>
    <row r="33" ht="14.65" thickTop="1" x14ac:dyDescent="0.45"/>
  </sheetData>
  <mergeCells count="44">
    <mergeCell ref="GA3:GL3"/>
    <mergeCell ref="GM3:GX3"/>
    <mergeCell ref="GY3:HJ3"/>
    <mergeCell ref="HK3:HV3"/>
    <mergeCell ref="HW3:IH3"/>
    <mergeCell ref="A21:B21"/>
    <mergeCell ref="A22:B22"/>
    <mergeCell ref="A23:B23"/>
    <mergeCell ref="A24:B24"/>
    <mergeCell ref="A20:B20"/>
    <mergeCell ref="A16:B16"/>
    <mergeCell ref="A17:B17"/>
    <mergeCell ref="A18:B18"/>
    <mergeCell ref="A13:B13"/>
    <mergeCell ref="A14:B14"/>
    <mergeCell ref="A15:B15"/>
    <mergeCell ref="A5:B5"/>
    <mergeCell ref="A6:B6"/>
    <mergeCell ref="A7:B7"/>
    <mergeCell ref="A8:B8"/>
    <mergeCell ref="A12:B12"/>
    <mergeCell ref="DS3:ED3"/>
    <mergeCell ref="EE3:EP3"/>
    <mergeCell ref="EQ3:FB3"/>
    <mergeCell ref="FC3:FN3"/>
    <mergeCell ref="FO3:FZ3"/>
    <mergeCell ref="A4:B4"/>
    <mergeCell ref="AY3:BJ3"/>
    <mergeCell ref="BK3:BV3"/>
    <mergeCell ref="BW3:CH3"/>
    <mergeCell ref="CI3:CT3"/>
    <mergeCell ref="CU3:DF3"/>
    <mergeCell ref="DG3:DR3"/>
    <mergeCell ref="A1:B1"/>
    <mergeCell ref="A3:B3"/>
    <mergeCell ref="C3:N3"/>
    <mergeCell ref="O3:Z3"/>
    <mergeCell ref="AA3:AL3"/>
    <mergeCell ref="AM3:AX3"/>
    <mergeCell ref="A26:B26"/>
    <mergeCell ref="A28:B28"/>
    <mergeCell ref="A29:B29"/>
    <mergeCell ref="A27:B27"/>
    <mergeCell ref="A32:B32"/>
  </mergeCells>
  <conditionalFormatting sqref="A1:B1">
    <cfRule type="expression" dxfId="2" priority="10">
      <formula>IF(SUM(#REF!)&lt;&gt;SUM(#REF!),1,0)</formula>
    </cfRule>
  </conditionalFormatting>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7" tint="0.39997558519241921"/>
  </sheetPr>
  <dimension ref="A1:IH18"/>
  <sheetViews>
    <sheetView workbookViewId="0">
      <pane xSplit="2" ySplit="5" topLeftCell="C6" activePane="bottomRight" state="frozen"/>
      <selection activeCell="A7" sqref="A7:B7"/>
      <selection pane="topRight" activeCell="A7" sqref="A7:B7"/>
      <selection pane="bottomLeft" activeCell="A7" sqref="A7:B7"/>
      <selection pane="bottomRight" activeCell="C18" sqref="C18"/>
    </sheetView>
  </sheetViews>
  <sheetFormatPr defaultRowHeight="14.25" x14ac:dyDescent="0.45"/>
  <cols>
    <col min="1" max="1" width="36.265625" customWidth="1"/>
    <col min="2" max="2" width="12.59765625" customWidth="1"/>
    <col min="3" max="242" width="12.86328125" customWidth="1"/>
  </cols>
  <sheetData>
    <row r="1" spans="1:242" ht="23.25" x14ac:dyDescent="0.7">
      <c r="A1" s="899" t="s">
        <v>319</v>
      </c>
      <c r="B1" s="899"/>
    </row>
    <row r="3" spans="1:242" x14ac:dyDescent="0.45">
      <c r="A3" s="888" t="s">
        <v>166</v>
      </c>
      <c r="B3" s="889"/>
      <c r="C3" s="884">
        <v>2015</v>
      </c>
      <c r="D3" s="885"/>
      <c r="E3" s="885"/>
      <c r="F3" s="885"/>
      <c r="G3" s="885"/>
      <c r="H3" s="885"/>
      <c r="I3" s="885"/>
      <c r="J3" s="885"/>
      <c r="K3" s="885"/>
      <c r="L3" s="885"/>
      <c r="M3" s="885"/>
      <c r="N3" s="886"/>
      <c r="O3" s="884">
        <v>2016</v>
      </c>
      <c r="P3" s="885"/>
      <c r="Q3" s="885"/>
      <c r="R3" s="885"/>
      <c r="S3" s="885"/>
      <c r="T3" s="885"/>
      <c r="U3" s="885"/>
      <c r="V3" s="885"/>
      <c r="W3" s="885"/>
      <c r="X3" s="885"/>
      <c r="Y3" s="885"/>
      <c r="Z3" s="886"/>
      <c r="AA3" s="884">
        <v>2017</v>
      </c>
      <c r="AB3" s="885"/>
      <c r="AC3" s="885"/>
      <c r="AD3" s="885"/>
      <c r="AE3" s="885"/>
      <c r="AF3" s="885"/>
      <c r="AG3" s="885"/>
      <c r="AH3" s="885"/>
      <c r="AI3" s="885"/>
      <c r="AJ3" s="885"/>
      <c r="AK3" s="885"/>
      <c r="AL3" s="886"/>
      <c r="AM3" s="884">
        <v>2018</v>
      </c>
      <c r="AN3" s="885"/>
      <c r="AO3" s="885"/>
      <c r="AP3" s="885"/>
      <c r="AQ3" s="885"/>
      <c r="AR3" s="885"/>
      <c r="AS3" s="885"/>
      <c r="AT3" s="885"/>
      <c r="AU3" s="885"/>
      <c r="AV3" s="885"/>
      <c r="AW3" s="885"/>
      <c r="AX3" s="886"/>
      <c r="AY3" s="884">
        <v>2019</v>
      </c>
      <c r="AZ3" s="885"/>
      <c r="BA3" s="885"/>
      <c r="BB3" s="885"/>
      <c r="BC3" s="885"/>
      <c r="BD3" s="885"/>
      <c r="BE3" s="885"/>
      <c r="BF3" s="885"/>
      <c r="BG3" s="885"/>
      <c r="BH3" s="885"/>
      <c r="BI3" s="885"/>
      <c r="BJ3" s="886"/>
      <c r="BK3" s="884">
        <v>2020</v>
      </c>
      <c r="BL3" s="885"/>
      <c r="BM3" s="885"/>
      <c r="BN3" s="885"/>
      <c r="BO3" s="885"/>
      <c r="BP3" s="885"/>
      <c r="BQ3" s="885"/>
      <c r="BR3" s="885"/>
      <c r="BS3" s="885"/>
      <c r="BT3" s="885"/>
      <c r="BU3" s="885"/>
      <c r="BV3" s="886"/>
      <c r="BW3" s="884">
        <v>2021</v>
      </c>
      <c r="BX3" s="885"/>
      <c r="BY3" s="885"/>
      <c r="BZ3" s="885"/>
      <c r="CA3" s="885"/>
      <c r="CB3" s="885"/>
      <c r="CC3" s="885"/>
      <c r="CD3" s="885"/>
      <c r="CE3" s="885"/>
      <c r="CF3" s="885"/>
      <c r="CG3" s="885"/>
      <c r="CH3" s="886"/>
      <c r="CI3" s="884">
        <v>2022</v>
      </c>
      <c r="CJ3" s="885"/>
      <c r="CK3" s="885"/>
      <c r="CL3" s="885"/>
      <c r="CM3" s="885"/>
      <c r="CN3" s="885"/>
      <c r="CO3" s="885"/>
      <c r="CP3" s="885"/>
      <c r="CQ3" s="885"/>
      <c r="CR3" s="885"/>
      <c r="CS3" s="885"/>
      <c r="CT3" s="886"/>
      <c r="CU3" s="884">
        <v>2023</v>
      </c>
      <c r="CV3" s="885"/>
      <c r="CW3" s="885"/>
      <c r="CX3" s="885"/>
      <c r="CY3" s="885"/>
      <c r="CZ3" s="885"/>
      <c r="DA3" s="885"/>
      <c r="DB3" s="885"/>
      <c r="DC3" s="885"/>
      <c r="DD3" s="885"/>
      <c r="DE3" s="885"/>
      <c r="DF3" s="886"/>
      <c r="DG3" s="884">
        <v>2024</v>
      </c>
      <c r="DH3" s="885"/>
      <c r="DI3" s="885"/>
      <c r="DJ3" s="885"/>
      <c r="DK3" s="885"/>
      <c r="DL3" s="885"/>
      <c r="DM3" s="885"/>
      <c r="DN3" s="885"/>
      <c r="DO3" s="885"/>
      <c r="DP3" s="885"/>
      <c r="DQ3" s="885"/>
      <c r="DR3" s="886"/>
      <c r="DS3" s="884">
        <v>2025</v>
      </c>
      <c r="DT3" s="885"/>
      <c r="DU3" s="885"/>
      <c r="DV3" s="885"/>
      <c r="DW3" s="885"/>
      <c r="DX3" s="885"/>
      <c r="DY3" s="885"/>
      <c r="DZ3" s="885"/>
      <c r="EA3" s="885"/>
      <c r="EB3" s="885"/>
      <c r="EC3" s="885"/>
      <c r="ED3" s="886"/>
      <c r="EE3" s="884">
        <v>2026</v>
      </c>
      <c r="EF3" s="885"/>
      <c r="EG3" s="885"/>
      <c r="EH3" s="885"/>
      <c r="EI3" s="885"/>
      <c r="EJ3" s="885"/>
      <c r="EK3" s="885"/>
      <c r="EL3" s="885"/>
      <c r="EM3" s="885"/>
      <c r="EN3" s="885"/>
      <c r="EO3" s="885"/>
      <c r="EP3" s="886"/>
      <c r="EQ3" s="884">
        <v>2027</v>
      </c>
      <c r="ER3" s="885"/>
      <c r="ES3" s="885"/>
      <c r="ET3" s="885"/>
      <c r="EU3" s="885"/>
      <c r="EV3" s="885"/>
      <c r="EW3" s="885"/>
      <c r="EX3" s="885"/>
      <c r="EY3" s="885"/>
      <c r="EZ3" s="885"/>
      <c r="FA3" s="885"/>
      <c r="FB3" s="886"/>
      <c r="FC3" s="884">
        <v>2028</v>
      </c>
      <c r="FD3" s="885"/>
      <c r="FE3" s="885"/>
      <c r="FF3" s="885"/>
      <c r="FG3" s="885"/>
      <c r="FH3" s="885"/>
      <c r="FI3" s="885"/>
      <c r="FJ3" s="885"/>
      <c r="FK3" s="885"/>
      <c r="FL3" s="885"/>
      <c r="FM3" s="885"/>
      <c r="FN3" s="886"/>
      <c r="FO3" s="884">
        <v>2029</v>
      </c>
      <c r="FP3" s="885"/>
      <c r="FQ3" s="885"/>
      <c r="FR3" s="885"/>
      <c r="FS3" s="885"/>
      <c r="FT3" s="885"/>
      <c r="FU3" s="885"/>
      <c r="FV3" s="885"/>
      <c r="FW3" s="885"/>
      <c r="FX3" s="885"/>
      <c r="FY3" s="885"/>
      <c r="FZ3" s="886"/>
      <c r="GA3" s="884">
        <v>2030</v>
      </c>
      <c r="GB3" s="885"/>
      <c r="GC3" s="885"/>
      <c r="GD3" s="885"/>
      <c r="GE3" s="885"/>
      <c r="GF3" s="885"/>
      <c r="GG3" s="885"/>
      <c r="GH3" s="885"/>
      <c r="GI3" s="885"/>
      <c r="GJ3" s="885"/>
      <c r="GK3" s="885"/>
      <c r="GL3" s="886"/>
      <c r="GM3" s="884">
        <v>2031</v>
      </c>
      <c r="GN3" s="885"/>
      <c r="GO3" s="885"/>
      <c r="GP3" s="885"/>
      <c r="GQ3" s="885"/>
      <c r="GR3" s="885"/>
      <c r="GS3" s="885"/>
      <c r="GT3" s="885"/>
      <c r="GU3" s="885"/>
      <c r="GV3" s="885"/>
      <c r="GW3" s="885"/>
      <c r="GX3" s="886"/>
      <c r="GY3" s="884">
        <v>2032</v>
      </c>
      <c r="GZ3" s="885"/>
      <c r="HA3" s="885"/>
      <c r="HB3" s="885"/>
      <c r="HC3" s="885"/>
      <c r="HD3" s="885"/>
      <c r="HE3" s="885"/>
      <c r="HF3" s="885"/>
      <c r="HG3" s="885"/>
      <c r="HH3" s="885"/>
      <c r="HI3" s="885"/>
      <c r="HJ3" s="886"/>
      <c r="HK3" s="884">
        <v>2033</v>
      </c>
      <c r="HL3" s="885"/>
      <c r="HM3" s="885"/>
      <c r="HN3" s="885"/>
      <c r="HO3" s="885"/>
      <c r="HP3" s="885"/>
      <c r="HQ3" s="885"/>
      <c r="HR3" s="885"/>
      <c r="HS3" s="885"/>
      <c r="HT3" s="885"/>
      <c r="HU3" s="885"/>
      <c r="HV3" s="886"/>
      <c r="HW3" s="884">
        <v>2034</v>
      </c>
      <c r="HX3" s="885"/>
      <c r="HY3" s="885"/>
      <c r="HZ3" s="885"/>
      <c r="IA3" s="885"/>
      <c r="IB3" s="885"/>
      <c r="IC3" s="885"/>
      <c r="ID3" s="885"/>
      <c r="IE3" s="885"/>
      <c r="IF3" s="885"/>
      <c r="IG3" s="885"/>
      <c r="IH3" s="886"/>
    </row>
    <row r="4" spans="1:242" x14ac:dyDescent="0.45">
      <c r="A4" s="888" t="s">
        <v>167</v>
      </c>
      <c r="B4" s="889"/>
      <c r="C4" s="47">
        <v>1</v>
      </c>
      <c r="D4" s="47">
        <v>2</v>
      </c>
      <c r="E4" s="47">
        <v>3</v>
      </c>
      <c r="F4" s="47">
        <v>4</v>
      </c>
      <c r="G4" s="47">
        <v>5</v>
      </c>
      <c r="H4" s="47">
        <v>6</v>
      </c>
      <c r="I4" s="47">
        <v>7</v>
      </c>
      <c r="J4" s="47">
        <v>8</v>
      </c>
      <c r="K4" s="47">
        <v>9</v>
      </c>
      <c r="L4" s="47">
        <v>10</v>
      </c>
      <c r="M4" s="47">
        <v>11</v>
      </c>
      <c r="N4" s="47">
        <v>12</v>
      </c>
      <c r="O4" s="21">
        <v>1</v>
      </c>
      <c r="P4" s="21">
        <v>2</v>
      </c>
      <c r="Q4" s="21">
        <v>3</v>
      </c>
      <c r="R4" s="21">
        <v>4</v>
      </c>
      <c r="S4" s="21">
        <v>5</v>
      </c>
      <c r="T4" s="21">
        <v>6</v>
      </c>
      <c r="U4" s="21">
        <v>7</v>
      </c>
      <c r="V4" s="21">
        <v>8</v>
      </c>
      <c r="W4" s="21">
        <v>9</v>
      </c>
      <c r="X4" s="21">
        <v>10</v>
      </c>
      <c r="Y4" s="21">
        <v>11</v>
      </c>
      <c r="Z4" s="21">
        <v>12</v>
      </c>
      <c r="AA4" s="21">
        <v>1</v>
      </c>
      <c r="AB4" s="21">
        <v>2</v>
      </c>
      <c r="AC4" s="21">
        <v>3</v>
      </c>
      <c r="AD4" s="21">
        <v>4</v>
      </c>
      <c r="AE4" s="21">
        <v>5</v>
      </c>
      <c r="AF4" s="21">
        <v>6</v>
      </c>
      <c r="AG4" s="21">
        <v>7</v>
      </c>
      <c r="AH4" s="21">
        <v>8</v>
      </c>
      <c r="AI4" s="21">
        <v>9</v>
      </c>
      <c r="AJ4" s="21">
        <v>10</v>
      </c>
      <c r="AK4" s="21">
        <v>11</v>
      </c>
      <c r="AL4" s="21">
        <v>12</v>
      </c>
      <c r="AM4" s="21">
        <v>1</v>
      </c>
      <c r="AN4" s="21">
        <v>2</v>
      </c>
      <c r="AO4" s="21">
        <v>3</v>
      </c>
      <c r="AP4" s="21">
        <v>4</v>
      </c>
      <c r="AQ4" s="21">
        <v>5</v>
      </c>
      <c r="AR4" s="21">
        <v>6</v>
      </c>
      <c r="AS4" s="21">
        <v>7</v>
      </c>
      <c r="AT4" s="21">
        <v>8</v>
      </c>
      <c r="AU4" s="21">
        <v>9</v>
      </c>
      <c r="AV4" s="21">
        <v>10</v>
      </c>
      <c r="AW4" s="21">
        <v>11</v>
      </c>
      <c r="AX4" s="21">
        <v>12</v>
      </c>
      <c r="AY4" s="21">
        <v>1</v>
      </c>
      <c r="AZ4" s="21">
        <v>2</v>
      </c>
      <c r="BA4" s="21">
        <v>3</v>
      </c>
      <c r="BB4" s="21">
        <v>4</v>
      </c>
      <c r="BC4" s="21">
        <v>5</v>
      </c>
      <c r="BD4" s="21">
        <v>6</v>
      </c>
      <c r="BE4" s="21">
        <v>7</v>
      </c>
      <c r="BF4" s="21">
        <v>8</v>
      </c>
      <c r="BG4" s="21">
        <v>9</v>
      </c>
      <c r="BH4" s="21">
        <v>10</v>
      </c>
      <c r="BI4" s="21">
        <v>11</v>
      </c>
      <c r="BJ4" s="21">
        <v>12</v>
      </c>
      <c r="BK4" s="21">
        <v>1</v>
      </c>
      <c r="BL4" s="21">
        <v>2</v>
      </c>
      <c r="BM4" s="21">
        <v>3</v>
      </c>
      <c r="BN4" s="21">
        <v>4</v>
      </c>
      <c r="BO4" s="21">
        <v>5</v>
      </c>
      <c r="BP4" s="21">
        <v>6</v>
      </c>
      <c r="BQ4" s="21">
        <v>7</v>
      </c>
      <c r="BR4" s="21">
        <v>8</v>
      </c>
      <c r="BS4" s="21">
        <v>9</v>
      </c>
      <c r="BT4" s="21">
        <v>10</v>
      </c>
      <c r="BU4" s="21">
        <v>11</v>
      </c>
      <c r="BV4" s="21">
        <v>12</v>
      </c>
      <c r="BW4" s="21">
        <v>1</v>
      </c>
      <c r="BX4" s="21">
        <v>2</v>
      </c>
      <c r="BY4" s="21">
        <v>3</v>
      </c>
      <c r="BZ4" s="21">
        <v>4</v>
      </c>
      <c r="CA4" s="21">
        <v>5</v>
      </c>
      <c r="CB4" s="21">
        <v>6</v>
      </c>
      <c r="CC4" s="21">
        <v>7</v>
      </c>
      <c r="CD4" s="21">
        <v>8</v>
      </c>
      <c r="CE4" s="21">
        <v>9</v>
      </c>
      <c r="CF4" s="21">
        <v>10</v>
      </c>
      <c r="CG4" s="21">
        <v>11</v>
      </c>
      <c r="CH4" s="21">
        <v>12</v>
      </c>
      <c r="CI4" s="21">
        <v>1</v>
      </c>
      <c r="CJ4" s="21">
        <v>2</v>
      </c>
      <c r="CK4" s="21">
        <v>3</v>
      </c>
      <c r="CL4" s="21">
        <v>4</v>
      </c>
      <c r="CM4" s="21">
        <v>5</v>
      </c>
      <c r="CN4" s="21">
        <v>6</v>
      </c>
      <c r="CO4" s="21">
        <v>7</v>
      </c>
      <c r="CP4" s="21">
        <v>8</v>
      </c>
      <c r="CQ4" s="21">
        <v>9</v>
      </c>
      <c r="CR4" s="21">
        <v>10</v>
      </c>
      <c r="CS4" s="21">
        <v>11</v>
      </c>
      <c r="CT4" s="21">
        <v>12</v>
      </c>
      <c r="CU4" s="21">
        <v>1</v>
      </c>
      <c r="CV4" s="21">
        <v>2</v>
      </c>
      <c r="CW4" s="21">
        <v>3</v>
      </c>
      <c r="CX4" s="21">
        <v>4</v>
      </c>
      <c r="CY4" s="21">
        <v>5</v>
      </c>
      <c r="CZ4" s="21">
        <v>6</v>
      </c>
      <c r="DA4" s="21">
        <v>7</v>
      </c>
      <c r="DB4" s="21">
        <v>8</v>
      </c>
      <c r="DC4" s="21">
        <v>9</v>
      </c>
      <c r="DD4" s="21">
        <v>10</v>
      </c>
      <c r="DE4" s="21">
        <v>11</v>
      </c>
      <c r="DF4" s="21">
        <v>12</v>
      </c>
      <c r="DG4" s="21">
        <v>1</v>
      </c>
      <c r="DH4" s="21">
        <v>2</v>
      </c>
      <c r="DI4" s="21">
        <v>3</v>
      </c>
      <c r="DJ4" s="21">
        <v>4</v>
      </c>
      <c r="DK4" s="21">
        <v>5</v>
      </c>
      <c r="DL4" s="21">
        <v>6</v>
      </c>
      <c r="DM4" s="21">
        <v>7</v>
      </c>
      <c r="DN4" s="21">
        <v>8</v>
      </c>
      <c r="DO4" s="21">
        <v>9</v>
      </c>
      <c r="DP4" s="21">
        <v>10</v>
      </c>
      <c r="DQ4" s="21">
        <v>11</v>
      </c>
      <c r="DR4" s="21">
        <v>12</v>
      </c>
      <c r="DS4" s="21">
        <v>1</v>
      </c>
      <c r="DT4" s="21">
        <v>2</v>
      </c>
      <c r="DU4" s="21">
        <v>3</v>
      </c>
      <c r="DV4" s="21">
        <v>4</v>
      </c>
      <c r="DW4" s="21">
        <v>5</v>
      </c>
      <c r="DX4" s="21">
        <v>6</v>
      </c>
      <c r="DY4" s="21">
        <v>7</v>
      </c>
      <c r="DZ4" s="21">
        <v>8</v>
      </c>
      <c r="EA4" s="21">
        <v>9</v>
      </c>
      <c r="EB4" s="21">
        <v>10</v>
      </c>
      <c r="EC4" s="21">
        <v>11</v>
      </c>
      <c r="ED4" s="21">
        <v>12</v>
      </c>
      <c r="EE4" s="21">
        <v>1</v>
      </c>
      <c r="EF4" s="21">
        <v>2</v>
      </c>
      <c r="EG4" s="21">
        <v>3</v>
      </c>
      <c r="EH4" s="21">
        <v>4</v>
      </c>
      <c r="EI4" s="21">
        <v>5</v>
      </c>
      <c r="EJ4" s="21">
        <v>6</v>
      </c>
      <c r="EK4" s="21">
        <v>7</v>
      </c>
      <c r="EL4" s="21">
        <v>8</v>
      </c>
      <c r="EM4" s="21">
        <v>9</v>
      </c>
      <c r="EN4" s="21">
        <v>10</v>
      </c>
      <c r="EO4" s="21">
        <v>11</v>
      </c>
      <c r="EP4" s="21">
        <v>12</v>
      </c>
      <c r="EQ4" s="21">
        <v>1</v>
      </c>
      <c r="ER4" s="21">
        <v>2</v>
      </c>
      <c r="ES4" s="21">
        <v>3</v>
      </c>
      <c r="ET4" s="21">
        <v>4</v>
      </c>
      <c r="EU4" s="21">
        <v>5</v>
      </c>
      <c r="EV4" s="21">
        <v>6</v>
      </c>
      <c r="EW4" s="21">
        <v>7</v>
      </c>
      <c r="EX4" s="21">
        <v>8</v>
      </c>
      <c r="EY4" s="21">
        <v>9</v>
      </c>
      <c r="EZ4" s="21">
        <v>10</v>
      </c>
      <c r="FA4" s="21">
        <v>11</v>
      </c>
      <c r="FB4" s="21">
        <v>12</v>
      </c>
      <c r="FC4" s="21">
        <v>1</v>
      </c>
      <c r="FD4" s="21">
        <v>2</v>
      </c>
      <c r="FE4" s="21">
        <v>3</v>
      </c>
      <c r="FF4" s="21">
        <v>4</v>
      </c>
      <c r="FG4" s="21">
        <v>5</v>
      </c>
      <c r="FH4" s="21">
        <v>6</v>
      </c>
      <c r="FI4" s="21">
        <v>7</v>
      </c>
      <c r="FJ4" s="21">
        <v>8</v>
      </c>
      <c r="FK4" s="21">
        <v>9</v>
      </c>
      <c r="FL4" s="21">
        <v>10</v>
      </c>
      <c r="FM4" s="21">
        <v>11</v>
      </c>
      <c r="FN4" s="21">
        <v>12</v>
      </c>
      <c r="FO4" s="21">
        <v>1</v>
      </c>
      <c r="FP4" s="21">
        <v>2</v>
      </c>
      <c r="FQ4" s="21">
        <v>3</v>
      </c>
      <c r="FR4" s="21">
        <v>4</v>
      </c>
      <c r="FS4" s="21">
        <v>5</v>
      </c>
      <c r="FT4" s="21">
        <v>6</v>
      </c>
      <c r="FU4" s="21">
        <v>7</v>
      </c>
      <c r="FV4" s="21">
        <v>8</v>
      </c>
      <c r="FW4" s="21">
        <v>9</v>
      </c>
      <c r="FX4" s="21">
        <v>10</v>
      </c>
      <c r="FY4" s="21">
        <v>11</v>
      </c>
      <c r="FZ4" s="21">
        <v>12</v>
      </c>
      <c r="GA4" s="21">
        <v>1</v>
      </c>
      <c r="GB4" s="21">
        <v>2</v>
      </c>
      <c r="GC4" s="21">
        <v>3</v>
      </c>
      <c r="GD4" s="21">
        <v>4</v>
      </c>
      <c r="GE4" s="21">
        <v>5</v>
      </c>
      <c r="GF4" s="21">
        <v>6</v>
      </c>
      <c r="GG4" s="21">
        <v>7</v>
      </c>
      <c r="GH4" s="21">
        <v>8</v>
      </c>
      <c r="GI4" s="21">
        <v>9</v>
      </c>
      <c r="GJ4" s="21">
        <v>10</v>
      </c>
      <c r="GK4" s="21">
        <v>11</v>
      </c>
      <c r="GL4" s="21">
        <v>12</v>
      </c>
      <c r="GM4" s="21">
        <v>1</v>
      </c>
      <c r="GN4" s="21">
        <v>2</v>
      </c>
      <c r="GO4" s="21">
        <v>3</v>
      </c>
      <c r="GP4" s="21">
        <v>4</v>
      </c>
      <c r="GQ4" s="21">
        <v>5</v>
      </c>
      <c r="GR4" s="21">
        <v>6</v>
      </c>
      <c r="GS4" s="21">
        <v>7</v>
      </c>
      <c r="GT4" s="21">
        <v>8</v>
      </c>
      <c r="GU4" s="21">
        <v>9</v>
      </c>
      <c r="GV4" s="21">
        <v>10</v>
      </c>
      <c r="GW4" s="21">
        <v>11</v>
      </c>
      <c r="GX4" s="21">
        <v>12</v>
      </c>
      <c r="GY4" s="21">
        <v>1</v>
      </c>
      <c r="GZ4" s="21">
        <v>2</v>
      </c>
      <c r="HA4" s="21">
        <v>3</v>
      </c>
      <c r="HB4" s="21">
        <v>4</v>
      </c>
      <c r="HC4" s="21">
        <v>5</v>
      </c>
      <c r="HD4" s="21">
        <v>6</v>
      </c>
      <c r="HE4" s="21">
        <v>7</v>
      </c>
      <c r="HF4" s="21">
        <v>8</v>
      </c>
      <c r="HG4" s="21">
        <v>9</v>
      </c>
      <c r="HH4" s="21">
        <v>10</v>
      </c>
      <c r="HI4" s="21">
        <v>11</v>
      </c>
      <c r="HJ4" s="21">
        <v>12</v>
      </c>
      <c r="HK4" s="21">
        <v>1</v>
      </c>
      <c r="HL4" s="21">
        <v>2</v>
      </c>
      <c r="HM4" s="21">
        <v>3</v>
      </c>
      <c r="HN4" s="21">
        <v>4</v>
      </c>
      <c r="HO4" s="21">
        <v>5</v>
      </c>
      <c r="HP4" s="21">
        <v>6</v>
      </c>
      <c r="HQ4" s="21">
        <v>7</v>
      </c>
      <c r="HR4" s="21">
        <v>8</v>
      </c>
      <c r="HS4" s="21">
        <v>9</v>
      </c>
      <c r="HT4" s="21">
        <v>10</v>
      </c>
      <c r="HU4" s="21">
        <v>11</v>
      </c>
      <c r="HV4" s="21">
        <v>12</v>
      </c>
      <c r="HW4" s="21">
        <v>1</v>
      </c>
      <c r="HX4" s="21">
        <v>2</v>
      </c>
      <c r="HY4" s="21">
        <v>3</v>
      </c>
      <c r="HZ4" s="21">
        <v>4</v>
      </c>
      <c r="IA4" s="21">
        <v>5</v>
      </c>
      <c r="IB4" s="21">
        <v>6</v>
      </c>
      <c r="IC4" s="21">
        <v>7</v>
      </c>
      <c r="ID4" s="21">
        <v>8</v>
      </c>
      <c r="IE4" s="21">
        <v>9</v>
      </c>
      <c r="IF4" s="21">
        <v>10</v>
      </c>
      <c r="IG4" s="21">
        <v>11</v>
      </c>
      <c r="IH4" s="21">
        <v>12</v>
      </c>
    </row>
    <row r="5" spans="1:242" x14ac:dyDescent="0.45">
      <c r="A5" s="888" t="s">
        <v>253</v>
      </c>
      <c r="B5" s="889"/>
      <c r="C5" s="70">
        <v>1</v>
      </c>
      <c r="D5" s="71">
        <v>2</v>
      </c>
      <c r="E5" s="71">
        <v>3</v>
      </c>
      <c r="F5" s="70">
        <v>4</v>
      </c>
      <c r="G5" s="71">
        <v>5</v>
      </c>
      <c r="H5" s="71">
        <v>6</v>
      </c>
      <c r="I5" s="70">
        <v>7</v>
      </c>
      <c r="J5" s="71">
        <v>8</v>
      </c>
      <c r="K5" s="71">
        <v>9</v>
      </c>
      <c r="L5" s="70">
        <v>10</v>
      </c>
      <c r="M5" s="71">
        <v>11</v>
      </c>
      <c r="N5" s="71">
        <v>12</v>
      </c>
      <c r="O5" s="70">
        <v>13</v>
      </c>
      <c r="P5" s="71">
        <v>14</v>
      </c>
      <c r="Q5" s="71">
        <v>15</v>
      </c>
      <c r="R5" s="70">
        <v>16</v>
      </c>
      <c r="S5" s="71">
        <v>17</v>
      </c>
      <c r="T5" s="71">
        <v>18</v>
      </c>
      <c r="U5" s="70">
        <v>19</v>
      </c>
      <c r="V5" s="71">
        <v>20</v>
      </c>
      <c r="W5" s="71">
        <v>21</v>
      </c>
      <c r="X5" s="70">
        <v>22</v>
      </c>
      <c r="Y5" s="71">
        <v>23</v>
      </c>
      <c r="Z5" s="71">
        <v>24</v>
      </c>
      <c r="AA5" s="70">
        <v>25</v>
      </c>
      <c r="AB5" s="71">
        <v>26</v>
      </c>
      <c r="AC5" s="71">
        <v>27</v>
      </c>
      <c r="AD5" s="70">
        <v>28</v>
      </c>
      <c r="AE5" s="71">
        <v>29</v>
      </c>
      <c r="AF5" s="71">
        <v>30</v>
      </c>
      <c r="AG5" s="70">
        <v>31</v>
      </c>
      <c r="AH5" s="71">
        <v>32</v>
      </c>
      <c r="AI5" s="71">
        <v>33</v>
      </c>
      <c r="AJ5" s="70">
        <v>34</v>
      </c>
      <c r="AK5" s="71">
        <v>35</v>
      </c>
      <c r="AL5" s="71">
        <v>36</v>
      </c>
      <c r="AM5" s="70">
        <v>37</v>
      </c>
      <c r="AN5" s="71">
        <v>38</v>
      </c>
      <c r="AO5" s="71">
        <v>39</v>
      </c>
      <c r="AP5" s="70">
        <v>40</v>
      </c>
      <c r="AQ5" s="71">
        <v>41</v>
      </c>
      <c r="AR5" s="71">
        <v>42</v>
      </c>
      <c r="AS5" s="70">
        <v>43</v>
      </c>
      <c r="AT5" s="71">
        <v>44</v>
      </c>
      <c r="AU5" s="71">
        <v>45</v>
      </c>
      <c r="AV5" s="70">
        <v>46</v>
      </c>
      <c r="AW5" s="71">
        <v>47</v>
      </c>
      <c r="AX5" s="71">
        <v>48</v>
      </c>
      <c r="AY5" s="70">
        <v>49</v>
      </c>
      <c r="AZ5" s="71">
        <v>50</v>
      </c>
      <c r="BA5" s="71">
        <v>51</v>
      </c>
      <c r="BB5" s="70">
        <v>52</v>
      </c>
      <c r="BC5" s="71">
        <v>53</v>
      </c>
      <c r="BD5" s="71">
        <v>54</v>
      </c>
      <c r="BE5" s="70">
        <v>55</v>
      </c>
      <c r="BF5" s="71">
        <v>56</v>
      </c>
      <c r="BG5" s="71">
        <v>57</v>
      </c>
      <c r="BH5" s="70">
        <v>58</v>
      </c>
      <c r="BI5" s="71">
        <v>59</v>
      </c>
      <c r="BJ5" s="71">
        <v>60</v>
      </c>
      <c r="BK5" s="70">
        <v>61</v>
      </c>
      <c r="BL5" s="71">
        <v>62</v>
      </c>
      <c r="BM5" s="71">
        <v>63</v>
      </c>
      <c r="BN5" s="70">
        <v>64</v>
      </c>
      <c r="BO5" s="71">
        <v>65</v>
      </c>
      <c r="BP5" s="71">
        <v>66</v>
      </c>
      <c r="BQ5" s="70">
        <v>67</v>
      </c>
      <c r="BR5" s="71">
        <v>68</v>
      </c>
      <c r="BS5" s="71">
        <v>69</v>
      </c>
      <c r="BT5" s="70">
        <v>70</v>
      </c>
      <c r="BU5" s="71">
        <v>71</v>
      </c>
      <c r="BV5" s="71">
        <v>72</v>
      </c>
      <c r="BW5" s="70">
        <v>73</v>
      </c>
      <c r="BX5" s="71">
        <v>74</v>
      </c>
      <c r="BY5" s="71">
        <v>75</v>
      </c>
      <c r="BZ5" s="70">
        <v>76</v>
      </c>
      <c r="CA5" s="71">
        <v>77</v>
      </c>
      <c r="CB5" s="71">
        <v>78</v>
      </c>
      <c r="CC5" s="70">
        <v>79</v>
      </c>
      <c r="CD5" s="71">
        <v>80</v>
      </c>
      <c r="CE5" s="71">
        <v>81</v>
      </c>
      <c r="CF5" s="70">
        <v>82</v>
      </c>
      <c r="CG5" s="71">
        <v>83</v>
      </c>
      <c r="CH5" s="71">
        <v>84</v>
      </c>
      <c r="CI5" s="70">
        <v>85</v>
      </c>
      <c r="CJ5" s="71">
        <v>86</v>
      </c>
      <c r="CK5" s="71">
        <v>87</v>
      </c>
      <c r="CL5" s="70">
        <v>88</v>
      </c>
      <c r="CM5" s="71">
        <v>89</v>
      </c>
      <c r="CN5" s="71">
        <v>90</v>
      </c>
      <c r="CO5" s="70">
        <v>91</v>
      </c>
      <c r="CP5" s="71">
        <v>92</v>
      </c>
      <c r="CQ5" s="71">
        <v>93</v>
      </c>
      <c r="CR5" s="70">
        <v>94</v>
      </c>
      <c r="CS5" s="71">
        <v>95</v>
      </c>
      <c r="CT5" s="71">
        <v>96</v>
      </c>
      <c r="CU5" s="70">
        <v>97</v>
      </c>
      <c r="CV5" s="71">
        <v>98</v>
      </c>
      <c r="CW5" s="71">
        <v>99</v>
      </c>
      <c r="CX5" s="70">
        <v>100</v>
      </c>
      <c r="CY5" s="71">
        <v>101</v>
      </c>
      <c r="CZ5" s="71">
        <v>102</v>
      </c>
      <c r="DA5" s="70">
        <v>103</v>
      </c>
      <c r="DB5" s="71">
        <v>104</v>
      </c>
      <c r="DC5" s="71">
        <v>105</v>
      </c>
      <c r="DD5" s="70">
        <v>106</v>
      </c>
      <c r="DE5" s="71">
        <v>107</v>
      </c>
      <c r="DF5" s="71">
        <v>108</v>
      </c>
      <c r="DG5" s="70">
        <v>109</v>
      </c>
      <c r="DH5" s="71">
        <v>110</v>
      </c>
      <c r="DI5" s="71">
        <v>111</v>
      </c>
      <c r="DJ5" s="70">
        <v>112</v>
      </c>
      <c r="DK5" s="71">
        <v>113</v>
      </c>
      <c r="DL5" s="71">
        <v>114</v>
      </c>
      <c r="DM5" s="70">
        <v>115</v>
      </c>
      <c r="DN5" s="71">
        <v>116</v>
      </c>
      <c r="DO5" s="71">
        <v>117</v>
      </c>
      <c r="DP5" s="70">
        <v>118</v>
      </c>
      <c r="DQ5" s="71">
        <v>119</v>
      </c>
      <c r="DR5" s="71">
        <v>120</v>
      </c>
      <c r="DS5" s="70">
        <v>121</v>
      </c>
      <c r="DT5" s="71">
        <v>122</v>
      </c>
      <c r="DU5" s="71">
        <v>123</v>
      </c>
      <c r="DV5" s="70">
        <v>124</v>
      </c>
      <c r="DW5" s="71">
        <v>125</v>
      </c>
      <c r="DX5" s="71">
        <v>126</v>
      </c>
      <c r="DY5" s="70">
        <v>127</v>
      </c>
      <c r="DZ5" s="71">
        <v>128</v>
      </c>
      <c r="EA5" s="71">
        <v>129</v>
      </c>
      <c r="EB5" s="70">
        <v>130</v>
      </c>
      <c r="EC5" s="71">
        <v>131</v>
      </c>
      <c r="ED5" s="71">
        <v>132</v>
      </c>
      <c r="EE5" s="70">
        <v>133</v>
      </c>
      <c r="EF5" s="71">
        <v>134</v>
      </c>
      <c r="EG5" s="71">
        <v>135</v>
      </c>
      <c r="EH5" s="70">
        <v>136</v>
      </c>
      <c r="EI5" s="71">
        <v>137</v>
      </c>
      <c r="EJ5" s="71">
        <v>138</v>
      </c>
      <c r="EK5" s="70">
        <v>139</v>
      </c>
      <c r="EL5" s="71">
        <v>140</v>
      </c>
      <c r="EM5" s="71">
        <v>141</v>
      </c>
      <c r="EN5" s="70">
        <v>142</v>
      </c>
      <c r="EO5" s="71">
        <v>143</v>
      </c>
      <c r="EP5" s="71">
        <v>144</v>
      </c>
      <c r="EQ5" s="70">
        <v>145</v>
      </c>
      <c r="ER5" s="71">
        <v>146</v>
      </c>
      <c r="ES5" s="71">
        <v>147</v>
      </c>
      <c r="ET5" s="70">
        <v>148</v>
      </c>
      <c r="EU5" s="71">
        <v>149</v>
      </c>
      <c r="EV5" s="71">
        <v>150</v>
      </c>
      <c r="EW5" s="70">
        <v>151</v>
      </c>
      <c r="EX5" s="71">
        <v>152</v>
      </c>
      <c r="EY5" s="71">
        <v>153</v>
      </c>
      <c r="EZ5" s="70">
        <v>154</v>
      </c>
      <c r="FA5" s="71">
        <v>155</v>
      </c>
      <c r="FB5" s="71">
        <v>156</v>
      </c>
      <c r="FC5" s="70">
        <v>157</v>
      </c>
      <c r="FD5" s="71">
        <v>158</v>
      </c>
      <c r="FE5" s="71">
        <v>159</v>
      </c>
      <c r="FF5" s="70">
        <v>160</v>
      </c>
      <c r="FG5" s="71">
        <v>161</v>
      </c>
      <c r="FH5" s="71">
        <v>162</v>
      </c>
      <c r="FI5" s="70">
        <v>163</v>
      </c>
      <c r="FJ5" s="71">
        <v>164</v>
      </c>
      <c r="FK5" s="71">
        <v>165</v>
      </c>
      <c r="FL5" s="70">
        <v>166</v>
      </c>
      <c r="FM5" s="71">
        <v>167</v>
      </c>
      <c r="FN5" s="71">
        <v>168</v>
      </c>
      <c r="FO5" s="70">
        <v>169</v>
      </c>
      <c r="FP5" s="71">
        <v>170</v>
      </c>
      <c r="FQ5" s="71">
        <v>171</v>
      </c>
      <c r="FR5" s="70">
        <v>172</v>
      </c>
      <c r="FS5" s="71">
        <v>173</v>
      </c>
      <c r="FT5" s="71">
        <v>174</v>
      </c>
      <c r="FU5" s="70">
        <v>175</v>
      </c>
      <c r="FV5" s="71">
        <v>176</v>
      </c>
      <c r="FW5" s="71">
        <v>177</v>
      </c>
      <c r="FX5" s="70">
        <v>178</v>
      </c>
      <c r="FY5" s="71">
        <v>179</v>
      </c>
      <c r="FZ5" s="71">
        <v>180</v>
      </c>
      <c r="GA5" s="71">
        <v>181</v>
      </c>
      <c r="GB5" s="71">
        <v>182</v>
      </c>
      <c r="GC5" s="71">
        <v>183</v>
      </c>
      <c r="GD5" s="71">
        <v>184</v>
      </c>
      <c r="GE5" s="71">
        <v>185</v>
      </c>
      <c r="GF5" s="71">
        <v>186</v>
      </c>
      <c r="GG5" s="71">
        <v>187</v>
      </c>
      <c r="GH5" s="71">
        <v>188</v>
      </c>
      <c r="GI5" s="71">
        <v>189</v>
      </c>
      <c r="GJ5" s="71">
        <v>190</v>
      </c>
      <c r="GK5" s="71">
        <v>191</v>
      </c>
      <c r="GL5" s="71">
        <v>192</v>
      </c>
      <c r="GM5" s="71">
        <v>193</v>
      </c>
      <c r="GN5" s="71">
        <v>194</v>
      </c>
      <c r="GO5" s="71">
        <v>195</v>
      </c>
      <c r="GP5" s="71">
        <v>196</v>
      </c>
      <c r="GQ5" s="71">
        <v>197</v>
      </c>
      <c r="GR5" s="71">
        <v>198</v>
      </c>
      <c r="GS5" s="71">
        <v>199</v>
      </c>
      <c r="GT5" s="71">
        <v>200</v>
      </c>
      <c r="GU5" s="71">
        <v>201</v>
      </c>
      <c r="GV5" s="71">
        <v>202</v>
      </c>
      <c r="GW5" s="71">
        <v>203</v>
      </c>
      <c r="GX5" s="71">
        <v>204</v>
      </c>
      <c r="GY5" s="71">
        <v>205</v>
      </c>
      <c r="GZ5" s="71">
        <v>206</v>
      </c>
      <c r="HA5" s="71">
        <v>207</v>
      </c>
      <c r="HB5" s="71">
        <v>208</v>
      </c>
      <c r="HC5" s="71">
        <v>209</v>
      </c>
      <c r="HD5" s="71">
        <v>210</v>
      </c>
      <c r="HE5" s="71">
        <v>211</v>
      </c>
      <c r="HF5" s="71">
        <v>212</v>
      </c>
      <c r="HG5" s="71">
        <v>213</v>
      </c>
      <c r="HH5" s="71">
        <v>214</v>
      </c>
      <c r="HI5" s="71">
        <v>215</v>
      </c>
      <c r="HJ5" s="71">
        <v>216</v>
      </c>
      <c r="HK5" s="71">
        <v>217</v>
      </c>
      <c r="HL5" s="71">
        <v>218</v>
      </c>
      <c r="HM5" s="71">
        <v>219</v>
      </c>
      <c r="HN5" s="71">
        <v>220</v>
      </c>
      <c r="HO5" s="71">
        <v>221</v>
      </c>
      <c r="HP5" s="71">
        <v>222</v>
      </c>
      <c r="HQ5" s="71">
        <v>223</v>
      </c>
      <c r="HR5" s="71">
        <v>224</v>
      </c>
      <c r="HS5" s="71">
        <v>225</v>
      </c>
      <c r="HT5" s="71">
        <v>226</v>
      </c>
      <c r="HU5" s="71">
        <v>227</v>
      </c>
      <c r="HV5" s="71">
        <v>228</v>
      </c>
      <c r="HW5" s="71">
        <v>229</v>
      </c>
      <c r="HX5" s="71">
        <v>230</v>
      </c>
      <c r="HY5" s="71">
        <v>231</v>
      </c>
      <c r="HZ5" s="71">
        <v>232</v>
      </c>
      <c r="IA5" s="71">
        <v>233</v>
      </c>
      <c r="IB5" s="71">
        <v>234</v>
      </c>
      <c r="IC5" s="71">
        <v>235</v>
      </c>
      <c r="ID5" s="71">
        <v>236</v>
      </c>
      <c r="IE5" s="71">
        <v>237</v>
      </c>
      <c r="IF5" s="71">
        <v>238</v>
      </c>
      <c r="IG5" s="71">
        <v>239</v>
      </c>
      <c r="IH5" s="71">
        <v>240</v>
      </c>
    </row>
    <row r="6" spans="1:242" x14ac:dyDescent="0.45">
      <c r="A6" s="65" t="s">
        <v>313</v>
      </c>
      <c r="B6" s="66"/>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c r="GC6" s="76"/>
      <c r="GD6" s="76"/>
      <c r="GE6" s="76"/>
      <c r="GF6" s="76"/>
      <c r="GG6" s="76"/>
      <c r="GH6" s="76"/>
      <c r="GI6" s="76"/>
      <c r="GJ6" s="76"/>
      <c r="GK6" s="76"/>
      <c r="GL6" s="76"/>
      <c r="GM6" s="76"/>
      <c r="GN6" s="76"/>
      <c r="GO6" s="76"/>
      <c r="GP6" s="76"/>
      <c r="GQ6" s="76"/>
      <c r="GR6" s="76"/>
      <c r="GS6" s="76"/>
      <c r="GT6" s="76"/>
      <c r="GU6" s="76"/>
      <c r="GV6" s="76"/>
      <c r="GW6" s="76"/>
      <c r="GX6" s="76"/>
      <c r="GY6" s="76"/>
      <c r="GZ6" s="76"/>
      <c r="HA6" s="76"/>
      <c r="HB6" s="76"/>
      <c r="HC6" s="76"/>
      <c r="HD6" s="76"/>
      <c r="HE6" s="76"/>
      <c r="HF6" s="76"/>
      <c r="HG6" s="76"/>
      <c r="HH6" s="76"/>
      <c r="HI6" s="76"/>
      <c r="HJ6" s="76"/>
      <c r="HK6" s="76"/>
      <c r="HL6" s="76"/>
      <c r="HM6" s="76"/>
      <c r="HN6" s="76"/>
      <c r="HO6" s="76"/>
      <c r="HP6" s="76"/>
      <c r="HQ6" s="76"/>
      <c r="HR6" s="76"/>
      <c r="HS6" s="76"/>
      <c r="HT6" s="76"/>
      <c r="HU6" s="76"/>
      <c r="HV6" s="76"/>
      <c r="HW6" s="76"/>
      <c r="HX6" s="76"/>
      <c r="HY6" s="76"/>
      <c r="HZ6" s="76"/>
      <c r="IA6" s="76"/>
      <c r="IB6" s="76"/>
      <c r="IC6" s="76"/>
      <c r="ID6" s="76"/>
      <c r="IE6" s="76"/>
      <c r="IF6" s="76"/>
      <c r="IG6" s="76"/>
      <c r="IH6" s="76"/>
    </row>
    <row r="7" spans="1:242" x14ac:dyDescent="0.45">
      <c r="A7" s="77" t="s">
        <v>314</v>
      </c>
      <c r="B7" s="78"/>
      <c r="C7" s="24">
        <f>'Balance Sheet'!C20+'Balance Sheet'!C26</f>
        <v>823597542.94556284</v>
      </c>
      <c r="D7" s="24">
        <f>'Balance Sheet'!D20+'Balance Sheet'!D26</f>
        <v>818651048.95582843</v>
      </c>
      <c r="E7" s="24">
        <f>'Balance Sheet'!E20+'Balance Sheet'!E26</f>
        <v>813677761.45698297</v>
      </c>
      <c r="F7" s="24">
        <f>'Balance Sheet'!F20+'Balance Sheet'!F26</f>
        <v>808677535.31751871</v>
      </c>
      <c r="G7" s="24">
        <f>'Balance Sheet'!G20+'Balance Sheet'!G26</f>
        <v>803650224.61979902</v>
      </c>
      <c r="H7" s="24">
        <f>'Balance Sheet'!H20+'Balance Sheet'!H26</f>
        <v>798595682.6558001</v>
      </c>
      <c r="I7" s="24">
        <f>'Balance Sheet'!I20+'Balance Sheet'!I26</f>
        <v>793513761.92282951</v>
      </c>
      <c r="J7" s="24">
        <f>'Balance Sheet'!J20+'Balance Sheet'!J26</f>
        <v>788404314.11922193</v>
      </c>
      <c r="K7" s="24">
        <f>'Balance Sheet'!K20+'Balance Sheet'!K26</f>
        <v>783267190.14001155</v>
      </c>
      <c r="L7" s="24">
        <f>'Balance Sheet'!L20+'Balance Sheet'!L26</f>
        <v>778102240.07258046</v>
      </c>
      <c r="M7" s="24">
        <f>'Balance Sheet'!M20+'Balance Sheet'!M26</f>
        <v>772909313.19228411</v>
      </c>
      <c r="N7" s="24">
        <f>'Balance Sheet'!N20+'Balance Sheet'!N26</f>
        <v>767688257.95805275</v>
      </c>
      <c r="O7" s="24">
        <f>'Balance Sheet'!O20+'Balance Sheet'!O26</f>
        <v>762438922.00796938</v>
      </c>
      <c r="P7" s="24">
        <f>'Balance Sheet'!P20+'Balance Sheet'!P26</f>
        <v>757161152.15482306</v>
      </c>
      <c r="Q7" s="24">
        <f>'Balance Sheet'!Q20+'Balance Sheet'!Q26</f>
        <v>751854794.38163877</v>
      </c>
      <c r="R7" s="24">
        <f>'Balance Sheet'!R20+'Balance Sheet'!R26</f>
        <v>746519693.83718312</v>
      </c>
      <c r="S7" s="24">
        <f>'Balance Sheet'!S20+'Balance Sheet'!S26</f>
        <v>741155694.83144498</v>
      </c>
      <c r="T7" s="24">
        <f>'Balance Sheet'!T20+'Balance Sheet'!T26</f>
        <v>735762640.83109248</v>
      </c>
      <c r="U7" s="24">
        <f>'Balance Sheet'!U20+'Balance Sheet'!U26</f>
        <v>730340374.45490468</v>
      </c>
      <c r="V7" s="24">
        <f>'Balance Sheet'!V20+'Balance Sheet'!V26</f>
        <v>724888737.46917915</v>
      </c>
      <c r="W7" s="24">
        <f>'Balance Sheet'!W20+'Balance Sheet'!W26</f>
        <v>719407570.78311431</v>
      </c>
      <c r="X7" s="24">
        <f>'Balance Sheet'!X20+'Balance Sheet'!X26</f>
        <v>713896714.44416666</v>
      </c>
      <c r="Y7" s="24">
        <f>'Balance Sheet'!Y20+'Balance Sheet'!Y26</f>
        <v>708356007.63338304</v>
      </c>
      <c r="Z7" s="24">
        <f>'Balance Sheet'!Z20+'Balance Sheet'!Z26</f>
        <v>702785288.66070771</v>
      </c>
      <c r="AA7" s="24">
        <f>'Balance Sheet'!AA20+'Balance Sheet'!AA26</f>
        <v>697184394.96026373</v>
      </c>
      <c r="AB7" s="24">
        <f>'Balance Sheet'!AB20+'Balance Sheet'!AB26</f>
        <v>691553163.08560896</v>
      </c>
      <c r="AC7" s="24">
        <f>'Balance Sheet'!AC20+'Balance Sheet'!AC26</f>
        <v>685891428.70496643</v>
      </c>
      <c r="AD7" s="24">
        <f>'Balance Sheet'!AD20+'Balance Sheet'!AD26</f>
        <v>680199026.59642875</v>
      </c>
      <c r="AE7" s="24">
        <f>'Balance Sheet'!AE20+'Balance Sheet'!AE26</f>
        <v>674475790.6431365</v>
      </c>
      <c r="AF7" s="24">
        <f>'Balance Sheet'!AF20+'Balance Sheet'!AF26</f>
        <v>668721553.82843065</v>
      </c>
      <c r="AG7" s="24">
        <f>'Balance Sheet'!AG20+'Balance Sheet'!AG26</f>
        <v>662936148.23097849</v>
      </c>
      <c r="AH7" s="24">
        <f>'Balance Sheet'!AH20+'Balance Sheet'!AH26</f>
        <v>657119405.01987338</v>
      </c>
      <c r="AI7" s="24">
        <f>'Balance Sheet'!AI20+'Balance Sheet'!AI26</f>
        <v>651271154.4497081</v>
      </c>
      <c r="AJ7" s="24">
        <f>'Balance Sheet'!AJ20+'Balance Sheet'!AJ26</f>
        <v>645391225.8556211</v>
      </c>
      <c r="AK7" s="24">
        <f>'Balance Sheet'!AK20+'Balance Sheet'!AK26</f>
        <v>639479447.64831614</v>
      </c>
      <c r="AL7" s="24">
        <f>'Balance Sheet'!AL20+'Balance Sheet'!AL26</f>
        <v>633535647.30905497</v>
      </c>
      <c r="AM7" s="24">
        <f>'Balance Sheet'!AM20+'Balance Sheet'!AM26</f>
        <v>627559651.38462281</v>
      </c>
      <c r="AN7" s="24">
        <f>'Balance Sheet'!AN20+'Balance Sheet'!AN26</f>
        <v>621551285.48226666</v>
      </c>
      <c r="AO7" s="24">
        <f>'Balance Sheet'!AO20+'Balance Sheet'!AO26</f>
        <v>615510374.26460612</v>
      </c>
      <c r="AP7" s="24">
        <f>'Balance Sheet'!AP20+'Balance Sheet'!AP26</f>
        <v>609436741.44451654</v>
      </c>
      <c r="AQ7" s="24">
        <f>'Balance Sheet'!AQ20+'Balance Sheet'!AQ26</f>
        <v>603330209.77998483</v>
      </c>
      <c r="AR7" s="24">
        <f>'Balance Sheet'!AR20+'Balance Sheet'!AR26</f>
        <v>597190601.06893682</v>
      </c>
      <c r="AS7" s="24">
        <f>'Balance Sheet'!AS20+'Balance Sheet'!AS26</f>
        <v>591017736.14403737</v>
      </c>
      <c r="AT7" s="24">
        <f>'Balance Sheet'!AT20+'Balance Sheet'!AT26</f>
        <v>584811434.86746132</v>
      </c>
      <c r="AU7" s="24">
        <f>'Balance Sheet'!AU20+'Balance Sheet'!AU26</f>
        <v>578571516.12563717</v>
      </c>
      <c r="AV7" s="24">
        <f>'Balance Sheet'!AV20+'Balance Sheet'!AV26</f>
        <v>572297797.8239615</v>
      </c>
      <c r="AW7" s="24">
        <f>'Balance Sheet'!AW20+'Balance Sheet'!AW26</f>
        <v>565990096.8814851</v>
      </c>
      <c r="AX7" s="24">
        <f>'Balance Sheet'!AX20+'Balance Sheet'!AX26</f>
        <v>559648229.22557032</v>
      </c>
      <c r="AY7" s="24">
        <f>'Balance Sheet'!AY20+'Balance Sheet'!AY26</f>
        <v>553272009.78651929</v>
      </c>
      <c r="AZ7" s="24">
        <f>'Balance Sheet'!AZ20+'Balance Sheet'!AZ26</f>
        <v>546861252.49217343</v>
      </c>
      <c r="BA7" s="24">
        <f>'Balance Sheet'!BA20+'Balance Sheet'!BA26</f>
        <v>540415770.26248312</v>
      </c>
      <c r="BB7" s="24">
        <f>'Balance Sheet'!BB20+'Balance Sheet'!BB26</f>
        <v>533935375.00404871</v>
      </c>
      <c r="BC7" s="24">
        <f>'Balance Sheet'!BC20+'Balance Sheet'!BC26</f>
        <v>527419877.60463113</v>
      </c>
      <c r="BD7" s="24">
        <f>'Balance Sheet'!BD20+'Balance Sheet'!BD26</f>
        <v>520869087.92763335</v>
      </c>
      <c r="BE7" s="24">
        <f>'Balance Sheet'!BE20+'Balance Sheet'!BE26</f>
        <v>514282814.80655181</v>
      </c>
      <c r="BF7" s="24">
        <f>'Balance Sheet'!BF20+'Balance Sheet'!BF26</f>
        <v>507660866.03939778</v>
      </c>
      <c r="BG7" s="24">
        <f>'Balance Sheet'!BG20+'Balance Sheet'!BG26</f>
        <v>501003048.38308829</v>
      </c>
      <c r="BH7" s="24">
        <f>'Balance Sheet'!BH20+'Balance Sheet'!BH26</f>
        <v>494309167.54780716</v>
      </c>
      <c r="BI7" s="24">
        <f>'Balance Sheet'!BI20+'Balance Sheet'!BI26</f>
        <v>487579028.1913349</v>
      </c>
      <c r="BJ7" s="24">
        <f>'Balance Sheet'!BJ20+'Balance Sheet'!BJ26</f>
        <v>480812433.91334844</v>
      </c>
      <c r="BK7" s="24">
        <f>'Balance Sheet'!BK20+'Balance Sheet'!BK26</f>
        <v>474009187.24968952</v>
      </c>
      <c r="BL7" s="24">
        <f>'Balance Sheet'!BL20+'Balance Sheet'!BL26</f>
        <v>467169089.66660249</v>
      </c>
      <c r="BM7" s="24">
        <f>'Balance Sheet'!BM20+'Balance Sheet'!BM26</f>
        <v>460291941.5549404</v>
      </c>
      <c r="BN7" s="24">
        <f>'Balance Sheet'!BN20+'Balance Sheet'!BN26</f>
        <v>453377542.22434014</v>
      </c>
      <c r="BO7" s="24">
        <f>'Balance Sheet'!BO20+'Balance Sheet'!BO26</f>
        <v>446425689.89736581</v>
      </c>
      <c r="BP7" s="24">
        <f>'Balance Sheet'!BP20+'Balance Sheet'!BP26</f>
        <v>439436181.70362031</v>
      </c>
      <c r="BQ7" s="24">
        <f>'Balance Sheet'!BQ20+'Balance Sheet'!BQ26</f>
        <v>432408813.67382538</v>
      </c>
      <c r="BR7" s="24">
        <f>'Balance Sheet'!BR20+'Balance Sheet'!BR26</f>
        <v>425343380.73386908</v>
      </c>
      <c r="BS7" s="24">
        <f>'Balance Sheet'!BS20+'Balance Sheet'!BS26</f>
        <v>418239676.69882131</v>
      </c>
      <c r="BT7" s="24">
        <f>'Balance Sheet'!BT20+'Balance Sheet'!BT26</f>
        <v>411097494.26691705</v>
      </c>
      <c r="BU7" s="24">
        <f>'Balance Sheet'!BU20+'Balance Sheet'!BU26</f>
        <v>403916625.01350665</v>
      </c>
      <c r="BV7" s="24">
        <f>'Balance Sheet'!BV20+'Balance Sheet'!BV26</f>
        <v>396696859.38497359</v>
      </c>
      <c r="BW7" s="24">
        <f>'Balance Sheet'!BW20+'Balance Sheet'!BW26</f>
        <v>389437986.69261932</v>
      </c>
      <c r="BX7" s="24">
        <f>'Balance Sheet'!BX20+'Balance Sheet'!BX26</f>
        <v>382139795.10651481</v>
      </c>
      <c r="BY7" s="24">
        <f>'Balance Sheet'!BY20+'Balance Sheet'!BY26</f>
        <v>374802071.64931887</v>
      </c>
      <c r="BZ7" s="24">
        <f>'Balance Sheet'!BZ20+'Balance Sheet'!BZ26</f>
        <v>367424602.19006318</v>
      </c>
      <c r="CA7" s="24">
        <f>'Balance Sheet'!CA20+'Balance Sheet'!CA26</f>
        <v>360007171.43790317</v>
      </c>
      <c r="CB7" s="24">
        <f>'Balance Sheet'!CB20+'Balance Sheet'!CB26</f>
        <v>352549562.9358356</v>
      </c>
      <c r="CC7" s="24">
        <f>'Balance Sheet'!CC20+'Balance Sheet'!CC26</f>
        <v>345051559.05438185</v>
      </c>
      <c r="CD7" s="24">
        <f>'Balance Sheet'!CD20+'Balance Sheet'!CD26</f>
        <v>337512940.98523688</v>
      </c>
      <c r="CE7" s="24">
        <f>'Balance Sheet'!CE20+'Balance Sheet'!CE26</f>
        <v>329933488.73488402</v>
      </c>
      <c r="CF7" s="24">
        <f>'Balance Sheet'!CF20+'Balance Sheet'!CF26</f>
        <v>322312981.11817509</v>
      </c>
      <c r="CG7" s="24">
        <f>'Balance Sheet'!CG20+'Balance Sheet'!CG26</f>
        <v>314651195.7518757</v>
      </c>
      <c r="CH7" s="24">
        <f>'Balance Sheet'!CH20+'Balance Sheet'!CH26</f>
        <v>306947909.04817551</v>
      </c>
      <c r="CI7" s="24">
        <f>'Balance Sheet'!CI20+'Balance Sheet'!CI26</f>
        <v>299202896.20816362</v>
      </c>
      <c r="CJ7" s="24">
        <f>'Balance Sheet'!CJ20+'Balance Sheet'!CJ26</f>
        <v>291415931.21526831</v>
      </c>
      <c r="CK7" s="24">
        <f>'Balance Sheet'!CK20+'Balance Sheet'!CK26</f>
        <v>283586786.8286615</v>
      </c>
      <c r="CL7" s="24">
        <f>'Balance Sheet'!CL20+'Balance Sheet'!CL26</f>
        <v>275715234.57662719</v>
      </c>
      <c r="CM7" s="24">
        <f>'Balance Sheet'!CM20+'Balance Sheet'!CM26</f>
        <v>267801044.74989438</v>
      </c>
      <c r="CN7" s="24">
        <f>'Balance Sheet'!CN20+'Balance Sheet'!CN26</f>
        <v>259843986.39493343</v>
      </c>
      <c r="CO7" s="24">
        <f>'Balance Sheet'!CO20+'Balance Sheet'!CO26</f>
        <v>251843827.30721647</v>
      </c>
      <c r="CP7" s="24">
        <f>'Balance Sheet'!CP20+'Balance Sheet'!CP26</f>
        <v>243800334.02444103</v>
      </c>
      <c r="CQ7" s="24">
        <f>'Balance Sheet'!CQ20+'Balance Sheet'!CQ26</f>
        <v>235713271.81971723</v>
      </c>
      <c r="CR7" s="24">
        <f>'Balance Sheet'!CR20+'Balance Sheet'!CR26</f>
        <v>227582404.69471782</v>
      </c>
      <c r="CS7" s="24">
        <f>'Balance Sheet'!CS20+'Balance Sheet'!CS26</f>
        <v>219407495.37279135</v>
      </c>
      <c r="CT7" s="24">
        <f>'Balance Sheet'!CT20+'Balance Sheet'!CT26</f>
        <v>211188305.29203779</v>
      </c>
      <c r="CU7" s="24">
        <f>'Balance Sheet'!CU20+'Balance Sheet'!CU26</f>
        <v>202924594.5983468</v>
      </c>
      <c r="CV7" s="24">
        <f>'Balance Sheet'!CV20+'Balance Sheet'!CV26</f>
        <v>194616122.13839832</v>
      </c>
      <c r="CW7" s="24">
        <f>'Balance Sheet'!CW20+'Balance Sheet'!CW26</f>
        <v>186262645.4526251</v>
      </c>
      <c r="CX7" s="24">
        <f>'Balance Sheet'!CX20+'Balance Sheet'!CX26</f>
        <v>177863920.76813728</v>
      </c>
      <c r="CY7" s="24">
        <f>'Balance Sheet'!CY20+'Balance Sheet'!CY26</f>
        <v>169419702.9916085</v>
      </c>
      <c r="CZ7" s="24">
        <f>'Balance Sheet'!CZ20+'Balance Sheet'!CZ26</f>
        <v>160929745.70212352</v>
      </c>
      <c r="DA7" s="24">
        <f>'Balance Sheet'!DA20+'Balance Sheet'!DA26</f>
        <v>152393801.14398715</v>
      </c>
      <c r="DB7" s="24">
        <f>'Balance Sheet'!DB20+'Balance Sheet'!DB26</f>
        <v>143811620.21949422</v>
      </c>
      <c r="DC7" s="24">
        <f>'Balance Sheet'!DC20+'Balance Sheet'!DC26</f>
        <v>135182952.48166028</v>
      </c>
      <c r="DD7" s="24">
        <f>'Balance Sheet'!DD20+'Balance Sheet'!DD26</f>
        <v>126507546.12691307</v>
      </c>
      <c r="DE7" s="24">
        <f>'Balance Sheet'!DE20+'Balance Sheet'!DE26</f>
        <v>117785147.98774432</v>
      </c>
      <c r="DF7" s="24">
        <f>'Balance Sheet'!DF20+'Balance Sheet'!DF26</f>
        <v>109015503.52532174</v>
      </c>
      <c r="DG7" s="24">
        <f>'Balance Sheet'!DG20+'Balance Sheet'!DG26</f>
        <v>100198356.82206103</v>
      </c>
      <c r="DH7" s="24">
        <f>'Balance Sheet'!DH20+'Balance Sheet'!DH26</f>
        <v>91333450.574157655</v>
      </c>
      <c r="DI7" s="24">
        <f>'Balance Sheet'!DI20+'Balance Sheet'!DI26</f>
        <v>82420526.084078148</v>
      </c>
      <c r="DJ7" s="24">
        <f>'Balance Sheet'!DJ20+'Balance Sheet'!DJ26</f>
        <v>73459323.253010705</v>
      </c>
      <c r="DK7" s="24">
        <f>'Balance Sheet'!DK20+'Balance Sheet'!DK26</f>
        <v>64449580.573274978</v>
      </c>
      <c r="DL7" s="24">
        <f>'Balance Sheet'!DL20+'Balance Sheet'!DL26</f>
        <v>55391035.120690681</v>
      </c>
      <c r="DM7" s="24">
        <f>'Balance Sheet'!DM20+'Balance Sheet'!DM26</f>
        <v>46283422.546904892</v>
      </c>
      <c r="DN7" s="24">
        <f>'Balance Sheet'!DN20+'Balance Sheet'!DN26</f>
        <v>37126477.071677759</v>
      </c>
      <c r="DO7" s="24">
        <f>'Balance Sheet'!DO20+'Balance Sheet'!DO26</f>
        <v>27919931.475126479</v>
      </c>
      <c r="DP7" s="24">
        <f>'Balance Sheet'!DP20+'Balance Sheet'!DP26</f>
        <v>18663517.089927215</v>
      </c>
      <c r="DQ7" s="24">
        <f>'Balance Sheet'!DQ20+'Balance Sheet'!DQ26</f>
        <v>9356963.793474786</v>
      </c>
      <c r="DR7" s="24">
        <f>'Balance Sheet'!DR20+'Balance Sheet'!DR26</f>
        <v>-9.3132257461547852E-8</v>
      </c>
      <c r="DS7" s="24">
        <f>'Balance Sheet'!DS20+'Balance Sheet'!DS26</f>
        <v>-9.3132257461547852E-8</v>
      </c>
      <c r="DT7" s="24">
        <f>'Balance Sheet'!DT20+'Balance Sheet'!DT26</f>
        <v>-9.3132257461547852E-8</v>
      </c>
      <c r="DU7" s="24">
        <f>'Balance Sheet'!DU20+'Balance Sheet'!DU26</f>
        <v>-9.3132257461547852E-8</v>
      </c>
      <c r="DV7" s="24">
        <f>'Balance Sheet'!DV20+'Balance Sheet'!DV26</f>
        <v>-9.3132257461547852E-8</v>
      </c>
      <c r="DW7" s="24">
        <f>'Balance Sheet'!DW20+'Balance Sheet'!DW26</f>
        <v>-9.3132257461547852E-8</v>
      </c>
      <c r="DX7" s="24">
        <f>'Balance Sheet'!DX20+'Balance Sheet'!DX26</f>
        <v>-9.3132257461547852E-8</v>
      </c>
      <c r="DY7" s="24">
        <f>'Balance Sheet'!DY20+'Balance Sheet'!DY26</f>
        <v>-9.3132257461547852E-8</v>
      </c>
      <c r="DZ7" s="24">
        <f>'Balance Sheet'!DZ20+'Balance Sheet'!DZ26</f>
        <v>-9.3132257461547852E-8</v>
      </c>
      <c r="EA7" s="24">
        <f>'Balance Sheet'!EA20+'Balance Sheet'!EA26</f>
        <v>-9.3132257461547852E-8</v>
      </c>
      <c r="EB7" s="24">
        <f>'Balance Sheet'!EB20+'Balance Sheet'!EB26</f>
        <v>-9.3132257461547852E-8</v>
      </c>
      <c r="EC7" s="24">
        <f>'Balance Sheet'!EC20+'Balance Sheet'!EC26</f>
        <v>-9.3132257461547852E-8</v>
      </c>
      <c r="ED7" s="24">
        <f>'Balance Sheet'!ED20+'Balance Sheet'!ED26</f>
        <v>-9.3132257461547852E-8</v>
      </c>
      <c r="EE7" s="24">
        <f>'Balance Sheet'!EE20+'Balance Sheet'!EE26</f>
        <v>-9.3132257461547852E-8</v>
      </c>
      <c r="EF7" s="24">
        <f>'Balance Sheet'!EF20+'Balance Sheet'!EF26</f>
        <v>-9.3132257461547852E-8</v>
      </c>
      <c r="EG7" s="24">
        <f>'Balance Sheet'!EG20+'Balance Sheet'!EG26</f>
        <v>-9.3132257461547852E-8</v>
      </c>
      <c r="EH7" s="24">
        <f>'Balance Sheet'!EH20+'Balance Sheet'!EH26</f>
        <v>-9.3132257461547852E-8</v>
      </c>
      <c r="EI7" s="24">
        <f>'Balance Sheet'!EI20+'Balance Sheet'!EI26</f>
        <v>-9.3132257461547852E-8</v>
      </c>
      <c r="EJ7" s="24">
        <f>'Balance Sheet'!EJ20+'Balance Sheet'!EJ26</f>
        <v>-9.3132257461547852E-8</v>
      </c>
      <c r="EK7" s="24">
        <f>'Balance Sheet'!EK20+'Balance Sheet'!EK26</f>
        <v>-9.3132257461547852E-8</v>
      </c>
      <c r="EL7" s="24">
        <f>'Balance Sheet'!EL20+'Balance Sheet'!EL26</f>
        <v>-9.3132257461547852E-8</v>
      </c>
      <c r="EM7" s="24">
        <f>'Balance Sheet'!EM20+'Balance Sheet'!EM26</f>
        <v>-9.3132257461547852E-8</v>
      </c>
      <c r="EN7" s="24">
        <f>'Balance Sheet'!EN20+'Balance Sheet'!EN26</f>
        <v>-9.3132257461547852E-8</v>
      </c>
      <c r="EO7" s="24">
        <f>'Balance Sheet'!EO20+'Balance Sheet'!EO26</f>
        <v>-9.3132257461547852E-8</v>
      </c>
      <c r="EP7" s="24">
        <f>'Balance Sheet'!EP20+'Balance Sheet'!EP26</f>
        <v>-9.3132257461547852E-8</v>
      </c>
      <c r="EQ7" s="24">
        <f>'Balance Sheet'!EQ20+'Balance Sheet'!EQ26</f>
        <v>-9.3132257461547852E-8</v>
      </c>
      <c r="ER7" s="24">
        <f>'Balance Sheet'!ER20+'Balance Sheet'!ER26</f>
        <v>-9.3132257461547852E-8</v>
      </c>
      <c r="ES7" s="24">
        <f>'Balance Sheet'!ES20+'Balance Sheet'!ES26</f>
        <v>-9.3132257461547852E-8</v>
      </c>
      <c r="ET7" s="24">
        <f>'Balance Sheet'!ET20+'Balance Sheet'!ET26</f>
        <v>-9.3132257461547852E-8</v>
      </c>
      <c r="EU7" s="24">
        <f>'Balance Sheet'!EU20+'Balance Sheet'!EU26</f>
        <v>-9.3132257461547852E-8</v>
      </c>
      <c r="EV7" s="24">
        <f>'Balance Sheet'!EV20+'Balance Sheet'!EV26</f>
        <v>-9.3132257461547852E-8</v>
      </c>
      <c r="EW7" s="24">
        <f>'Balance Sheet'!EW20+'Balance Sheet'!EW26</f>
        <v>-9.3132257461547852E-8</v>
      </c>
      <c r="EX7" s="24">
        <f>'Balance Sheet'!EX20+'Balance Sheet'!EX26</f>
        <v>-9.3132257461547852E-8</v>
      </c>
      <c r="EY7" s="24">
        <f>'Balance Sheet'!EY20+'Balance Sheet'!EY26</f>
        <v>-9.3132257461547852E-8</v>
      </c>
      <c r="EZ7" s="24">
        <f>'Balance Sheet'!EZ20+'Balance Sheet'!EZ26</f>
        <v>-9.3132257461547852E-8</v>
      </c>
      <c r="FA7" s="24">
        <f>'Balance Sheet'!FA20+'Balance Sheet'!FA26</f>
        <v>-9.3132257461547852E-8</v>
      </c>
      <c r="FB7" s="24">
        <f>'Balance Sheet'!FB20+'Balance Sheet'!FB26</f>
        <v>-9.3132257461547852E-8</v>
      </c>
      <c r="FC7" s="24">
        <f>'Balance Sheet'!FC20+'Balance Sheet'!FC26</f>
        <v>-9.3132257461547852E-8</v>
      </c>
      <c r="FD7" s="24">
        <f>'Balance Sheet'!FD20+'Balance Sheet'!FD26</f>
        <v>-9.3132257461547852E-8</v>
      </c>
      <c r="FE7" s="24">
        <f>'Balance Sheet'!FE20+'Balance Sheet'!FE26</f>
        <v>-9.3132257461547852E-8</v>
      </c>
      <c r="FF7" s="24">
        <f>'Balance Sheet'!FF20+'Balance Sheet'!FF26</f>
        <v>-9.3132257461547852E-8</v>
      </c>
      <c r="FG7" s="24">
        <f>'Balance Sheet'!FG20+'Balance Sheet'!FG26</f>
        <v>-9.3132257461547852E-8</v>
      </c>
      <c r="FH7" s="24">
        <f>'Balance Sheet'!FH20+'Balance Sheet'!FH26</f>
        <v>-9.3132257461547852E-8</v>
      </c>
      <c r="FI7" s="24">
        <f>'Balance Sheet'!FI20+'Balance Sheet'!FI26</f>
        <v>-9.3132257461547852E-8</v>
      </c>
      <c r="FJ7" s="24">
        <f>'Balance Sheet'!FJ20+'Balance Sheet'!FJ26</f>
        <v>-9.3132257461547852E-8</v>
      </c>
      <c r="FK7" s="24">
        <f>'Balance Sheet'!FK20+'Balance Sheet'!FK26</f>
        <v>-9.3132257461547852E-8</v>
      </c>
      <c r="FL7" s="24">
        <f>'Balance Sheet'!FL20+'Balance Sheet'!FL26</f>
        <v>-9.3132257461547852E-8</v>
      </c>
      <c r="FM7" s="24">
        <f>'Balance Sheet'!FM20+'Balance Sheet'!FM26</f>
        <v>-9.3132257461547852E-8</v>
      </c>
      <c r="FN7" s="24">
        <f>'Balance Sheet'!FN20+'Balance Sheet'!FN26</f>
        <v>-9.3132257461547852E-8</v>
      </c>
      <c r="FO7" s="24">
        <f>'Balance Sheet'!FO20+'Balance Sheet'!FO26</f>
        <v>-9.3132257461547852E-8</v>
      </c>
      <c r="FP7" s="24">
        <f>'Balance Sheet'!FP20+'Balance Sheet'!FP26</f>
        <v>-9.3132257461547852E-8</v>
      </c>
      <c r="FQ7" s="24">
        <f>'Balance Sheet'!FQ20+'Balance Sheet'!FQ26</f>
        <v>-9.3132257461547852E-8</v>
      </c>
      <c r="FR7" s="24">
        <f>'Balance Sheet'!FR20+'Balance Sheet'!FR26</f>
        <v>-9.3132257461547852E-8</v>
      </c>
      <c r="FS7" s="24">
        <f>'Balance Sheet'!FS20+'Balance Sheet'!FS26</f>
        <v>-9.3132257461547852E-8</v>
      </c>
      <c r="FT7" s="24">
        <f>'Balance Sheet'!FT20+'Balance Sheet'!FT26</f>
        <v>-9.3132257461547852E-8</v>
      </c>
      <c r="FU7" s="24">
        <f>'Balance Sheet'!FU20+'Balance Sheet'!FU26</f>
        <v>-9.3132257461547852E-8</v>
      </c>
      <c r="FV7" s="24">
        <f>'Balance Sheet'!FV20+'Balance Sheet'!FV26</f>
        <v>-9.3132257461547852E-8</v>
      </c>
      <c r="FW7" s="24">
        <f>'Balance Sheet'!FW20+'Balance Sheet'!FW26</f>
        <v>-9.3132257461547852E-8</v>
      </c>
      <c r="FX7" s="24">
        <f>'Balance Sheet'!FX20+'Balance Sheet'!FX26</f>
        <v>-9.3132257461547852E-8</v>
      </c>
      <c r="FY7" s="24">
        <f>'Balance Sheet'!FY20+'Balance Sheet'!FY26</f>
        <v>-9.3132257461547852E-8</v>
      </c>
      <c r="FZ7" s="24">
        <f>'Balance Sheet'!FZ20+'Balance Sheet'!FZ26</f>
        <v>-9.3132257461547852E-8</v>
      </c>
      <c r="GA7" s="24">
        <f>'Balance Sheet'!GA20+'Balance Sheet'!GA26</f>
        <v>-9.3132257461547852E-8</v>
      </c>
      <c r="GB7" s="24">
        <f>'Balance Sheet'!GB20+'Balance Sheet'!GB26</f>
        <v>-9.3132257461547852E-8</v>
      </c>
      <c r="GC7" s="24">
        <f>'Balance Sheet'!GC20+'Balance Sheet'!GC26</f>
        <v>-9.3132257461547852E-8</v>
      </c>
      <c r="GD7" s="24">
        <f>'Balance Sheet'!GD20+'Balance Sheet'!GD26</f>
        <v>-9.3132257461547852E-8</v>
      </c>
      <c r="GE7" s="24">
        <f>'Balance Sheet'!GE20+'Balance Sheet'!GE26</f>
        <v>-9.3132257461547852E-8</v>
      </c>
      <c r="GF7" s="24">
        <f>'Balance Sheet'!GF20+'Balance Sheet'!GF26</f>
        <v>-9.3132257461547852E-8</v>
      </c>
      <c r="GG7" s="24">
        <f>'Balance Sheet'!GG20+'Balance Sheet'!GG26</f>
        <v>-9.3132257461547852E-8</v>
      </c>
      <c r="GH7" s="24">
        <f>'Balance Sheet'!GH20+'Balance Sheet'!GH26</f>
        <v>-9.3132257461547852E-8</v>
      </c>
      <c r="GI7" s="24">
        <f>'Balance Sheet'!GI20+'Balance Sheet'!GI26</f>
        <v>-9.3132257461547852E-8</v>
      </c>
      <c r="GJ7" s="24">
        <f>'Balance Sheet'!GJ20+'Balance Sheet'!GJ26</f>
        <v>-9.3132257461547852E-8</v>
      </c>
      <c r="GK7" s="24">
        <f>'Balance Sheet'!GK20+'Balance Sheet'!GK26</f>
        <v>-9.3132257461547852E-8</v>
      </c>
      <c r="GL7" s="24">
        <f>'Balance Sheet'!GL20+'Balance Sheet'!GL26</f>
        <v>-9.3132257461547852E-8</v>
      </c>
      <c r="GM7" s="24">
        <f>'Balance Sheet'!GM20+'Balance Sheet'!GM26</f>
        <v>-9.3132257461547852E-8</v>
      </c>
      <c r="GN7" s="24">
        <f>'Balance Sheet'!GN20+'Balance Sheet'!GN26</f>
        <v>-9.3132257461547852E-8</v>
      </c>
      <c r="GO7" s="24">
        <f>'Balance Sheet'!GO20+'Balance Sheet'!GO26</f>
        <v>-9.3132257461547852E-8</v>
      </c>
      <c r="GP7" s="24">
        <f>'Balance Sheet'!GP20+'Balance Sheet'!GP26</f>
        <v>-9.3132257461547852E-8</v>
      </c>
      <c r="GQ7" s="24">
        <f>'Balance Sheet'!GQ20+'Balance Sheet'!GQ26</f>
        <v>-9.3132257461547852E-8</v>
      </c>
      <c r="GR7" s="24">
        <f>'Balance Sheet'!GR20+'Balance Sheet'!GR26</f>
        <v>-9.3132257461547852E-8</v>
      </c>
      <c r="GS7" s="24">
        <f>'Balance Sheet'!GS20+'Balance Sheet'!GS26</f>
        <v>-9.3132257461547852E-8</v>
      </c>
      <c r="GT7" s="24">
        <f>'Balance Sheet'!GT20+'Balance Sheet'!GT26</f>
        <v>-9.3132257461547852E-8</v>
      </c>
      <c r="GU7" s="24">
        <f>'Balance Sheet'!GU20+'Balance Sheet'!GU26</f>
        <v>-9.3132257461547852E-8</v>
      </c>
      <c r="GV7" s="24">
        <f>'Balance Sheet'!GV20+'Balance Sheet'!GV26</f>
        <v>-9.3132257461547852E-8</v>
      </c>
      <c r="GW7" s="24">
        <f>'Balance Sheet'!GW20+'Balance Sheet'!GW26</f>
        <v>-9.3132257461547852E-8</v>
      </c>
      <c r="GX7" s="24">
        <f>'Balance Sheet'!GX20+'Balance Sheet'!GX26</f>
        <v>-9.3132257461547852E-8</v>
      </c>
      <c r="GY7" s="24">
        <f>'Balance Sheet'!GY20+'Balance Sheet'!GY26</f>
        <v>-9.3132257461547852E-8</v>
      </c>
      <c r="GZ7" s="24">
        <f>'Balance Sheet'!GZ20+'Balance Sheet'!GZ26</f>
        <v>-9.3132257461547852E-8</v>
      </c>
      <c r="HA7" s="24">
        <f>'Balance Sheet'!HA20+'Balance Sheet'!HA26</f>
        <v>-9.3132257461547852E-8</v>
      </c>
      <c r="HB7" s="24">
        <f>'Balance Sheet'!HB20+'Balance Sheet'!HB26</f>
        <v>-9.3132257461547852E-8</v>
      </c>
      <c r="HC7" s="24">
        <f>'Balance Sheet'!HC20+'Balance Sheet'!HC26</f>
        <v>-9.3132257461547852E-8</v>
      </c>
      <c r="HD7" s="24">
        <f>'Balance Sheet'!HD20+'Balance Sheet'!HD26</f>
        <v>-9.3132257461547852E-8</v>
      </c>
      <c r="HE7" s="24">
        <f>'Balance Sheet'!HE20+'Balance Sheet'!HE26</f>
        <v>-9.3132257461547852E-8</v>
      </c>
      <c r="HF7" s="24">
        <f>'Balance Sheet'!HF20+'Balance Sheet'!HF26</f>
        <v>-9.3132257461547852E-8</v>
      </c>
      <c r="HG7" s="24">
        <f>'Balance Sheet'!HG20+'Balance Sheet'!HG26</f>
        <v>-9.3132257461547852E-8</v>
      </c>
      <c r="HH7" s="24">
        <f>'Balance Sheet'!HH20+'Balance Sheet'!HH26</f>
        <v>-9.3132257461547852E-8</v>
      </c>
      <c r="HI7" s="24">
        <f>'Balance Sheet'!HI20+'Balance Sheet'!HI26</f>
        <v>-9.3132257461547852E-8</v>
      </c>
      <c r="HJ7" s="24">
        <f>'Balance Sheet'!HJ20+'Balance Sheet'!HJ26</f>
        <v>-9.3132257461547852E-8</v>
      </c>
      <c r="HK7" s="24">
        <f>'Balance Sheet'!HK20+'Balance Sheet'!HK26</f>
        <v>-9.3132257461547852E-8</v>
      </c>
      <c r="HL7" s="24">
        <f>'Balance Sheet'!HL20+'Balance Sheet'!HL26</f>
        <v>-9.3132257461547852E-8</v>
      </c>
      <c r="HM7" s="24">
        <f>'Balance Sheet'!HM20+'Balance Sheet'!HM26</f>
        <v>-9.3132257461547852E-8</v>
      </c>
      <c r="HN7" s="24">
        <f>'Balance Sheet'!HN20+'Balance Sheet'!HN26</f>
        <v>-9.3132257461547852E-8</v>
      </c>
      <c r="HO7" s="24">
        <f>'Balance Sheet'!HO20+'Balance Sheet'!HO26</f>
        <v>-9.3132257461547852E-8</v>
      </c>
      <c r="HP7" s="24">
        <f>'Balance Sheet'!HP20+'Balance Sheet'!HP26</f>
        <v>-9.3132257461547852E-8</v>
      </c>
      <c r="HQ7" s="24">
        <f>'Balance Sheet'!HQ20+'Balance Sheet'!HQ26</f>
        <v>-9.3132257461547852E-8</v>
      </c>
      <c r="HR7" s="24">
        <f>'Balance Sheet'!HR20+'Balance Sheet'!HR26</f>
        <v>-9.3132257461547852E-8</v>
      </c>
      <c r="HS7" s="24">
        <f>'Balance Sheet'!HS20+'Balance Sheet'!HS26</f>
        <v>-9.3132257461547852E-8</v>
      </c>
      <c r="HT7" s="24">
        <f>'Balance Sheet'!HT20+'Balance Sheet'!HT26</f>
        <v>-9.3132257461547852E-8</v>
      </c>
      <c r="HU7" s="24">
        <f>'Balance Sheet'!HU20+'Balance Sheet'!HU26</f>
        <v>-9.3132257461547852E-8</v>
      </c>
      <c r="HV7" s="24">
        <f>'Balance Sheet'!HV20+'Balance Sheet'!HV26</f>
        <v>-9.3132257461547852E-8</v>
      </c>
      <c r="HW7" s="24">
        <f>'Balance Sheet'!HW20+'Balance Sheet'!HW26</f>
        <v>-9.3132257461547852E-8</v>
      </c>
      <c r="HX7" s="24">
        <f>'Balance Sheet'!HX20+'Balance Sheet'!HX26</f>
        <v>-9.3132257461547852E-8</v>
      </c>
      <c r="HY7" s="24">
        <f>'Balance Sheet'!HY20+'Balance Sheet'!HY26</f>
        <v>-9.3132257461547852E-8</v>
      </c>
      <c r="HZ7" s="24">
        <f>'Balance Sheet'!HZ20+'Balance Sheet'!HZ26</f>
        <v>-9.3132257461547852E-8</v>
      </c>
      <c r="IA7" s="24">
        <f>'Balance Sheet'!IA20+'Balance Sheet'!IA26</f>
        <v>-9.3132257461547852E-8</v>
      </c>
      <c r="IB7" s="24">
        <f>'Balance Sheet'!IB20+'Balance Sheet'!IB26</f>
        <v>-9.3132257461547852E-8</v>
      </c>
      <c r="IC7" s="24">
        <f>'Balance Sheet'!IC20+'Balance Sheet'!IC26</f>
        <v>-9.3132257461547852E-8</v>
      </c>
      <c r="ID7" s="24">
        <f>'Balance Sheet'!ID20+'Balance Sheet'!ID26</f>
        <v>-9.3132257461547852E-8</v>
      </c>
      <c r="IE7" s="24">
        <f>'Balance Sheet'!IE20+'Balance Sheet'!IE26</f>
        <v>-9.3132257461547852E-8</v>
      </c>
      <c r="IF7" s="24">
        <f>'Balance Sheet'!IF20+'Balance Sheet'!IF26</f>
        <v>-9.3132257461547852E-8</v>
      </c>
      <c r="IG7" s="24">
        <f>'Balance Sheet'!IG20+'Balance Sheet'!IG26</f>
        <v>-9.3132257461547852E-8</v>
      </c>
      <c r="IH7" s="24">
        <f>'Balance Sheet'!IH20+'Balance Sheet'!IH26</f>
        <v>-9.3132257461547852E-8</v>
      </c>
    </row>
    <row r="8" spans="1:242" ht="14.65" thickBot="1" x14ac:dyDescent="0.5">
      <c r="A8" s="77" t="s">
        <v>315</v>
      </c>
      <c r="B8" s="78"/>
      <c r="C8" s="52">
        <f>'Balance Sheet'!C35</f>
        <v>39856945.01941859</v>
      </c>
      <c r="D8" s="82">
        <f>'Balance Sheet'!D35</f>
        <v>34919190.462346815</v>
      </c>
      <c r="E8" s="82">
        <f>'Balance Sheet'!E35</f>
        <v>30008229.414386112</v>
      </c>
      <c r="F8" s="82">
        <f>'Balance Sheet'!F35</f>
        <v>25124207.007044144</v>
      </c>
      <c r="G8" s="82">
        <f>'Balance Sheet'!G35</f>
        <v>20267269.15795761</v>
      </c>
      <c r="H8" s="82">
        <f>'Balance Sheet'!H35</f>
        <v>15437562.575150389</v>
      </c>
      <c r="I8" s="82">
        <f>'Balance Sheet'!I35</f>
        <v>28716774.255709849</v>
      </c>
      <c r="J8" s="82">
        <f>'Balance Sheet'!J35</f>
        <v>32982743.259708725</v>
      </c>
      <c r="K8" s="82">
        <f>'Balance Sheet'!K35</f>
        <v>28235618.692112967</v>
      </c>
      <c r="L8" s="82">
        <f>'Balance Sheet'!L35</f>
        <v>32557089.959935378</v>
      </c>
      <c r="M8" s="82">
        <f>'Balance Sheet'!M35</f>
        <v>27865768.293425597</v>
      </c>
      <c r="N8" s="82">
        <f>'Balance Sheet'!N35</f>
        <v>32243344.728048258</v>
      </c>
      <c r="O8" s="82">
        <f>'Balance Sheet'!O35</f>
        <v>66875573.229981102</v>
      </c>
      <c r="P8" s="82">
        <f>'Balance Sheet'!P35</f>
        <v>56472386.898989342</v>
      </c>
      <c r="Q8" s="82">
        <f>'Balance Sheet'!Q35</f>
        <v>46097788.48803547</v>
      </c>
      <c r="R8" s="82">
        <f>'Balance Sheet'!R35</f>
        <v>35751932.848353006</v>
      </c>
      <c r="S8" s="82">
        <f>'Balance Sheet'!S35</f>
        <v>25434975.669953018</v>
      </c>
      <c r="T8" s="82">
        <f>'Balance Sheet'!T35</f>
        <v>15147073.48616744</v>
      </c>
      <c r="U8" s="82">
        <f>'Balance Sheet'!U35</f>
        <v>22969923.172612008</v>
      </c>
      <c r="V8" s="82">
        <f>'Balance Sheet'!V35</f>
        <v>12740603.97419936</v>
      </c>
      <c r="W8" s="82">
        <f>'Balance Sheet'!W35</f>
        <v>11581584.223323558</v>
      </c>
      <c r="X8" s="82">
        <f>'Balance Sheet'!X35</f>
        <v>10452254.125330608</v>
      </c>
      <c r="Y8" s="82">
        <f>'Balance Sheet'!Y35</f>
        <v>312004.75197610818</v>
      </c>
      <c r="Z8" s="82">
        <f>'Balance Sheet'!Z35</f>
        <v>-757462.71228913218</v>
      </c>
      <c r="AA8" s="82">
        <f>'Balance Sheet'!AA35</f>
        <v>-6040355.2114220783</v>
      </c>
      <c r="AB8" s="82">
        <f>'Balance Sheet'!AB35</f>
        <v>-11292909.536344301</v>
      </c>
      <c r="AC8" s="82">
        <f>'Balance Sheet'!AC35</f>
        <v>-16514961.355278792</v>
      </c>
      <c r="AD8" s="82">
        <f>'Balance Sheet'!AD35</f>
        <v>-21706345.446318142</v>
      </c>
      <c r="AE8" s="82">
        <f>'Balance Sheet'!AE35</f>
        <v>-26866895.692602925</v>
      </c>
      <c r="AF8" s="82">
        <f>'Balance Sheet'!AF35</f>
        <v>-31996445.077474043</v>
      </c>
      <c r="AG8" s="82">
        <f>'Balance Sheet'!AG35</f>
        <v>-37094825.679598846</v>
      </c>
      <c r="AH8" s="82">
        <f>'Balance Sheet'!AH35</f>
        <v>-42161868.668070756</v>
      </c>
      <c r="AI8" s="82">
        <f>'Balance Sheet'!AI35</f>
        <v>-47197404.297482535</v>
      </c>
      <c r="AJ8" s="82">
        <f>'Balance Sheet'!AJ35</f>
        <v>-52201261.902972557</v>
      </c>
      <c r="AK8" s="82">
        <f>'Balance Sheet'!AK35</f>
        <v>-57173269.895244613</v>
      </c>
      <c r="AL8" s="82">
        <f>'Balance Sheet'!AL35</f>
        <v>-62113255.755560458</v>
      </c>
      <c r="AM8" s="82">
        <f>'Balance Sheet'!AM35</f>
        <v>-63403812.441731237</v>
      </c>
      <c r="AN8" s="82">
        <f>'Balance Sheet'!AN35</f>
        <v>-64661999.149978019</v>
      </c>
      <c r="AO8" s="82">
        <f>'Balance Sheet'!AO35</f>
        <v>-65887640.542920358</v>
      </c>
      <c r="AP8" s="82">
        <f>'Balance Sheet'!AP35</f>
        <v>-67080560.333433703</v>
      </c>
      <c r="AQ8" s="82">
        <f>'Balance Sheet'!AQ35</f>
        <v>-68240581.27950488</v>
      </c>
      <c r="AR8" s="82">
        <f>'Balance Sheet'!AR35</f>
        <v>-69367525.179059878</v>
      </c>
      <c r="AS8" s="82">
        <f>'Balance Sheet'!AS35</f>
        <v>-70461212.864763364</v>
      </c>
      <c r="AT8" s="82">
        <f>'Balance Sheet'!AT35</f>
        <v>-71521464.198790312</v>
      </c>
      <c r="AU8" s="82">
        <f>'Balance Sheet'!AU35</f>
        <v>-72548098.067569122</v>
      </c>
      <c r="AV8" s="82">
        <f>'Balance Sheet'!AV35</f>
        <v>-73540932.376496404</v>
      </c>
      <c r="AW8" s="82">
        <f>'Balance Sheet'!AW35</f>
        <v>-74499784.044622928</v>
      </c>
      <c r="AX8" s="82">
        <f>'Balance Sheet'!AX35</f>
        <v>-75424468.999311045</v>
      </c>
      <c r="AY8" s="82">
        <f>'Balance Sheet'!AY35</f>
        <v>-72564310.463142306</v>
      </c>
      <c r="AZ8" s="82">
        <f>'Balance Sheet'!AZ35</f>
        <v>-69674794.749972954</v>
      </c>
      <c r="BA8" s="82">
        <f>'Balance Sheet'!BA35</f>
        <v>-66755762.841760904</v>
      </c>
      <c r="BB8" s="82">
        <f>'Balance Sheet'!BB35</f>
        <v>-63807054.859116301</v>
      </c>
      <c r="BC8" s="82">
        <f>'Balance Sheet'!BC35</f>
        <v>-60828510.056636006</v>
      </c>
      <c r="BD8" s="82">
        <f>'Balance Sheet'!BD35</f>
        <v>-57819966.818212546</v>
      </c>
      <c r="BE8" s="82">
        <f>'Balance Sheet'!BE35</f>
        <v>-54781262.652317904</v>
      </c>
      <c r="BF8" s="82">
        <f>'Balance Sheet'!BF35</f>
        <v>-51712234.187261626</v>
      </c>
      <c r="BG8" s="82">
        <f>'Balance Sheet'!BG35</f>
        <v>-48612717.166423254</v>
      </c>
      <c r="BH8" s="82">
        <f>'Balance Sheet'!BH35</f>
        <v>-45482546.443458952</v>
      </c>
      <c r="BI8" s="82">
        <f>'Balance Sheet'!BI35</f>
        <v>-42321555.977482192</v>
      </c>
      <c r="BJ8" s="82">
        <f>'Balance Sheet'!BJ35</f>
        <v>-39129578.828218356</v>
      </c>
      <c r="BK8" s="82">
        <f>'Balance Sheet'!BK35</f>
        <v>-31485161.41751343</v>
      </c>
      <c r="BL8" s="82">
        <f>'Balance Sheet'!BL35</f>
        <v>-25809420.72529459</v>
      </c>
      <c r="BM8" s="82">
        <f>'Balance Sheet'!BM35</f>
        <v>-20102187.08378695</v>
      </c>
      <c r="BN8" s="82">
        <f>'Balance Sheet'!BN35</f>
        <v>-13163289.906181883</v>
      </c>
      <c r="BO8" s="82">
        <f>'Balance Sheet'!BO35</f>
        <v>-7392557.6816588165</v>
      </c>
      <c r="BP8" s="82">
        <f>'Balance Sheet'!BP35</f>
        <v>-1589817.9703803044</v>
      </c>
      <c r="BQ8" s="82">
        <f>'Balance Sheet'!BQ35</f>
        <v>5045102.6015402293</v>
      </c>
      <c r="BR8" s="82">
        <f>'Balance Sheet'!BR35</f>
        <v>10912378.347097956</v>
      </c>
      <c r="BS8" s="82">
        <f>'Balance Sheet'!BS35</f>
        <v>16812184.523483396</v>
      </c>
      <c r="BT8" s="82">
        <f>'Balance Sheet'!BT35</f>
        <v>22744697.33719686</v>
      </c>
      <c r="BU8" s="82">
        <f>'Balance Sheet'!BU35</f>
        <v>28710093.94919055</v>
      </c>
      <c r="BV8" s="82">
        <f>'Balance Sheet'!BV35</f>
        <v>34708552.480038494</v>
      </c>
      <c r="BW8" s="82">
        <f>'Balance Sheet'!BW35</f>
        <v>41064983.497610427</v>
      </c>
      <c r="BX8" s="82">
        <f>'Balance Sheet'!BX35</f>
        <v>47454835.574870065</v>
      </c>
      <c r="BY8" s="82">
        <f>'Balance Sheet'!BY35</f>
        <v>53878289.742557421</v>
      </c>
      <c r="BZ8" s="82">
        <f>'Balance Sheet'!BZ35</f>
        <v>60335528.011995599</v>
      </c>
      <c r="CA8" s="82">
        <f>'Balance Sheet'!CA35</f>
        <v>66826733.380402431</v>
      </c>
      <c r="CB8" s="82">
        <f>'Balance Sheet'!CB35</f>
        <v>73352089.836230665</v>
      </c>
      <c r="CC8" s="82">
        <f>'Balance Sheet'!CC35</f>
        <v>79911782.364537179</v>
      </c>
      <c r="CD8" s="82">
        <f>'Balance Sheet'!CD35</f>
        <v>86505996.952381209</v>
      </c>
      <c r="CE8" s="82">
        <f>'Balance Sheet'!CE35</f>
        <v>93134920.594251931</v>
      </c>
      <c r="CF8" s="82">
        <f>'Balance Sheet'!CF35</f>
        <v>99798741.297525316</v>
      </c>
      <c r="CG8" s="82">
        <f>'Balance Sheet'!CG35</f>
        <v>106497648.08795063</v>
      </c>
      <c r="CH8" s="82">
        <f>'Balance Sheet'!CH35</f>
        <v>113231831.01516663</v>
      </c>
      <c r="CI8" s="82">
        <f>'Balance Sheet'!CI35</f>
        <v>120001481.15824756</v>
      </c>
      <c r="CJ8" s="82">
        <f>'Balance Sheet'!CJ35</f>
        <v>126806790.63127939</v>
      </c>
      <c r="CK8" s="82">
        <f>'Balance Sheet'!CK35</f>
        <v>133647952.58896601</v>
      </c>
      <c r="CL8" s="82">
        <f>'Balance Sheet'!CL35</f>
        <v>140525161.23226598</v>
      </c>
      <c r="CM8" s="82">
        <f>'Balance Sheet'!CM35</f>
        <v>147438611.81405964</v>
      </c>
      <c r="CN8" s="82">
        <f>'Balance Sheet'!CN35</f>
        <v>154348557.32250339</v>
      </c>
      <c r="CO8" s="82">
        <f>'Balance Sheet'!CO35</f>
        <v>161295138.45378974</v>
      </c>
      <c r="CP8" s="82">
        <f>'Balance Sheet'!CP35</f>
        <v>168278553.65087575</v>
      </c>
      <c r="CQ8" s="82">
        <f>'Balance Sheet'!CQ35</f>
        <v>175299002.43161792</v>
      </c>
      <c r="CR8" s="82">
        <f>'Balance Sheet'!CR35</f>
        <v>182356685.39459431</v>
      </c>
      <c r="CS8" s="82">
        <f>'Balance Sheet'!CS35</f>
        <v>189451804.22495875</v>
      </c>
      <c r="CT8" s="82">
        <f>'Balance Sheet'!CT35</f>
        <v>196584561.7003262</v>
      </c>
      <c r="CU8" s="82">
        <f>'Balance Sheet'!CU35</f>
        <v>204372810.87635502</v>
      </c>
      <c r="CV8" s="82">
        <f>'Balance Sheet'!CV35</f>
        <v>212199107.55370271</v>
      </c>
      <c r="CW8" s="82">
        <f>'Balance Sheet'!CW35</f>
        <v>220063657.82300138</v>
      </c>
      <c r="CX8" s="82">
        <f>'Balance Sheet'!CX35</f>
        <v>227966668.89120749</v>
      </c>
      <c r="CY8" s="82">
        <f>'Balance Sheet'!CY35</f>
        <v>235908349.08764842</v>
      </c>
      <c r="CZ8" s="82">
        <f>'Balance Sheet'!CZ35</f>
        <v>243888907.87010208</v>
      </c>
      <c r="DA8" s="82">
        <f>'Balance Sheet'!DA35</f>
        <v>251908555.83090949</v>
      </c>
      <c r="DB8" s="82">
        <f>'Balance Sheet'!DB35</f>
        <v>259967504.70311993</v>
      </c>
      <c r="DC8" s="82">
        <f>'Balance Sheet'!DC35</f>
        <v>268065967.36667025</v>
      </c>
      <c r="DD8" s="82">
        <f>'Balance Sheet'!DD35</f>
        <v>276204157.85459685</v>
      </c>
      <c r="DE8" s="82">
        <f>'Balance Sheet'!DE35</f>
        <v>284382291.35928178</v>
      </c>
      <c r="DF8" s="82">
        <f>'Balance Sheet'!DF35</f>
        <v>292600584.2387324</v>
      </c>
      <c r="DG8" s="82">
        <f>'Balance Sheet'!DG35</f>
        <v>300819310.70055157</v>
      </c>
      <c r="DH8" s="82">
        <f>'Balance Sheet'!DH35</f>
        <v>309078632.77531695</v>
      </c>
      <c r="DI8" s="82">
        <f>'Balance Sheet'!DI35</f>
        <v>317378770.35593212</v>
      </c>
      <c r="DJ8" s="82">
        <f>'Balance Sheet'!DJ35</f>
        <v>325719944.52638698</v>
      </c>
      <c r="DK8" s="82">
        <f>'Balance Sheet'!DK35</f>
        <v>334102377.56820989</v>
      </c>
      <c r="DL8" s="82">
        <f>'Balance Sheet'!DL35</f>
        <v>342526292.96695417</v>
      </c>
      <c r="DM8" s="82">
        <f>'Balance Sheet'!DM35</f>
        <v>350991915.41871965</v>
      </c>
      <c r="DN8" s="82">
        <f>'Balance Sheet'!DN35</f>
        <v>359499470.83671027</v>
      </c>
      <c r="DO8" s="82">
        <f>'Balance Sheet'!DO35</f>
        <v>368049186.35782641</v>
      </c>
      <c r="DP8" s="82">
        <f>'Balance Sheet'!DP35</f>
        <v>376641290.34929335</v>
      </c>
      <c r="DQ8" s="82">
        <f>'Balance Sheet'!DQ35</f>
        <v>385276012.41532546</v>
      </c>
      <c r="DR8" s="82">
        <f>'Balance Sheet'!DR35</f>
        <v>393953583.40382665</v>
      </c>
      <c r="DS8" s="82">
        <f>'Balance Sheet'!DS35</f>
        <v>406291884.59279162</v>
      </c>
      <c r="DT8" s="82">
        <f>'Balance Sheet'!DT35</f>
        <v>415630185.78175646</v>
      </c>
      <c r="DU8" s="82">
        <f>'Balance Sheet'!DU35</f>
        <v>424968486.9707213</v>
      </c>
      <c r="DV8" s="82">
        <f>'Balance Sheet'!DV35</f>
        <v>436506788.15968621</v>
      </c>
      <c r="DW8" s="82">
        <f>'Balance Sheet'!DW35</f>
        <v>445845089.34865111</v>
      </c>
      <c r="DX8" s="82">
        <f>'Balance Sheet'!DX35</f>
        <v>455183390.53761595</v>
      </c>
      <c r="DY8" s="82">
        <f>'Balance Sheet'!DY35</f>
        <v>466321691.7265808</v>
      </c>
      <c r="DZ8" s="82">
        <f>'Balance Sheet'!DZ35</f>
        <v>475659992.9155457</v>
      </c>
      <c r="EA8" s="82">
        <f>'Balance Sheet'!EA35</f>
        <v>484998294.10451061</v>
      </c>
      <c r="EB8" s="82">
        <f>'Balance Sheet'!EB35</f>
        <v>494336595.29347551</v>
      </c>
      <c r="EC8" s="82">
        <f>'Balance Sheet'!EC35</f>
        <v>503674896.48244041</v>
      </c>
      <c r="ED8" s="82">
        <f>'Balance Sheet'!ED35</f>
        <v>513013197.67140532</v>
      </c>
      <c r="EE8" s="82">
        <f>'Balance Sheet'!EE35</f>
        <v>522311555.53802627</v>
      </c>
      <c r="EF8" s="82">
        <f>'Balance Sheet'!EF35</f>
        <v>531609913.40464723</v>
      </c>
      <c r="EG8" s="82">
        <f>'Balance Sheet'!EG35</f>
        <v>540908271.27126825</v>
      </c>
      <c r="EH8" s="82">
        <f>'Balance Sheet'!EH35</f>
        <v>550206629.13788915</v>
      </c>
      <c r="EI8" s="82">
        <f>'Balance Sheet'!EI35</f>
        <v>559504987.00451016</v>
      </c>
      <c r="EJ8" s="82">
        <f>'Balance Sheet'!EJ35</f>
        <v>568803344.87113118</v>
      </c>
      <c r="EK8" s="82">
        <f>'Balance Sheet'!EK35</f>
        <v>579101702.73775208</v>
      </c>
      <c r="EL8" s="82">
        <f>'Balance Sheet'!EL35</f>
        <v>588400060.60437298</v>
      </c>
      <c r="EM8" s="82">
        <f>'Balance Sheet'!EM35</f>
        <v>597698418.470994</v>
      </c>
      <c r="EN8" s="82">
        <f>'Balance Sheet'!EN35</f>
        <v>606996776.33761501</v>
      </c>
      <c r="EO8" s="82">
        <f>'Balance Sheet'!EO35</f>
        <v>616295134.20423591</v>
      </c>
      <c r="EP8" s="82">
        <f>'Balance Sheet'!EP35</f>
        <v>627593492.07085681</v>
      </c>
      <c r="EQ8" s="82">
        <f>'Balance Sheet'!EQ35</f>
        <v>637509499.11714232</v>
      </c>
      <c r="ER8" s="82">
        <f>'Balance Sheet'!ER35</f>
        <v>647425506.16342783</v>
      </c>
      <c r="ES8" s="82">
        <f>'Balance Sheet'!ES35</f>
        <v>657341513.20971334</v>
      </c>
      <c r="ET8" s="82">
        <f>'Balance Sheet'!ET35</f>
        <v>667257520.25599885</v>
      </c>
      <c r="EU8" s="82">
        <f>'Balance Sheet'!EU35</f>
        <v>677173527.30228436</v>
      </c>
      <c r="EV8" s="82">
        <f>'Balance Sheet'!EV35</f>
        <v>687089534.34856987</v>
      </c>
      <c r="EW8" s="82">
        <f>'Balance Sheet'!EW35</f>
        <v>697005541.39485538</v>
      </c>
      <c r="EX8" s="82">
        <f>'Balance Sheet'!EX35</f>
        <v>706921548.44114089</v>
      </c>
      <c r="EY8" s="82">
        <f>'Balance Sheet'!EY35</f>
        <v>716837555.4874264</v>
      </c>
      <c r="EZ8" s="82">
        <f>'Balance Sheet'!EZ35</f>
        <v>727753562.53371191</v>
      </c>
      <c r="FA8" s="82">
        <f>'Balance Sheet'!FA35</f>
        <v>737669569.57999742</v>
      </c>
      <c r="FB8" s="82">
        <f>'Balance Sheet'!FB35</f>
        <v>747585576.62628293</v>
      </c>
      <c r="FC8" s="82">
        <f>'Balance Sheet'!FC35</f>
        <v>757461640.35022449</v>
      </c>
      <c r="FD8" s="82">
        <f>'Balance Sheet'!FD35</f>
        <v>767337704.07416606</v>
      </c>
      <c r="FE8" s="82">
        <f>'Balance Sheet'!FE35</f>
        <v>777213767.79810762</v>
      </c>
      <c r="FF8" s="82">
        <f>'Balance Sheet'!FF35</f>
        <v>787089831.52204919</v>
      </c>
      <c r="FG8" s="82">
        <f>'Balance Sheet'!FG35</f>
        <v>796965895.24599075</v>
      </c>
      <c r="FH8" s="82">
        <f>'Balance Sheet'!FH35</f>
        <v>808841958.96993232</v>
      </c>
      <c r="FI8" s="82">
        <f>'Balance Sheet'!FI35</f>
        <v>818718022.69387388</v>
      </c>
      <c r="FJ8" s="82">
        <f>'Balance Sheet'!FJ35</f>
        <v>828594086.41781545</v>
      </c>
      <c r="FK8" s="82">
        <f>'Balance Sheet'!FK35</f>
        <v>838470150.14175701</v>
      </c>
      <c r="FL8" s="82">
        <f>'Balance Sheet'!FL35</f>
        <v>848346213.86569858</v>
      </c>
      <c r="FM8" s="82">
        <f>'Balance Sheet'!FM35</f>
        <v>858222277.58964014</v>
      </c>
      <c r="FN8" s="82">
        <f>'Balance Sheet'!FN35</f>
        <v>868098341.31358171</v>
      </c>
      <c r="FO8" s="82">
        <f>'Balance Sheet'!FO35</f>
        <v>878592054.21718788</v>
      </c>
      <c r="FP8" s="82">
        <f>'Balance Sheet'!FP35</f>
        <v>889085767.12079406</v>
      </c>
      <c r="FQ8" s="82">
        <f>'Balance Sheet'!FQ35</f>
        <v>899579480.02440023</v>
      </c>
      <c r="FR8" s="82">
        <f>'Balance Sheet'!FR35</f>
        <v>910073192.92800641</v>
      </c>
      <c r="FS8" s="82">
        <f>'Balance Sheet'!FS35</f>
        <v>920566905.83161259</v>
      </c>
      <c r="FT8" s="82">
        <f>'Balance Sheet'!FT35</f>
        <v>931060618.73521876</v>
      </c>
      <c r="FU8" s="82">
        <f>'Balance Sheet'!FU35</f>
        <v>941554331.63882494</v>
      </c>
      <c r="FV8" s="82">
        <f>'Balance Sheet'!FV35</f>
        <v>952048044.54243112</v>
      </c>
      <c r="FW8" s="82">
        <f>'Balance Sheet'!FW35</f>
        <v>962541757.44603729</v>
      </c>
      <c r="FX8" s="82">
        <f>'Balance Sheet'!FX35</f>
        <v>973035470.34964347</v>
      </c>
      <c r="FY8" s="82">
        <f>'Balance Sheet'!FY35</f>
        <v>983529183.25324965</v>
      </c>
      <c r="FZ8" s="82">
        <f>'Balance Sheet'!FZ35</f>
        <v>994022896.15685582</v>
      </c>
      <c r="GA8" s="82">
        <f>'Balance Sheet'!GA35</f>
        <v>1006476665.7381181</v>
      </c>
      <c r="GB8" s="82">
        <f>'Balance Sheet'!GB35</f>
        <v>1016930435.3193803</v>
      </c>
      <c r="GC8" s="82">
        <f>'Balance Sheet'!GC35</f>
        <v>1027384204.9006425</v>
      </c>
      <c r="GD8" s="82">
        <f>'Balance Sheet'!GD35</f>
        <v>1040037974.4819047</v>
      </c>
      <c r="GE8" s="82">
        <f>'Balance Sheet'!GE35</f>
        <v>1050491744.063167</v>
      </c>
      <c r="GF8" s="82">
        <f>'Balance Sheet'!GF35</f>
        <v>1060945513.6444292</v>
      </c>
      <c r="GG8" s="82">
        <f>'Balance Sheet'!GG35</f>
        <v>1076513235.2256916</v>
      </c>
      <c r="GH8" s="82">
        <f>'Balance Sheet'!GH35</f>
        <v>1086967004.8069537</v>
      </c>
      <c r="GI8" s="82">
        <f>'Balance Sheet'!GI35</f>
        <v>1097420774.388216</v>
      </c>
      <c r="GJ8" s="82">
        <f>'Balance Sheet'!GJ35</f>
        <v>1107874543.9694784</v>
      </c>
      <c r="GK8" s="82">
        <f>'Balance Sheet'!GK35</f>
        <v>1118328313.5507405</v>
      </c>
      <c r="GL8" s="82">
        <f>'Balance Sheet'!GL35</f>
        <v>1128782083.1320026</v>
      </c>
      <c r="GM8" s="82">
        <f>'Balance Sheet'!GM35</f>
        <v>1144744055.917995</v>
      </c>
      <c r="GN8" s="82">
        <f>'Balance Sheet'!GN35</f>
        <v>1160706028.7039874</v>
      </c>
      <c r="GO8" s="82">
        <f>'Balance Sheet'!GO35</f>
        <v>1176668001.4899795</v>
      </c>
      <c r="GP8" s="82">
        <f>'Balance Sheet'!GP35</f>
        <v>1192629974.2759717</v>
      </c>
      <c r="GQ8" s="82">
        <f>'Balance Sheet'!GQ35</f>
        <v>1208591947.061964</v>
      </c>
      <c r="GR8" s="82">
        <f>'Balance Sheet'!GR35</f>
        <v>1224553919.8479564</v>
      </c>
      <c r="GS8" s="82">
        <f>'Balance Sheet'!GS35</f>
        <v>1240515892.6339486</v>
      </c>
      <c r="GT8" s="82">
        <f>'Balance Sheet'!GT35</f>
        <v>1256477865.4199407</v>
      </c>
      <c r="GU8" s="82">
        <f>'Balance Sheet'!GU35</f>
        <v>1272439838.2059331</v>
      </c>
      <c r="GV8" s="82">
        <f>'Balance Sheet'!GV35</f>
        <v>1288401810.9919255</v>
      </c>
      <c r="GW8" s="82">
        <f>'Balance Sheet'!GW35</f>
        <v>1304363783.7779176</v>
      </c>
      <c r="GX8" s="82">
        <f>'Balance Sheet'!GX35</f>
        <v>1320325756.56391</v>
      </c>
      <c r="GY8" s="82">
        <f>'Balance Sheet'!GY35</f>
        <v>1336247786.0275583</v>
      </c>
      <c r="GZ8" s="82">
        <f>'Balance Sheet'!GZ35</f>
        <v>1352169815.4912066</v>
      </c>
      <c r="HA8" s="82">
        <f>'Balance Sheet'!HA35</f>
        <v>1368091844.954855</v>
      </c>
      <c r="HB8" s="82">
        <f>'Balance Sheet'!HB35</f>
        <v>1384013874.4185033</v>
      </c>
      <c r="HC8" s="82">
        <f>'Balance Sheet'!HC35</f>
        <v>1399935903.8821516</v>
      </c>
      <c r="HD8" s="82">
        <f>'Balance Sheet'!HD35</f>
        <v>1415857933.3457999</v>
      </c>
      <c r="HE8" s="82">
        <f>'Balance Sheet'!HE35</f>
        <v>1431779962.8094482</v>
      </c>
      <c r="HF8" s="82">
        <f>'Balance Sheet'!HF35</f>
        <v>1447701992.2730966</v>
      </c>
      <c r="HG8" s="82">
        <f>'Balance Sheet'!HG35</f>
        <v>1463624021.7367449</v>
      </c>
      <c r="HH8" s="82">
        <f>'Balance Sheet'!HH35</f>
        <v>1479546051.2003932</v>
      </c>
      <c r="HI8" s="82">
        <f>'Balance Sheet'!HI35</f>
        <v>1495468080.6640415</v>
      </c>
      <c r="HJ8" s="82">
        <f>'Balance Sheet'!HJ35</f>
        <v>1511390110.1276898</v>
      </c>
      <c r="HK8" s="82">
        <f>'Balance Sheet'!HK35</f>
        <v>1527969732.0933466</v>
      </c>
      <c r="HL8" s="82">
        <f>'Balance Sheet'!HL35</f>
        <v>1544549354.0590034</v>
      </c>
      <c r="HM8" s="82">
        <f>'Balance Sheet'!HM35</f>
        <v>1561128976.0246601</v>
      </c>
      <c r="HN8" s="82">
        <f>'Balance Sheet'!HN35</f>
        <v>1577708597.9903169</v>
      </c>
      <c r="HO8" s="82">
        <f>'Balance Sheet'!HO35</f>
        <v>1594288219.9559736</v>
      </c>
      <c r="HP8" s="82">
        <f>'Balance Sheet'!HP35</f>
        <v>1610867841.9216304</v>
      </c>
      <c r="HQ8" s="82">
        <f>'Balance Sheet'!HQ35</f>
        <v>1627447463.8872871</v>
      </c>
      <c r="HR8" s="82">
        <f>'Balance Sheet'!HR35</f>
        <v>1644027085.8529439</v>
      </c>
      <c r="HS8" s="82">
        <f>'Balance Sheet'!HS35</f>
        <v>1660606707.8186007</v>
      </c>
      <c r="HT8" s="82">
        <f>'Balance Sheet'!HT35</f>
        <v>1677186329.7842574</v>
      </c>
      <c r="HU8" s="82">
        <f>'Balance Sheet'!HU35</f>
        <v>1693765951.7499142</v>
      </c>
      <c r="HV8" s="82">
        <f>'Balance Sheet'!HV35</f>
        <v>1710345573.7155709</v>
      </c>
      <c r="HW8" s="82">
        <f>'Balance Sheet'!HW35</f>
        <v>1726925195.6812277</v>
      </c>
      <c r="HX8" s="82">
        <f>'Balance Sheet'!HX35</f>
        <v>1743504817.6468844</v>
      </c>
      <c r="HY8" s="82">
        <f>'Balance Sheet'!HY35</f>
        <v>1760084439.6125412</v>
      </c>
      <c r="HZ8" s="82">
        <f>'Balance Sheet'!HZ35</f>
        <v>1776664061.578198</v>
      </c>
      <c r="IA8" s="82">
        <f>'Balance Sheet'!IA35</f>
        <v>1793243683.5438547</v>
      </c>
      <c r="IB8" s="82">
        <f>'Balance Sheet'!IB35</f>
        <v>1809823305.5095115</v>
      </c>
      <c r="IC8" s="82">
        <f>'Balance Sheet'!IC35</f>
        <v>1826402927.4751682</v>
      </c>
      <c r="ID8" s="82">
        <f>'Balance Sheet'!ID35</f>
        <v>1842982549.440825</v>
      </c>
      <c r="IE8" s="82">
        <f>'Balance Sheet'!IE35</f>
        <v>1859562171.4064817</v>
      </c>
      <c r="IF8" s="82">
        <f>'Balance Sheet'!IF35</f>
        <v>1876141793.3721385</v>
      </c>
      <c r="IG8" s="82">
        <f>'Balance Sheet'!IG35</f>
        <v>1892721415.3377953</v>
      </c>
      <c r="IH8" s="82">
        <f>'Balance Sheet'!IH35</f>
        <v>1909301037.303452</v>
      </c>
    </row>
    <row r="9" spans="1:242" ht="14.65" thickTop="1" x14ac:dyDescent="0.45">
      <c r="A9" s="77" t="s">
        <v>316</v>
      </c>
      <c r="B9" s="78"/>
      <c r="C9" s="96">
        <f>IF(C8=0,0,C7/C8)</f>
        <v>20.663840205121094</v>
      </c>
      <c r="D9" s="85">
        <f t="shared" ref="D9:BO9" si="0">IF(D8=0,0,D7/D8)</f>
        <v>23.444158874146172</v>
      </c>
      <c r="E9" s="85">
        <f t="shared" si="0"/>
        <v>27.115153987289279</v>
      </c>
      <c r="F9" s="85">
        <f t="shared" si="0"/>
        <v>32.187186448940956</v>
      </c>
      <c r="G9" s="85">
        <f t="shared" si="0"/>
        <v>39.652615177524247</v>
      </c>
      <c r="H9" s="85">
        <f t="shared" si="0"/>
        <v>51.73068473525008</v>
      </c>
      <c r="I9" s="85">
        <f t="shared" si="0"/>
        <v>27.632412848913649</v>
      </c>
      <c r="J9" s="85">
        <f t="shared" si="0"/>
        <v>23.903539736257354</v>
      </c>
      <c r="K9" s="85">
        <f t="shared" si="0"/>
        <v>27.74039409870629</v>
      </c>
      <c r="L9" s="85">
        <f t="shared" si="0"/>
        <v>23.89962496740679</v>
      </c>
      <c r="M9" s="85">
        <f t="shared" si="0"/>
        <v>27.736874327439143</v>
      </c>
      <c r="N9" s="85">
        <f t="shared" si="0"/>
        <v>23.809200454636649</v>
      </c>
      <c r="O9" s="85">
        <f t="shared" si="0"/>
        <v>11.400858118793053</v>
      </c>
      <c r="P9" s="85">
        <f t="shared" si="0"/>
        <v>13.407635018316777</v>
      </c>
      <c r="Q9" s="85">
        <f t="shared" si="0"/>
        <v>16.309997052825651</v>
      </c>
      <c r="R9" s="85">
        <f t="shared" si="0"/>
        <v>20.880540836873195</v>
      </c>
      <c r="S9" s="85">
        <f t="shared" si="0"/>
        <v>29.1392334889076</v>
      </c>
      <c r="T9" s="85">
        <f t="shared" si="0"/>
        <v>48.574573926970324</v>
      </c>
      <c r="U9" s="85">
        <f t="shared" si="0"/>
        <v>31.795507932987768</v>
      </c>
      <c r="V9" s="85">
        <f t="shared" si="0"/>
        <v>56.895947706806602</v>
      </c>
      <c r="W9" s="85">
        <f t="shared" si="0"/>
        <v>62.116508148715646</v>
      </c>
      <c r="X9" s="85">
        <f t="shared" si="0"/>
        <v>68.300742202016238</v>
      </c>
      <c r="Y9" s="85">
        <f t="shared" si="0"/>
        <v>2270.3372405290338</v>
      </c>
      <c r="Z9" s="85">
        <f t="shared" si="0"/>
        <v>-927.81502938516473</v>
      </c>
      <c r="AA9" s="85">
        <f t="shared" si="0"/>
        <v>-115.42109206457179</v>
      </c>
      <c r="AB9" s="85">
        <f t="shared" si="0"/>
        <v>-61.237820143689561</v>
      </c>
      <c r="AC9" s="85">
        <f t="shared" si="0"/>
        <v>-41.531518842200029</v>
      </c>
      <c r="AD9" s="85">
        <f t="shared" si="0"/>
        <v>-31.336413966073916</v>
      </c>
      <c r="AE9" s="85">
        <f t="shared" si="0"/>
        <v>-25.104343961436349</v>
      </c>
      <c r="AF9" s="85">
        <f t="shared" si="0"/>
        <v>-20.899870351510401</v>
      </c>
      <c r="AG9" s="85">
        <f t="shared" si="0"/>
        <v>-17.871391389111594</v>
      </c>
      <c r="AH9" s="85">
        <f t="shared" si="0"/>
        <v>-15.585632842633251</v>
      </c>
      <c r="AI9" s="85">
        <f t="shared" si="0"/>
        <v>-13.798876530259658</v>
      </c>
      <c r="AJ9" s="85">
        <f t="shared" si="0"/>
        <v>-12.363517706817541</v>
      </c>
      <c r="AK9" s="85">
        <f t="shared" si="0"/>
        <v>-11.184937451015109</v>
      </c>
      <c r="AL9" s="85">
        <f t="shared" si="0"/>
        <v>-10.199685068872599</v>
      </c>
      <c r="AM9" s="85">
        <f t="shared" si="0"/>
        <v>-9.8978220270485568</v>
      </c>
      <c r="AN9" s="85">
        <f t="shared" si="0"/>
        <v>-9.6123116150589656</v>
      </c>
      <c r="AO9" s="85">
        <f t="shared" si="0"/>
        <v>-9.341818422889979</v>
      </c>
      <c r="AP9" s="85">
        <f t="shared" si="0"/>
        <v>-9.0851468505215571</v>
      </c>
      <c r="AQ9" s="85">
        <f t="shared" si="0"/>
        <v>-8.8412231910630972</v>
      </c>
      <c r="AR9" s="85">
        <f t="shared" si="0"/>
        <v>-8.6090803950032235</v>
      </c>
      <c r="AS9" s="85">
        <f t="shared" si="0"/>
        <v>-8.3878450585058939</v>
      </c>
      <c r="AT9" s="85">
        <f t="shared" si="0"/>
        <v>-8.1767262655866126</v>
      </c>
      <c r="AU9" s="85">
        <f t="shared" si="0"/>
        <v>-7.9750059827450341</v>
      </c>
      <c r="AV9" s="85">
        <f t="shared" si="0"/>
        <v>-7.7820307593335221</v>
      </c>
      <c r="AW9" s="85">
        <f t="shared" si="0"/>
        <v>-7.597204530720191</v>
      </c>
      <c r="AX9" s="85">
        <f t="shared" si="0"/>
        <v>-7.4199823565305092</v>
      </c>
      <c r="AY9" s="85">
        <f t="shared" si="0"/>
        <v>-7.6245747565884132</v>
      </c>
      <c r="AZ9" s="85">
        <f t="shared" si="0"/>
        <v>-7.8487673261841318</v>
      </c>
      <c r="BA9" s="85">
        <f t="shared" si="0"/>
        <v>-8.0954174929210936</v>
      </c>
      <c r="BB9" s="85">
        <f t="shared" si="0"/>
        <v>-8.3679677142748385</v>
      </c>
      <c r="BC9" s="85">
        <f t="shared" si="0"/>
        <v>-8.6706032601088339</v>
      </c>
      <c r="BD9" s="85">
        <f t="shared" si="0"/>
        <v>-9.0084639717151536</v>
      </c>
      <c r="BE9" s="85">
        <f t="shared" si="0"/>
        <v>-9.3879328424860891</v>
      </c>
      <c r="BF9" s="85">
        <f t="shared" si="0"/>
        <v>-9.8170360267367993</v>
      </c>
      <c r="BG9" s="85">
        <f t="shared" si="0"/>
        <v>-10.306007925208725</v>
      </c>
      <c r="BH9" s="85">
        <f t="shared" si="0"/>
        <v>-10.868106695879513</v>
      </c>
      <c r="BI9" s="85">
        <f t="shared" si="0"/>
        <v>-11.520819991844309</v>
      </c>
      <c r="BJ9" s="85">
        <f t="shared" si="0"/>
        <v>-12.287697652564811</v>
      </c>
      <c r="BK9" s="85">
        <f t="shared" si="0"/>
        <v>-15.055002607864186</v>
      </c>
      <c r="BL9" s="85">
        <f t="shared" si="0"/>
        <v>-18.100719680575867</v>
      </c>
      <c r="BM9" s="85">
        <f t="shared" si="0"/>
        <v>-22.897605103187026</v>
      </c>
      <c r="BN9" s="85">
        <f t="shared" si="0"/>
        <v>-34.442570622973228</v>
      </c>
      <c r="BO9" s="85">
        <f t="shared" si="0"/>
        <v>-60.388529805450545</v>
      </c>
      <c r="BP9" s="85">
        <f t="shared" ref="BP9:EA9" si="1">IF(BP8=0,0,BP7/BP8)</f>
        <v>-276.40660119001024</v>
      </c>
      <c r="BQ9" s="85">
        <f t="shared" si="1"/>
        <v>85.7086263303772</v>
      </c>
      <c r="BR9" s="85">
        <f t="shared" si="1"/>
        <v>38.978063920133884</v>
      </c>
      <c r="BS9" s="85">
        <f t="shared" si="1"/>
        <v>24.877176200072082</v>
      </c>
      <c r="BT9" s="85">
        <f t="shared" si="1"/>
        <v>18.074432390648035</v>
      </c>
      <c r="BU9" s="85">
        <f t="shared" si="1"/>
        <v>14.068801924798112</v>
      </c>
      <c r="BV9" s="85">
        <f t="shared" si="1"/>
        <v>11.42936916234467</v>
      </c>
      <c r="BW9" s="85">
        <f t="shared" si="1"/>
        <v>9.4834565491857727</v>
      </c>
      <c r="BX9" s="85">
        <f t="shared" si="1"/>
        <v>8.0527050716171651</v>
      </c>
      <c r="BY9" s="85">
        <f t="shared" si="1"/>
        <v>6.9564582216734685</v>
      </c>
      <c r="BZ9" s="85">
        <f t="shared" si="1"/>
        <v>6.0896890156826622</v>
      </c>
      <c r="CA9" s="85">
        <f t="shared" si="1"/>
        <v>5.3871729654749014</v>
      </c>
      <c r="CB9" s="85">
        <f t="shared" si="1"/>
        <v>4.8062647393271876</v>
      </c>
      <c r="CC9" s="85">
        <f t="shared" si="1"/>
        <v>4.3179059313224251</v>
      </c>
      <c r="CD9" s="85">
        <f t="shared" si="1"/>
        <v>3.9016132161453152</v>
      </c>
      <c r="CE9" s="85">
        <f t="shared" si="1"/>
        <v>3.5425325606091378</v>
      </c>
      <c r="CF9" s="85">
        <f t="shared" si="1"/>
        <v>3.2296297220550958</v>
      </c>
      <c r="CG9" s="85">
        <f t="shared" si="1"/>
        <v>2.9545365686575757</v>
      </c>
      <c r="CH9" s="85">
        <f t="shared" si="1"/>
        <v>2.7107917119794869</v>
      </c>
      <c r="CI9" s="85">
        <f t="shared" si="1"/>
        <v>2.4933266933063996</v>
      </c>
      <c r="CJ9" s="85">
        <f t="shared" si="1"/>
        <v>2.2981098233345305</v>
      </c>
      <c r="CK9" s="85">
        <f t="shared" si="1"/>
        <v>2.1218939859171062</v>
      </c>
      <c r="CL9" s="85">
        <f t="shared" si="1"/>
        <v>1.9620346431833178</v>
      </c>
      <c r="CM9" s="85">
        <f t="shared" si="1"/>
        <v>1.8163562546806145</v>
      </c>
      <c r="CN9" s="85">
        <f t="shared" si="1"/>
        <v>1.6834882742182213</v>
      </c>
      <c r="CO9" s="85">
        <f t="shared" si="1"/>
        <v>1.5613851088225357</v>
      </c>
      <c r="CP9" s="85">
        <f t="shared" si="1"/>
        <v>1.4487902869087457</v>
      </c>
      <c r="CQ9" s="85">
        <f t="shared" si="1"/>
        <v>1.3446355572483433</v>
      </c>
      <c r="CR9" s="85">
        <f t="shared" si="1"/>
        <v>1.2480069167865242</v>
      </c>
      <c r="CS9" s="85">
        <f t="shared" si="1"/>
        <v>1.158117740131219</v>
      </c>
      <c r="CT9" s="85">
        <f t="shared" si="1"/>
        <v>1.0742873370390782</v>
      </c>
      <c r="CU9" s="85">
        <f t="shared" si="1"/>
        <v>0.9929138505665297</v>
      </c>
      <c r="CV9" s="85">
        <f t="shared" si="1"/>
        <v>0.91713921129072351</v>
      </c>
      <c r="CW9" s="85">
        <f t="shared" si="1"/>
        <v>0.84640347840822194</v>
      </c>
      <c r="CX9" s="85">
        <f t="shared" si="1"/>
        <v>0.78021897513894567</v>
      </c>
      <c r="CY9" s="85">
        <f t="shared" si="1"/>
        <v>0.71815899541844108</v>
      </c>
      <c r="CZ9" s="85">
        <f t="shared" si="1"/>
        <v>0.65984856428089989</v>
      </c>
      <c r="DA9" s="85">
        <f t="shared" si="1"/>
        <v>0.60495682904188297</v>
      </c>
      <c r="DB9" s="85">
        <f t="shared" si="1"/>
        <v>0.55319075506658244</v>
      </c>
      <c r="DC9" s="85">
        <f t="shared" si="1"/>
        <v>0.50428987241320411</v>
      </c>
      <c r="DD9" s="85">
        <f t="shared" si="1"/>
        <v>0.45802187450599818</v>
      </c>
      <c r="DE9" s="85">
        <f t="shared" si="1"/>
        <v>0.41417891186106726</v>
      </c>
      <c r="DF9" s="85">
        <f t="shared" si="1"/>
        <v>0.37257445609328022</v>
      </c>
      <c r="DG9" s="85">
        <f t="shared" si="1"/>
        <v>0.3330848561175076</v>
      </c>
      <c r="DH9" s="85">
        <f t="shared" si="1"/>
        <v>0.29550231199758159</v>
      </c>
      <c r="DI9" s="85">
        <f t="shared" si="1"/>
        <v>0.25969136496321304</v>
      </c>
      <c r="DJ9" s="85">
        <f t="shared" si="1"/>
        <v>0.2255290917472807</v>
      </c>
      <c r="DK9" s="85">
        <f t="shared" si="1"/>
        <v>0.19290368731397919</v>
      </c>
      <c r="DL9" s="85">
        <f t="shared" si="1"/>
        <v>0.16171323562023493</v>
      </c>
      <c r="DM9" s="85">
        <f t="shared" si="1"/>
        <v>0.13186463993534031</v>
      </c>
      <c r="DN9" s="85">
        <f t="shared" si="1"/>
        <v>0.10327268906757621</v>
      </c>
      <c r="DO9" s="85">
        <f t="shared" si="1"/>
        <v>7.5859239770148648E-2</v>
      </c>
      <c r="DP9" s="85">
        <f t="shared" si="1"/>
        <v>4.9552498804947429E-2</v>
      </c>
      <c r="DQ9" s="85">
        <f t="shared" si="1"/>
        <v>2.4286390774279583E-2</v>
      </c>
      <c r="DR9" s="85">
        <f t="shared" si="1"/>
        <v>-2.3640413841871712E-16</v>
      </c>
      <c r="DS9" s="85">
        <f t="shared" si="1"/>
        <v>-2.2922500053105958E-16</v>
      </c>
      <c r="DT9" s="85">
        <f t="shared" si="1"/>
        <v>-2.2407481614064177E-16</v>
      </c>
      <c r="DU9" s="85">
        <f t="shared" si="1"/>
        <v>-2.191509731119529E-16</v>
      </c>
      <c r="DV9" s="85">
        <f t="shared" si="1"/>
        <v>-2.1335809656980066E-16</v>
      </c>
      <c r="DW9" s="85">
        <f t="shared" si="1"/>
        <v>-2.0888927496679991E-16</v>
      </c>
      <c r="DX9" s="85">
        <f t="shared" si="1"/>
        <v>-2.0460381331478193E-16</v>
      </c>
      <c r="DY9" s="85">
        <f t="shared" si="1"/>
        <v>-1.9971676015482087E-16</v>
      </c>
      <c r="DZ9" s="85">
        <f t="shared" si="1"/>
        <v>-1.9579586017040466E-16</v>
      </c>
      <c r="EA9" s="85">
        <f t="shared" si="1"/>
        <v>-1.9202594853143773E-16</v>
      </c>
      <c r="EB9" s="85">
        <f t="shared" ref="EB9:GI9" si="2">IF(EB8=0,0,EB7/EB8)</f>
        <v>-1.8839846846915614E-16</v>
      </c>
      <c r="EC9" s="85">
        <f t="shared" si="2"/>
        <v>-1.8490549779622521E-16</v>
      </c>
      <c r="ED9" s="85">
        <f t="shared" si="2"/>
        <v>-1.8153969115079341E-16</v>
      </c>
      <c r="EE9" s="85">
        <f t="shared" si="2"/>
        <v>-1.7830786333190261E-16</v>
      </c>
      <c r="EF9" s="85">
        <f t="shared" si="2"/>
        <v>-1.75189090935289E-16</v>
      </c>
      <c r="EG9" s="85">
        <f t="shared" si="2"/>
        <v>-1.7217754360210467E-16</v>
      </c>
      <c r="EH9" s="85">
        <f t="shared" si="2"/>
        <v>-1.6926778510007314E-16</v>
      </c>
      <c r="EI9" s="85">
        <f t="shared" si="2"/>
        <v>-1.6645474057373704E-16</v>
      </c>
      <c r="EJ9" s="85">
        <f t="shared" si="2"/>
        <v>-1.6373366700691259E-16</v>
      </c>
      <c r="EK9" s="85">
        <f t="shared" si="2"/>
        <v>-1.6082193683986294E-16</v>
      </c>
      <c r="EL9" s="85">
        <f t="shared" si="2"/>
        <v>-1.5828050283660302E-16</v>
      </c>
      <c r="EM9" s="85">
        <f t="shared" si="2"/>
        <v>-1.558181427011213E-16</v>
      </c>
      <c r="EN9" s="85">
        <f t="shared" si="2"/>
        <v>-1.5343122252390213E-16</v>
      </c>
      <c r="EO9" s="85">
        <f t="shared" si="2"/>
        <v>-1.5111632770198778E-16</v>
      </c>
      <c r="EP9" s="85">
        <f t="shared" si="2"/>
        <v>-1.4839583048294739E-16</v>
      </c>
      <c r="EQ9" s="85">
        <f t="shared" si="2"/>
        <v>-1.4608763883600549E-16</v>
      </c>
      <c r="ER9" s="85">
        <f t="shared" si="2"/>
        <v>-1.4385015198650318E-16</v>
      </c>
      <c r="ES9" s="85">
        <f t="shared" si="2"/>
        <v>-1.4168017018550238E-16</v>
      </c>
      <c r="ET9" s="85">
        <f t="shared" si="2"/>
        <v>-1.3957468388788918E-16</v>
      </c>
      <c r="EU9" s="85">
        <f t="shared" si="2"/>
        <v>-1.3753085982638306E-16</v>
      </c>
      <c r="EV9" s="85">
        <f t="shared" si="2"/>
        <v>-1.3554602829141709E-16</v>
      </c>
      <c r="EW9" s="85">
        <f t="shared" si="2"/>
        <v>-1.3361767149680119E-16</v>
      </c>
      <c r="EX9" s="85">
        <f t="shared" si="2"/>
        <v>-1.3174341292455616E-16</v>
      </c>
      <c r="EY9" s="85">
        <f t="shared" si="2"/>
        <v>-1.2992100755410468E-16</v>
      </c>
      <c r="EZ9" s="85">
        <f t="shared" si="2"/>
        <v>-1.2797224535363737E-16</v>
      </c>
      <c r="FA9" s="85">
        <f t="shared" si="2"/>
        <v>-1.2625199859413207E-16</v>
      </c>
      <c r="FB9" s="85">
        <f t="shared" si="2"/>
        <v>-1.2457738668773775E-16</v>
      </c>
      <c r="FC9" s="85">
        <f t="shared" si="2"/>
        <v>-1.2295310085734065E-16</v>
      </c>
      <c r="FD9" s="85">
        <f t="shared" si="2"/>
        <v>-1.213706259539493E-16</v>
      </c>
      <c r="FE9" s="85">
        <f t="shared" si="2"/>
        <v>-1.1982836810186344E-16</v>
      </c>
      <c r="FF9" s="85">
        <f t="shared" si="2"/>
        <v>-1.1832481342244209E-16</v>
      </c>
      <c r="FG9" s="85">
        <f t="shared" si="2"/>
        <v>-1.1685852307745457E-16</v>
      </c>
      <c r="FH9" s="85">
        <f t="shared" si="2"/>
        <v>-1.1514271289802106E-16</v>
      </c>
      <c r="FI9" s="85">
        <f t="shared" si="2"/>
        <v>-1.1375376488611983E-16</v>
      </c>
      <c r="FJ9" s="85">
        <f t="shared" si="2"/>
        <v>-1.1239792678726199E-16</v>
      </c>
      <c r="FK9" s="85">
        <f t="shared" si="2"/>
        <v>-1.1107402862916745E-16</v>
      </c>
      <c r="FL9" s="85">
        <f t="shared" si="2"/>
        <v>-1.0978095492071305E-16</v>
      </c>
      <c r="FM9" s="85">
        <f t="shared" si="2"/>
        <v>-1.0851764151720044E-16</v>
      </c>
      <c r="FN9" s="85">
        <f t="shared" si="2"/>
        <v>-1.0728307269960079E-16</v>
      </c>
      <c r="FO9" s="85">
        <f t="shared" si="2"/>
        <v>-1.0600170695207035E-16</v>
      </c>
      <c r="FP9" s="85">
        <f t="shared" si="2"/>
        <v>-1.0475058864472251E-16</v>
      </c>
      <c r="FQ9" s="85">
        <f t="shared" si="2"/>
        <v>-1.0352865925645805E-16</v>
      </c>
      <c r="FR9" s="85">
        <f t="shared" si="2"/>
        <v>-1.0233490908781807E-16</v>
      </c>
      <c r="FS9" s="85">
        <f t="shared" si="2"/>
        <v>-1.0116837447834924E-16</v>
      </c>
      <c r="FT9" s="85">
        <f t="shared" si="2"/>
        <v>-1.0002813521214285E-16</v>
      </c>
      <c r="FU9" s="85">
        <f t="shared" si="2"/>
        <v>-9.8913312096866732E-17</v>
      </c>
      <c r="FV9" s="85">
        <f t="shared" si="2"/>
        <v>-9.7823064702904403E-17</v>
      </c>
      <c r="FW9" s="85">
        <f t="shared" si="2"/>
        <v>-9.6756589250382833E-17</v>
      </c>
      <c r="FX9" s="85">
        <f t="shared" si="2"/>
        <v>-9.5713116632924374E-17</v>
      </c>
      <c r="FY9" s="85">
        <f t="shared" si="2"/>
        <v>-9.4691910567911596E-17</v>
      </c>
      <c r="FZ9" s="85">
        <f t="shared" si="2"/>
        <v>-9.3692265863915953E-17</v>
      </c>
      <c r="GA9" s="85">
        <f t="shared" si="2"/>
        <v>-9.2532952458711607E-17</v>
      </c>
      <c r="GB9" s="85">
        <f t="shared" si="2"/>
        <v>-9.1581738757084645E-17</v>
      </c>
      <c r="GC9" s="85">
        <f t="shared" si="2"/>
        <v>-9.0649882504816785E-17</v>
      </c>
      <c r="GD9" s="85">
        <f t="shared" si="2"/>
        <v>-8.9546977847555731E-17</v>
      </c>
      <c r="GE9" s="85">
        <f t="shared" si="2"/>
        <v>-8.8655868061679626E-17</v>
      </c>
      <c r="GF9" s="85">
        <f t="shared" si="2"/>
        <v>-8.778231894457181E-17</v>
      </c>
      <c r="GG9" s="85">
        <f t="shared" si="2"/>
        <v>-8.6512877328463711E-17</v>
      </c>
      <c r="GH9" s="85">
        <f t="shared" si="2"/>
        <v>-8.5680850522310218E-17</v>
      </c>
      <c r="GI9" s="85">
        <f t="shared" si="2"/>
        <v>-8.4864675095536352E-17</v>
      </c>
      <c r="GJ9" s="85">
        <f t="shared" ref="GJ9:IH9" si="3">IF(GJ8=0,0,GJ7/GJ8)</f>
        <v>-8.4063902333072846E-17</v>
      </c>
      <c r="GK9" s="85">
        <f t="shared" si="3"/>
        <v>-8.3278100297620941E-17</v>
      </c>
      <c r="GL9" s="85">
        <f t="shared" si="3"/>
        <v>-8.2506853052748829E-17</v>
      </c>
      <c r="GM9" s="85">
        <f t="shared" si="3"/>
        <v>-8.1356401878726578E-17</v>
      </c>
      <c r="GN9" s="85">
        <f t="shared" si="3"/>
        <v>-8.0237592601751877E-17</v>
      </c>
      <c r="GO9" s="85">
        <f t="shared" si="3"/>
        <v>-7.9149137516799357E-17</v>
      </c>
      <c r="GP9" s="85">
        <f t="shared" si="3"/>
        <v>-7.808981785661315E-17</v>
      </c>
      <c r="GQ9" s="85">
        <f t="shared" si="3"/>
        <v>-7.7058479239373084E-17</v>
      </c>
      <c r="GR9" s="85">
        <f t="shared" si="3"/>
        <v>-7.6054027472396956E-17</v>
      </c>
      <c r="GS9" s="85">
        <f t="shared" si="3"/>
        <v>-7.5075424679810469E-17</v>
      </c>
      <c r="GT9" s="85">
        <f t="shared" si="3"/>
        <v>-7.4121685725375785E-17</v>
      </c>
      <c r="GU9" s="85">
        <f t="shared" si="3"/>
        <v>-7.3191874904560496E-17</v>
      </c>
      <c r="GV9" s="85">
        <f t="shared" si="3"/>
        <v>-7.2285102882497828E-17</v>
      </c>
      <c r="GW9" s="85">
        <f t="shared" si="3"/>
        <v>-7.1400523856774496E-17</v>
      </c>
      <c r="GX9" s="85">
        <f t="shared" si="3"/>
        <v>-7.0537332926020075E-17</v>
      </c>
      <c r="GY9" s="85">
        <f t="shared" si="3"/>
        <v>-6.9696846973580032E-17</v>
      </c>
      <c r="GZ9" s="85">
        <f t="shared" si="3"/>
        <v>-6.8876154751106778E-17</v>
      </c>
      <c r="HA9" s="85">
        <f t="shared" si="3"/>
        <v>-6.8074565172648243E-17</v>
      </c>
      <c r="HB9" s="85">
        <f t="shared" si="3"/>
        <v>-6.7291418953930351E-17</v>
      </c>
      <c r="HC9" s="85">
        <f t="shared" si="3"/>
        <v>-6.6526086803891161E-17</v>
      </c>
      <c r="HD9" s="85">
        <f t="shared" si="3"/>
        <v>-6.5777967738237647E-17</v>
      </c>
      <c r="HE9" s="85">
        <f t="shared" si="3"/>
        <v>-6.504648750552641E-17</v>
      </c>
      <c r="HF9" s="85">
        <f t="shared" si="3"/>
        <v>-6.4331097117105617E-17</v>
      </c>
      <c r="HG9" s="85">
        <f t="shared" si="3"/>
        <v>-6.3631271473008874E-17</v>
      </c>
      <c r="HH9" s="85">
        <f t="shared" si="3"/>
        <v>-6.2946508076573412E-17</v>
      </c>
      <c r="HI9" s="85">
        <f t="shared" si="3"/>
        <v>-6.2276325831169716E-17</v>
      </c>
      <c r="HJ9" s="85">
        <f t="shared" si="3"/>
        <v>-6.162026391298774E-17</v>
      </c>
      <c r="HK9" s="85">
        <f t="shared" si="3"/>
        <v>-6.0951637657085623E-17</v>
      </c>
      <c r="HL9" s="85">
        <f t="shared" si="3"/>
        <v>-6.0297365841240771E-17</v>
      </c>
      <c r="HM9" s="85">
        <f t="shared" si="3"/>
        <v>-5.9656991121069749E-17</v>
      </c>
      <c r="HN9" s="85">
        <f t="shared" si="3"/>
        <v>-5.9030075376517313E-17</v>
      </c>
      <c r="HO9" s="85">
        <f t="shared" si="3"/>
        <v>-5.8416198712250222E-17</v>
      </c>
      <c r="HP9" s="85">
        <f t="shared" si="3"/>
        <v>-5.7814958519780785E-17</v>
      </c>
      <c r="HQ9" s="85">
        <f t="shared" si="3"/>
        <v>-5.7225968596918071E-17</v>
      </c>
      <c r="HR9" s="85">
        <f t="shared" si="3"/>
        <v>-5.6648858320499961E-17</v>
      </c>
      <c r="HS9" s="85">
        <f t="shared" si="3"/>
        <v>-5.6083271868682179E-17</v>
      </c>
      <c r="HT9" s="85">
        <f t="shared" si="3"/>
        <v>-5.5528867489355105E-17</v>
      </c>
      <c r="HU9" s="85">
        <f t="shared" si="3"/>
        <v>-5.4985316811527746E-17</v>
      </c>
      <c r="HV9" s="85">
        <f t="shared" si="3"/>
        <v>-5.4452304196763264E-17</v>
      </c>
      <c r="HW9" s="85">
        <f t="shared" si="3"/>
        <v>-5.3929526127974275E-17</v>
      </c>
      <c r="HX9" s="85">
        <f t="shared" si="3"/>
        <v>-5.3416690633091277E-17</v>
      </c>
      <c r="HY9" s="85">
        <f t="shared" si="3"/>
        <v>-5.2913516741304558E-17</v>
      </c>
      <c r="HZ9" s="85">
        <f t="shared" si="3"/>
        <v>-5.2419733969751788E-17</v>
      </c>
      <c r="IA9" s="85">
        <f t="shared" si="3"/>
        <v>-5.1935081838680989E-17</v>
      </c>
      <c r="IB9" s="85">
        <f t="shared" si="3"/>
        <v>-5.1459309413262715E-17</v>
      </c>
      <c r="IC9" s="85">
        <f t="shared" si="3"/>
        <v>-5.0992174870358162E-17</v>
      </c>
      <c r="ID9" s="85">
        <f t="shared" si="3"/>
        <v>-5.0533445088671559E-17</v>
      </c>
      <c r="IE9" s="85">
        <f t="shared" si="3"/>
        <v>-5.0082895260827541E-17</v>
      </c>
      <c r="IF9" s="85">
        <f t="shared" si="3"/>
        <v>-4.9640308526017032E-17</v>
      </c>
      <c r="IG9" s="85">
        <f t="shared" si="3"/>
        <v>-4.9205475621950668E-17</v>
      </c>
      <c r="IH9" s="85">
        <f t="shared" si="3"/>
        <v>-4.8778194554945926E-17</v>
      </c>
    </row>
    <row r="10" spans="1:242" x14ac:dyDescent="0.45">
      <c r="A10" s="77"/>
      <c r="B10" s="78"/>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4"/>
      <c r="BJ10" s="84"/>
      <c r="BK10" s="84"/>
      <c r="BL10" s="84"/>
      <c r="BM10" s="84"/>
      <c r="BN10" s="84"/>
      <c r="BO10" s="84"/>
      <c r="BP10" s="84"/>
      <c r="BQ10" s="84"/>
      <c r="BR10" s="84"/>
      <c r="BS10" s="84"/>
      <c r="BT10" s="84"/>
      <c r="BU10" s="84"/>
      <c r="BV10" s="84"/>
      <c r="BW10" s="84"/>
      <c r="BX10" s="84"/>
      <c r="BY10" s="84"/>
      <c r="BZ10" s="84"/>
      <c r="CA10" s="84"/>
      <c r="CB10" s="84"/>
      <c r="CC10" s="84"/>
      <c r="CD10" s="84"/>
      <c r="CE10" s="84"/>
      <c r="CF10" s="84"/>
      <c r="CG10" s="84"/>
      <c r="CH10" s="84"/>
      <c r="CI10" s="84"/>
      <c r="CJ10" s="84"/>
      <c r="CK10" s="84"/>
      <c r="CL10" s="84"/>
      <c r="CM10" s="84"/>
      <c r="CN10" s="84"/>
      <c r="CO10" s="84"/>
      <c r="CP10" s="84"/>
      <c r="CQ10" s="84"/>
      <c r="CR10" s="84"/>
      <c r="CS10" s="84"/>
      <c r="CT10" s="84"/>
      <c r="CU10" s="84"/>
      <c r="CV10" s="84"/>
      <c r="CW10" s="84"/>
      <c r="CX10" s="84"/>
      <c r="CY10" s="84"/>
      <c r="CZ10" s="84"/>
      <c r="DA10" s="84"/>
      <c r="DB10" s="84"/>
      <c r="DC10" s="84"/>
      <c r="DD10" s="84"/>
      <c r="DE10" s="84"/>
      <c r="DF10" s="84"/>
      <c r="DG10" s="84"/>
      <c r="DH10" s="84"/>
      <c r="DI10" s="84"/>
      <c r="DJ10" s="84"/>
      <c r="DK10" s="84"/>
      <c r="DL10" s="84"/>
      <c r="DM10" s="84"/>
      <c r="DN10" s="84"/>
      <c r="DO10" s="84"/>
      <c r="DP10" s="84"/>
      <c r="DQ10" s="84"/>
      <c r="DR10" s="84"/>
      <c r="DS10" s="84"/>
      <c r="DT10" s="84"/>
      <c r="DU10" s="84"/>
      <c r="DV10" s="84"/>
      <c r="DW10" s="84"/>
      <c r="DX10" s="84"/>
      <c r="DY10" s="84"/>
      <c r="DZ10" s="84"/>
      <c r="EA10" s="84"/>
      <c r="EB10" s="84"/>
      <c r="EC10" s="84"/>
      <c r="ED10" s="84"/>
      <c r="EE10" s="84"/>
      <c r="EF10" s="84"/>
      <c r="EG10" s="84"/>
      <c r="EH10" s="84"/>
      <c r="EI10" s="84"/>
      <c r="EJ10" s="84"/>
      <c r="EK10" s="84"/>
      <c r="EL10" s="84"/>
      <c r="EM10" s="84"/>
      <c r="EN10" s="84"/>
      <c r="EO10" s="84"/>
      <c r="EP10" s="84"/>
      <c r="EQ10" s="84"/>
      <c r="ER10" s="84"/>
      <c r="ES10" s="84"/>
      <c r="ET10" s="84"/>
      <c r="EU10" s="84"/>
      <c r="EV10" s="84"/>
      <c r="EW10" s="84"/>
      <c r="EX10" s="84"/>
      <c r="EY10" s="84"/>
      <c r="EZ10" s="84"/>
      <c r="FA10" s="84"/>
      <c r="FB10" s="84"/>
      <c r="FC10" s="84"/>
      <c r="FD10" s="84"/>
      <c r="FE10" s="84"/>
      <c r="FF10" s="84"/>
      <c r="FG10" s="84"/>
      <c r="FH10" s="84"/>
      <c r="FI10" s="84"/>
      <c r="FJ10" s="84"/>
      <c r="FK10" s="84"/>
      <c r="FL10" s="84"/>
      <c r="FM10" s="84"/>
      <c r="FN10" s="84"/>
      <c r="FO10" s="84"/>
      <c r="FP10" s="84"/>
      <c r="FQ10" s="84"/>
      <c r="FR10" s="84"/>
      <c r="FS10" s="84"/>
      <c r="FT10" s="84"/>
      <c r="FU10" s="84"/>
      <c r="FV10" s="84"/>
      <c r="FW10" s="84"/>
      <c r="FX10" s="84"/>
      <c r="FY10" s="84"/>
      <c r="FZ10" s="84"/>
      <c r="GA10" s="84"/>
      <c r="GB10" s="84"/>
      <c r="GC10" s="84"/>
      <c r="GD10" s="84"/>
      <c r="GE10" s="84"/>
      <c r="GF10" s="84"/>
      <c r="GG10" s="84"/>
      <c r="GH10" s="84"/>
      <c r="GI10" s="84"/>
      <c r="GJ10" s="84"/>
      <c r="GK10" s="84"/>
      <c r="GL10" s="84"/>
      <c r="GM10" s="84"/>
      <c r="GN10" s="84"/>
      <c r="GO10" s="84"/>
      <c r="GP10" s="84"/>
      <c r="GQ10" s="84"/>
      <c r="GR10" s="84"/>
      <c r="GS10" s="84"/>
      <c r="GT10" s="84"/>
      <c r="GU10" s="84"/>
      <c r="GV10" s="84"/>
      <c r="GW10" s="84"/>
      <c r="GX10" s="84"/>
      <c r="GY10" s="84"/>
      <c r="GZ10" s="84"/>
      <c r="HA10" s="84"/>
      <c r="HB10" s="84"/>
      <c r="HC10" s="84"/>
      <c r="HD10" s="84"/>
      <c r="HE10" s="84"/>
      <c r="HF10" s="84"/>
      <c r="HG10" s="84"/>
      <c r="HH10" s="84"/>
      <c r="HI10" s="84"/>
      <c r="HJ10" s="84"/>
      <c r="HK10" s="84"/>
      <c r="HL10" s="84"/>
      <c r="HM10" s="84"/>
      <c r="HN10" s="84"/>
      <c r="HO10" s="84"/>
      <c r="HP10" s="84"/>
      <c r="HQ10" s="84"/>
      <c r="HR10" s="84"/>
      <c r="HS10" s="84"/>
      <c r="HT10" s="84"/>
      <c r="HU10" s="84"/>
      <c r="HV10" s="84"/>
      <c r="HW10" s="84"/>
      <c r="HX10" s="84"/>
      <c r="HY10" s="84"/>
      <c r="HZ10" s="84"/>
      <c r="IA10" s="84"/>
      <c r="IB10" s="84"/>
      <c r="IC10" s="84"/>
      <c r="ID10" s="84"/>
      <c r="IE10" s="84"/>
      <c r="IF10" s="84"/>
      <c r="IG10" s="84"/>
      <c r="IH10" s="84"/>
    </row>
    <row r="11" spans="1:242" x14ac:dyDescent="0.45">
      <c r="A11" s="65" t="s">
        <v>317</v>
      </c>
      <c r="B11" s="66"/>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4"/>
      <c r="BE11" s="84"/>
      <c r="BF11" s="84"/>
      <c r="BG11" s="84"/>
      <c r="BH11" s="84"/>
      <c r="BI11" s="84"/>
      <c r="BJ11" s="84"/>
      <c r="BK11" s="84"/>
      <c r="BL11" s="84"/>
      <c r="BM11" s="84"/>
      <c r="BN11" s="84"/>
      <c r="BO11" s="84"/>
      <c r="BP11" s="84"/>
      <c r="BQ11" s="84"/>
      <c r="BR11" s="84"/>
      <c r="BS11" s="84"/>
      <c r="BT11" s="84"/>
      <c r="BU11" s="84"/>
      <c r="BV11" s="84"/>
      <c r="BW11" s="84"/>
      <c r="BX11" s="84"/>
      <c r="BY11" s="84"/>
      <c r="BZ11" s="84"/>
      <c r="CA11" s="84"/>
      <c r="CB11" s="84"/>
      <c r="CC11" s="84"/>
      <c r="CD11" s="84"/>
      <c r="CE11" s="84"/>
      <c r="CF11" s="84"/>
      <c r="CG11" s="84"/>
      <c r="CH11" s="84"/>
      <c r="CI11" s="84"/>
      <c r="CJ11" s="84"/>
      <c r="CK11" s="84"/>
      <c r="CL11" s="84"/>
      <c r="CM11" s="84"/>
      <c r="CN11" s="84"/>
      <c r="CO11" s="84"/>
      <c r="CP11" s="84"/>
      <c r="CQ11" s="84"/>
      <c r="CR11" s="84"/>
      <c r="CS11" s="84"/>
      <c r="CT11" s="84"/>
      <c r="CU11" s="84"/>
      <c r="CV11" s="84"/>
      <c r="CW11" s="84"/>
      <c r="CX11" s="84"/>
      <c r="CY11" s="84"/>
      <c r="CZ11" s="84"/>
      <c r="DA11" s="84"/>
      <c r="DB11" s="84"/>
      <c r="DC11" s="84"/>
      <c r="DD11" s="84"/>
      <c r="DE11" s="84"/>
      <c r="DF11" s="84"/>
      <c r="DG11" s="84"/>
      <c r="DH11" s="84"/>
      <c r="DI11" s="84"/>
      <c r="DJ11" s="84"/>
      <c r="DK11" s="84"/>
      <c r="DL11" s="84"/>
      <c r="DM11" s="84"/>
      <c r="DN11" s="84"/>
      <c r="DO11" s="84"/>
      <c r="DP11" s="84"/>
      <c r="DQ11" s="84"/>
      <c r="DR11" s="84"/>
      <c r="DS11" s="84"/>
      <c r="DT11" s="84"/>
      <c r="DU11" s="84"/>
      <c r="DV11" s="84"/>
      <c r="DW11" s="84"/>
      <c r="DX11" s="84"/>
      <c r="DY11" s="84"/>
      <c r="DZ11" s="84"/>
      <c r="EA11" s="84"/>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4"/>
      <c r="FA11" s="84"/>
      <c r="FB11" s="84"/>
      <c r="FC11" s="84"/>
      <c r="FD11" s="84"/>
      <c r="FE11" s="84"/>
      <c r="FF11" s="84"/>
      <c r="FG11" s="84"/>
      <c r="FH11" s="84"/>
      <c r="FI11" s="84"/>
      <c r="FJ11" s="84"/>
      <c r="FK11" s="84"/>
      <c r="FL11" s="84"/>
      <c r="FM11" s="84"/>
      <c r="FN11" s="84"/>
      <c r="FO11" s="84"/>
      <c r="FP11" s="84"/>
      <c r="FQ11" s="84"/>
      <c r="FR11" s="84"/>
      <c r="FS11" s="84"/>
      <c r="FT11" s="84"/>
      <c r="FU11" s="84"/>
      <c r="FV11" s="84"/>
      <c r="FW11" s="84"/>
      <c r="FX11" s="84"/>
      <c r="FY11" s="84"/>
      <c r="FZ11" s="84"/>
      <c r="GA11" s="84"/>
      <c r="GB11" s="84"/>
      <c r="GC11" s="84"/>
      <c r="GD11" s="84"/>
      <c r="GE11" s="84"/>
      <c r="GF11" s="84"/>
      <c r="GG11" s="84"/>
      <c r="GH11" s="84"/>
      <c r="GI11" s="84"/>
      <c r="GJ11" s="84"/>
      <c r="GK11" s="84"/>
      <c r="GL11" s="84"/>
      <c r="GM11" s="84"/>
      <c r="GN11" s="84"/>
      <c r="GO11" s="84"/>
      <c r="GP11" s="84"/>
      <c r="GQ11" s="84"/>
      <c r="GR11" s="84"/>
      <c r="GS11" s="84"/>
      <c r="GT11" s="84"/>
      <c r="GU11" s="84"/>
      <c r="GV11" s="84"/>
      <c r="GW11" s="84"/>
      <c r="GX11" s="84"/>
      <c r="GY11" s="84"/>
      <c r="GZ11" s="84"/>
      <c r="HA11" s="84"/>
      <c r="HB11" s="84"/>
      <c r="HC11" s="84"/>
      <c r="HD11" s="84"/>
      <c r="HE11" s="84"/>
      <c r="HF11" s="84"/>
      <c r="HG11" s="84"/>
      <c r="HH11" s="84"/>
      <c r="HI11" s="84"/>
      <c r="HJ11" s="84"/>
      <c r="HK11" s="84"/>
      <c r="HL11" s="84"/>
      <c r="HM11" s="84"/>
      <c r="HN11" s="84"/>
      <c r="HO11" s="84"/>
      <c r="HP11" s="84"/>
      <c r="HQ11" s="84"/>
      <c r="HR11" s="84"/>
      <c r="HS11" s="84"/>
      <c r="HT11" s="84"/>
      <c r="HU11" s="84"/>
      <c r="HV11" s="84"/>
      <c r="HW11" s="84"/>
      <c r="HX11" s="84"/>
      <c r="HY11" s="84"/>
      <c r="HZ11" s="84"/>
      <c r="IA11" s="84"/>
      <c r="IB11" s="84"/>
      <c r="IC11" s="84"/>
      <c r="ID11" s="84"/>
      <c r="IE11" s="84"/>
      <c r="IF11" s="84"/>
      <c r="IG11" s="84"/>
      <c r="IH11" s="84"/>
    </row>
    <row r="12" spans="1:242" x14ac:dyDescent="0.45">
      <c r="A12" s="77" t="s">
        <v>281</v>
      </c>
      <c r="B12" s="78"/>
      <c r="C12" s="24">
        <f>'Balance Sheet'!C10</f>
        <v>1099869345.3716428</v>
      </c>
      <c r="D12" s="81">
        <f>'Balance Sheet'!D10</f>
        <v>1098952869.1721928</v>
      </c>
      <c r="E12" s="81">
        <f>'Balance Sheet'!E10</f>
        <v>1098476267.9727428</v>
      </c>
      <c r="F12" s="81">
        <f>'Balance Sheet'!F10</f>
        <v>1097999666.7732928</v>
      </c>
      <c r="G12" s="81">
        <f>'Balance Sheet'!G10</f>
        <v>1097523065.5738428</v>
      </c>
      <c r="H12" s="81">
        <f>'Balance Sheet'!H10</f>
        <v>1097046464.3743927</v>
      </c>
      <c r="I12" s="81">
        <f>'Balance Sheet'!I10</f>
        <v>1186977560.6469178</v>
      </c>
      <c r="J12" s="81">
        <f>'Balance Sheet'!J10</f>
        <v>1231704808.1834552</v>
      </c>
      <c r="K12" s="81">
        <f>'Balance Sheet'!K10</f>
        <v>1231228206.9840052</v>
      </c>
      <c r="L12" s="81">
        <f>'Balance Sheet'!L10</f>
        <v>1275955454.5205429</v>
      </c>
      <c r="M12" s="81">
        <f>'Balance Sheet'!M10</f>
        <v>1275478853.3210928</v>
      </c>
      <c r="N12" s="81">
        <f>'Balance Sheet'!N10</f>
        <v>1320206100.8576303</v>
      </c>
      <c r="O12" s="81">
        <f>'Balance Sheet'!O10</f>
        <v>1545769743.3381178</v>
      </c>
      <c r="P12" s="81">
        <f>'Balance Sheet'!P10</f>
        <v>1545089027.4720013</v>
      </c>
      <c r="Q12" s="81">
        <f>'Balance Sheet'!Q10</f>
        <v>1544569311.6058846</v>
      </c>
      <c r="R12" s="81">
        <f>'Balance Sheet'!R10</f>
        <v>1544049595.739768</v>
      </c>
      <c r="S12" s="81">
        <f>'Balance Sheet'!S10</f>
        <v>1543529879.8736513</v>
      </c>
      <c r="T12" s="81">
        <f>'Balance Sheet'!T10</f>
        <v>1543010164.0075347</v>
      </c>
      <c r="U12" s="81">
        <f>'Balance Sheet'!U10</f>
        <v>1632898145.6133931</v>
      </c>
      <c r="V12" s="81">
        <f>'Balance Sheet'!V10</f>
        <v>1632378429.7472763</v>
      </c>
      <c r="W12" s="81">
        <f>'Balance Sheet'!W10</f>
        <v>1677062562.6171472</v>
      </c>
      <c r="X12" s="81">
        <f>'Balance Sheet'!X10</f>
        <v>1721746695.4870181</v>
      </c>
      <c r="Y12" s="81">
        <f>'Balance Sheet'!Y10</f>
        <v>1721226979.6209016</v>
      </c>
      <c r="Z12" s="81">
        <f>'Balance Sheet'!Z10</f>
        <v>1765911112.4907725</v>
      </c>
      <c r="AA12" s="81">
        <f>'Balance Sheet'!AA10</f>
        <v>1771193887.1736259</v>
      </c>
      <c r="AB12" s="81">
        <f>'Balance Sheet'!AB10</f>
        <v>1775471341.2920704</v>
      </c>
      <c r="AC12" s="81">
        <f>'Balance Sheet'!AC10</f>
        <v>1779748795.4105148</v>
      </c>
      <c r="AD12" s="81">
        <f>'Balance Sheet'!AD10</f>
        <v>1784026249.5289593</v>
      </c>
      <c r="AE12" s="81">
        <f>'Balance Sheet'!AE10</f>
        <v>1788303703.6474037</v>
      </c>
      <c r="AF12" s="81">
        <f>'Balance Sheet'!AF10</f>
        <v>1792581157.7658482</v>
      </c>
      <c r="AG12" s="81">
        <f>'Balance Sheet'!AG10</f>
        <v>1796858611.8842926</v>
      </c>
      <c r="AH12" s="81">
        <f>'Balance Sheet'!AH10</f>
        <v>1801136066.002737</v>
      </c>
      <c r="AI12" s="81">
        <f>'Balance Sheet'!AI10</f>
        <v>1805413520.1211815</v>
      </c>
      <c r="AJ12" s="81">
        <f>'Balance Sheet'!AJ10</f>
        <v>1809690974.2396259</v>
      </c>
      <c r="AK12" s="81">
        <f>'Balance Sheet'!AK10</f>
        <v>1813968428.3580704</v>
      </c>
      <c r="AL12" s="81">
        <f>'Balance Sheet'!AL10</f>
        <v>1818245882.4765148</v>
      </c>
      <c r="AM12" s="81">
        <f>'Balance Sheet'!AM10</f>
        <v>1826252443.3877161</v>
      </c>
      <c r="AN12" s="81">
        <f>'Balance Sheet'!AN10</f>
        <v>1834147131.0951345</v>
      </c>
      <c r="AO12" s="81">
        <f>'Balance Sheet'!AO10</f>
        <v>1842041818.8025532</v>
      </c>
      <c r="AP12" s="81">
        <f>'Balance Sheet'!AP10</f>
        <v>1849936506.5099716</v>
      </c>
      <c r="AQ12" s="81">
        <f>'Balance Sheet'!AQ10</f>
        <v>1857831194.2173903</v>
      </c>
      <c r="AR12" s="81">
        <f>'Balance Sheet'!AR10</f>
        <v>1865725881.9248087</v>
      </c>
      <c r="AS12" s="81">
        <f>'Balance Sheet'!AS10</f>
        <v>1873620569.6322272</v>
      </c>
      <c r="AT12" s="81">
        <f>'Balance Sheet'!AT10</f>
        <v>1881515257.3396456</v>
      </c>
      <c r="AU12" s="81">
        <f>'Balance Sheet'!AU10</f>
        <v>1889409945.0470641</v>
      </c>
      <c r="AV12" s="81">
        <f>'Balance Sheet'!AV10</f>
        <v>1897304632.7544825</v>
      </c>
      <c r="AW12" s="81">
        <f>'Balance Sheet'!AW10</f>
        <v>1905199320.4619012</v>
      </c>
      <c r="AX12" s="81">
        <f>'Balance Sheet'!AX10</f>
        <v>1913094008.1693199</v>
      </c>
      <c r="AY12" s="81">
        <f>'Balance Sheet'!AY10</f>
        <v>1924870792.4989035</v>
      </c>
      <c r="AZ12" s="81">
        <f>'Balance Sheet'!AZ10</f>
        <v>1936510791.2357485</v>
      </c>
      <c r="BA12" s="81">
        <f>'Balance Sheet'!BA10</f>
        <v>1948145581.2322917</v>
      </c>
      <c r="BB12" s="81">
        <f>'Balance Sheet'!BB10</f>
        <v>1959775134.2745233</v>
      </c>
      <c r="BC12" s="81">
        <f>'Balance Sheet'!BC10</f>
        <v>1971399421.9956074</v>
      </c>
      <c r="BD12" s="81">
        <f>'Balance Sheet'!BD10</f>
        <v>1983018415.8750546</v>
      </c>
      <c r="BE12" s="81">
        <f>'Balance Sheet'!BE10</f>
        <v>1994632087.2378893</v>
      </c>
      <c r="BF12" s="81">
        <f>'Balance Sheet'!BF10</f>
        <v>2006240407.253813</v>
      </c>
      <c r="BG12" s="81">
        <f>'Balance Sheet'!BG10</f>
        <v>2017843346.9363635</v>
      </c>
      <c r="BH12" s="81">
        <f>'Balance Sheet'!BH10</f>
        <v>2029440877.1420681</v>
      </c>
      <c r="BI12" s="81">
        <f>'Balance Sheet'!BI10</f>
        <v>2041032968.5695939</v>
      </c>
      <c r="BJ12" s="81">
        <f>'Balance Sheet'!BJ10</f>
        <v>2052619591.7588928</v>
      </c>
      <c r="BK12" s="81">
        <f>'Balance Sheet'!BK10</f>
        <v>2076710102.9719393</v>
      </c>
      <c r="BL12" s="81">
        <f>'Balance Sheet'!BL10</f>
        <v>2090706986.3990927</v>
      </c>
      <c r="BM12" s="81">
        <f>'Balance Sheet'!BM10</f>
        <v>2104698312.2469597</v>
      </c>
      <c r="BN12" s="81">
        <f>'Balance Sheet'!BN10</f>
        <v>2124684050.4119861</v>
      </c>
      <c r="BO12" s="81">
        <f>'Balance Sheet'!BO10</f>
        <v>2138664170.6275563</v>
      </c>
      <c r="BP12" s="81">
        <f>'Balance Sheet'!BP10</f>
        <v>2152638642.4631109</v>
      </c>
      <c r="BQ12" s="81">
        <f>'Balance Sheet'!BQ10</f>
        <v>2170607435.3232579</v>
      </c>
      <c r="BR12" s="81">
        <f>'Balance Sheet'!BR10</f>
        <v>2184570518.4468808</v>
      </c>
      <c r="BS12" s="81">
        <f>'Balance Sheet'!BS10</f>
        <v>2198527860.90624</v>
      </c>
      <c r="BT12" s="81">
        <f>'Balance Sheet'!BT10</f>
        <v>2212479431.6060705</v>
      </c>
      <c r="BU12" s="81">
        <f>'Balance Sheet'!BU10</f>
        <v>2226425199.2826753</v>
      </c>
      <c r="BV12" s="81">
        <f>'Balance Sheet'!BV10</f>
        <v>2240365132.5030117</v>
      </c>
      <c r="BW12" s="81">
        <f>'Balance Sheet'!BW10</f>
        <v>2255098199.4814224</v>
      </c>
      <c r="BX12" s="81">
        <f>'Balance Sheet'!BX10</f>
        <v>2269351100.2905989</v>
      </c>
      <c r="BY12" s="81">
        <f>'Balance Sheet'!BY10</f>
        <v>2283598071.3191118</v>
      </c>
      <c r="BZ12" s="81">
        <f>'Balance Sheet'!BZ10</f>
        <v>2297839080.4473157</v>
      </c>
      <c r="CA12" s="81">
        <f>'Balance Sheet'!CA10</f>
        <v>2312074095.3815837</v>
      </c>
      <c r="CB12" s="81">
        <f>'Balance Sheet'!CB10</f>
        <v>2326303083.6533661</v>
      </c>
      <c r="CC12" s="81">
        <f>'Balance Sheet'!CC10</f>
        <v>2340526012.6182404</v>
      </c>
      <c r="CD12" s="81">
        <f>'Balance Sheet'!CD10</f>
        <v>2354742849.4549608</v>
      </c>
      <c r="CE12" s="81">
        <f>'Balance Sheet'!CE10</f>
        <v>2368953561.1645002</v>
      </c>
      <c r="CF12" s="81">
        <f>'Balance Sheet'!CF10</f>
        <v>2383158114.5690861</v>
      </c>
      <c r="CG12" s="81">
        <f>'Balance Sheet'!CG10</f>
        <v>2397356476.3112335</v>
      </c>
      <c r="CH12" s="81">
        <f>'Balance Sheet'!CH10</f>
        <v>2411548612.8527708</v>
      </c>
      <c r="CI12" s="81">
        <f>'Balance Sheet'!CI10</f>
        <v>2425734490.4738612</v>
      </c>
      <c r="CJ12" s="81">
        <f>'Balance Sheet'!CJ10</f>
        <v>2439914075.2720194</v>
      </c>
      <c r="CK12" s="81">
        <f>'Balance Sheet'!CK10</f>
        <v>2454087333.1611209</v>
      </c>
      <c r="CL12" s="81">
        <f>'Balance Sheet'!CL10</f>
        <v>2468254229.8704081</v>
      </c>
      <c r="CM12" s="81">
        <f>'Balance Sheet'!CM10</f>
        <v>2482414730.94349</v>
      </c>
      <c r="CN12" s="81">
        <f>'Balance Sheet'!CN10</f>
        <v>2496582899.3805184</v>
      </c>
      <c r="CO12" s="81">
        <f>'Balance Sheet'!CO10</f>
        <v>2510690561.7421093</v>
      </c>
      <c r="CP12" s="81">
        <f>'Balance Sheet'!CP10</f>
        <v>2524791723.9744415</v>
      </c>
      <c r="CQ12" s="81">
        <f>'Balance Sheet'!CQ10</f>
        <v>2538886350.8684816</v>
      </c>
      <c r="CR12" s="81">
        <f>'Balance Sheet'!CR10</f>
        <v>2552974407.0244803</v>
      </c>
      <c r="CS12" s="81">
        <f>'Balance Sheet'!CS10</f>
        <v>2567055856.8509398</v>
      </c>
      <c r="CT12" s="81">
        <f>'Balance Sheet'!CT10</f>
        <v>2581130664.5635748</v>
      </c>
      <c r="CU12" s="81">
        <f>'Balance Sheet'!CU10</f>
        <v>2595894411.2852616</v>
      </c>
      <c r="CV12" s="81">
        <f>'Balance Sheet'!CV10</f>
        <v>2610573475.8206825</v>
      </c>
      <c r="CW12" s="81">
        <f>'Balance Sheet'!CW10</f>
        <v>2625245789.7222295</v>
      </c>
      <c r="CX12" s="81">
        <f>'Balance Sheet'!CX10</f>
        <v>2639911316.4239693</v>
      </c>
      <c r="CY12" s="81">
        <f>'Balance Sheet'!CY10</f>
        <v>2654570019.1619029</v>
      </c>
      <c r="CZ12" s="81">
        <f>'Balance Sheet'!CZ10</f>
        <v>2669221860.9728928</v>
      </c>
      <c r="DA12" s="81">
        <f>'Balance Sheet'!DA10</f>
        <v>2683866804.6935854</v>
      </c>
      <c r="DB12" s="81">
        <f>'Balance Sheet'!DB10</f>
        <v>2698504812.9593248</v>
      </c>
      <c r="DC12" s="81">
        <f>'Balance Sheet'!DC10</f>
        <v>2713135848.2030625</v>
      </c>
      <c r="DD12" s="81">
        <f>'Balance Sheet'!DD10</f>
        <v>2727759872.6542635</v>
      </c>
      <c r="DE12" s="81">
        <f>'Balance Sheet'!DE10</f>
        <v>2742376848.337801</v>
      </c>
      <c r="DF12" s="81">
        <f>'Balance Sheet'!DF10</f>
        <v>2756986737.0728507</v>
      </c>
      <c r="DG12" s="81">
        <f>'Balance Sheet'!DG10</f>
        <v>2771603598.1149545</v>
      </c>
      <c r="DH12" s="81">
        <f>'Balance Sheet'!DH10</f>
        <v>2786159254.2598381</v>
      </c>
      <c r="DI12" s="81">
        <f>'Balance Sheet'!DI10</f>
        <v>2800707707.668395</v>
      </c>
      <c r="DJ12" s="81">
        <f>'Balance Sheet'!DJ10</f>
        <v>2815248919.3258038</v>
      </c>
      <c r="DK12" s="81">
        <f>'Balance Sheet'!DK10</f>
        <v>2829782850.0059123</v>
      </c>
      <c r="DL12" s="81">
        <f>'Balance Sheet'!DL10</f>
        <v>2844309460.2700934</v>
      </c>
      <c r="DM12" s="81">
        <f>'Balance Sheet'!DM10</f>
        <v>2858828710.466095</v>
      </c>
      <c r="DN12" s="81">
        <f>'Balance Sheet'!DN10</f>
        <v>2873340560.7268801</v>
      </c>
      <c r="DO12" s="81">
        <f>'Balance Sheet'!DO10</f>
        <v>2887844970.9694667</v>
      </c>
      <c r="DP12" s="81">
        <f>'Balance Sheet'!DP10</f>
        <v>2902341900.8937559</v>
      </c>
      <c r="DQ12" s="81">
        <f>'Balance Sheet'!DQ10</f>
        <v>2916831309.9813571</v>
      </c>
      <c r="DR12" s="81">
        <f>'Balance Sheet'!DR10</f>
        <v>2931313157.4944053</v>
      </c>
      <c r="DS12" s="81">
        <f>'Balance Sheet'!DS10</f>
        <v>2961483019.5753632</v>
      </c>
      <c r="DT12" s="81">
        <f>'Balance Sheet'!DT10</f>
        <v>2976574913.7349935</v>
      </c>
      <c r="DU12" s="81">
        <f>'Balance Sheet'!DU10</f>
        <v>2991666807.8946238</v>
      </c>
      <c r="DV12" s="81">
        <f>'Balance Sheet'!DV10</f>
        <v>3017758702.0542541</v>
      </c>
      <c r="DW12" s="81">
        <f>'Balance Sheet'!DW10</f>
        <v>3032850596.2138844</v>
      </c>
      <c r="DX12" s="81">
        <f>'Balance Sheet'!DX10</f>
        <v>3047942490.3735147</v>
      </c>
      <c r="DY12" s="81">
        <f>'Balance Sheet'!DY10</f>
        <v>3072034384.533145</v>
      </c>
      <c r="DZ12" s="81">
        <f>'Balance Sheet'!DZ10</f>
        <v>3087126278.6927752</v>
      </c>
      <c r="EA12" s="81">
        <f>'Balance Sheet'!EA10</f>
        <v>3102218172.8524055</v>
      </c>
      <c r="EB12" s="81">
        <f>'Balance Sheet'!EB10</f>
        <v>3117310067.0120358</v>
      </c>
      <c r="EC12" s="81">
        <f>'Balance Sheet'!EC10</f>
        <v>3132401961.1716661</v>
      </c>
      <c r="ED12" s="81">
        <f>'Balance Sheet'!ED10</f>
        <v>3147493855.3312964</v>
      </c>
      <c r="EE12" s="81">
        <f>'Balance Sheet'!EE10</f>
        <v>3162599847.1341071</v>
      </c>
      <c r="EF12" s="81">
        <f>'Balance Sheet'!EF10</f>
        <v>3177651797.9713936</v>
      </c>
      <c r="EG12" s="81">
        <f>'Balance Sheet'!EG10</f>
        <v>3192703748.8086801</v>
      </c>
      <c r="EH12" s="81">
        <f>'Balance Sheet'!EH10</f>
        <v>3207755699.6459665</v>
      </c>
      <c r="EI12" s="81">
        <f>'Balance Sheet'!EI10</f>
        <v>3222807650.483253</v>
      </c>
      <c r="EJ12" s="81">
        <f>'Balance Sheet'!EJ10</f>
        <v>3237859601.3205395</v>
      </c>
      <c r="EK12" s="81">
        <f>'Balance Sheet'!EK10</f>
        <v>3257911552.1578259</v>
      </c>
      <c r="EL12" s="81">
        <f>'Balance Sheet'!EL10</f>
        <v>3272963502.9951124</v>
      </c>
      <c r="EM12" s="81">
        <f>'Balance Sheet'!EM10</f>
        <v>3288015453.8323989</v>
      </c>
      <c r="EN12" s="81">
        <f>'Balance Sheet'!EN10</f>
        <v>3303067404.6696854</v>
      </c>
      <c r="EO12" s="81">
        <f>'Balance Sheet'!EO10</f>
        <v>3318119355.5069718</v>
      </c>
      <c r="EP12" s="81">
        <f>'Balance Sheet'!EP10</f>
        <v>3343171306.3442583</v>
      </c>
      <c r="EQ12" s="81">
        <f>'Balance Sheet'!EQ10</f>
        <v>3358918874.282537</v>
      </c>
      <c r="ER12" s="81">
        <f>'Balance Sheet'!ER10</f>
        <v>3374588474.2994876</v>
      </c>
      <c r="ES12" s="81">
        <f>'Balance Sheet'!ES10</f>
        <v>3390258074.3164382</v>
      </c>
      <c r="ET12" s="81">
        <f>'Balance Sheet'!ET10</f>
        <v>3405927674.3333888</v>
      </c>
      <c r="EU12" s="81">
        <f>'Balance Sheet'!EU10</f>
        <v>3421597274.3503394</v>
      </c>
      <c r="EV12" s="81">
        <f>'Balance Sheet'!EV10</f>
        <v>3437266874.36729</v>
      </c>
      <c r="EW12" s="81">
        <f>'Balance Sheet'!EW10</f>
        <v>3452936474.3842406</v>
      </c>
      <c r="EX12" s="81">
        <f>'Balance Sheet'!EX10</f>
        <v>3468606074.4011912</v>
      </c>
      <c r="EY12" s="81">
        <f>'Balance Sheet'!EY10</f>
        <v>3484275674.4181418</v>
      </c>
      <c r="EZ12" s="81">
        <f>'Balance Sheet'!EZ10</f>
        <v>3504945274.4350924</v>
      </c>
      <c r="FA12" s="81">
        <f>'Balance Sheet'!FA10</f>
        <v>3520614874.4520431</v>
      </c>
      <c r="FB12" s="81">
        <f>'Balance Sheet'!FB10</f>
        <v>3536284474.4689937</v>
      </c>
      <c r="FC12" s="81">
        <f>'Balance Sheet'!FC10</f>
        <v>3551968172.1291246</v>
      </c>
      <c r="FD12" s="81">
        <f>'Balance Sheet'!FD10</f>
        <v>3567597828.8237314</v>
      </c>
      <c r="FE12" s="81">
        <f>'Balance Sheet'!FE10</f>
        <v>3583227485.5183382</v>
      </c>
      <c r="FF12" s="81">
        <f>'Balance Sheet'!FF10</f>
        <v>3598857142.212945</v>
      </c>
      <c r="FG12" s="81">
        <f>'Balance Sheet'!FG10</f>
        <v>3614486798.9075518</v>
      </c>
      <c r="FH12" s="81">
        <f>'Balance Sheet'!FH10</f>
        <v>3640116455.6021585</v>
      </c>
      <c r="FI12" s="81">
        <f>'Balance Sheet'!FI10</f>
        <v>3655746112.2967653</v>
      </c>
      <c r="FJ12" s="81">
        <f>'Balance Sheet'!FJ10</f>
        <v>3671375768.9913721</v>
      </c>
      <c r="FK12" s="81">
        <f>'Balance Sheet'!FK10</f>
        <v>3687005425.6859789</v>
      </c>
      <c r="FL12" s="81">
        <f>'Balance Sheet'!FL10</f>
        <v>3702635082.3805857</v>
      </c>
      <c r="FM12" s="81">
        <f>'Balance Sheet'!FM10</f>
        <v>3718264739.0751925</v>
      </c>
      <c r="FN12" s="81">
        <f>'Balance Sheet'!FN10</f>
        <v>3733894395.7697992</v>
      </c>
      <c r="FO12" s="81">
        <f>'Balance Sheet'!FO10</f>
        <v>3750219669.5653982</v>
      </c>
      <c r="FP12" s="81">
        <f>'Balance Sheet'!FP10</f>
        <v>3766466975.4396696</v>
      </c>
      <c r="FQ12" s="81">
        <f>'Balance Sheet'!FQ10</f>
        <v>3782714281.313941</v>
      </c>
      <c r="FR12" s="81">
        <f>'Balance Sheet'!FR10</f>
        <v>3798961587.1882124</v>
      </c>
      <c r="FS12" s="81">
        <f>'Balance Sheet'!FS10</f>
        <v>3815208893.0624838</v>
      </c>
      <c r="FT12" s="81">
        <f>'Balance Sheet'!FT10</f>
        <v>3831456198.9367552</v>
      </c>
      <c r="FU12" s="81">
        <f>'Balance Sheet'!FU10</f>
        <v>3847703504.8110266</v>
      </c>
      <c r="FV12" s="81">
        <f>'Balance Sheet'!FV10</f>
        <v>3863950810.685298</v>
      </c>
      <c r="FW12" s="81">
        <f>'Balance Sheet'!FW10</f>
        <v>3880198116.5595694</v>
      </c>
      <c r="FX12" s="81">
        <f>'Balance Sheet'!FX10</f>
        <v>3896445422.4338408</v>
      </c>
      <c r="FY12" s="81">
        <f>'Balance Sheet'!FY10</f>
        <v>3912692728.3081121</v>
      </c>
      <c r="FZ12" s="81">
        <f>'Balance Sheet'!FZ10</f>
        <v>3928940034.1823835</v>
      </c>
      <c r="GA12" s="81">
        <f>'Balance Sheet'!GA10</f>
        <v>3955201437.6998353</v>
      </c>
      <c r="GB12" s="81">
        <f>'Balance Sheet'!GB10</f>
        <v>3971408800.2517629</v>
      </c>
      <c r="GC12" s="81">
        <f>'Balance Sheet'!GC10</f>
        <v>3987616162.8036904</v>
      </c>
      <c r="GD12" s="81">
        <f>'Balance Sheet'!GD10</f>
        <v>4014823525.355618</v>
      </c>
      <c r="GE12" s="81">
        <f>'Balance Sheet'!GE10</f>
        <v>4031030887.9075456</v>
      </c>
      <c r="GF12" s="81">
        <f>'Balance Sheet'!GF10</f>
        <v>4047238250.4594731</v>
      </c>
      <c r="GG12" s="81">
        <f>'Balance Sheet'!GG10</f>
        <v>4089015373.0114007</v>
      </c>
      <c r="GH12" s="81">
        <f>'Balance Sheet'!GH10</f>
        <v>4105222735.5633283</v>
      </c>
      <c r="GI12" s="81">
        <f>'Balance Sheet'!GI10</f>
        <v>4121430098.1152558</v>
      </c>
      <c r="GJ12" s="81">
        <f>'Balance Sheet'!GJ10</f>
        <v>4137637460.6671834</v>
      </c>
      <c r="GK12" s="81">
        <f>'Balance Sheet'!GK10</f>
        <v>4153844823.219111</v>
      </c>
      <c r="GL12" s="81">
        <f>'Balance Sheet'!GL10</f>
        <v>4170052185.7710385</v>
      </c>
      <c r="GM12" s="81">
        <f>'Balance Sheet'!GM10</f>
        <v>4186092126.4783587</v>
      </c>
      <c r="GN12" s="81">
        <f>'Balance Sheet'!GN10</f>
        <v>4202054099.2643509</v>
      </c>
      <c r="GO12" s="81">
        <f>'Balance Sheet'!GO10</f>
        <v>4218016072.050343</v>
      </c>
      <c r="GP12" s="81">
        <f>'Balance Sheet'!GP10</f>
        <v>4233978044.8363352</v>
      </c>
      <c r="GQ12" s="81">
        <f>'Balance Sheet'!GQ10</f>
        <v>4249940017.6223273</v>
      </c>
      <c r="GR12" s="81">
        <f>'Balance Sheet'!GR10</f>
        <v>4265901990.4083195</v>
      </c>
      <c r="GS12" s="81">
        <f>'Balance Sheet'!GS10</f>
        <v>4281863963.1943116</v>
      </c>
      <c r="GT12" s="81">
        <f>'Balance Sheet'!GT10</f>
        <v>4297825935.9803038</v>
      </c>
      <c r="GU12" s="81">
        <f>'Balance Sheet'!GU10</f>
        <v>4313787908.7662964</v>
      </c>
      <c r="GV12" s="81">
        <f>'Balance Sheet'!GV10</f>
        <v>4329749881.552289</v>
      </c>
      <c r="GW12" s="81">
        <f>'Balance Sheet'!GW10</f>
        <v>4345711854.3382816</v>
      </c>
      <c r="GX12" s="81">
        <f>'Balance Sheet'!GX10</f>
        <v>4361673827.1242743</v>
      </c>
      <c r="GY12" s="81">
        <f>'Balance Sheet'!GY10</f>
        <v>4377649897.5534468</v>
      </c>
      <c r="GZ12" s="81">
        <f>'Balance Sheet'!GZ10</f>
        <v>4393571927.0170956</v>
      </c>
      <c r="HA12" s="81">
        <f>'Balance Sheet'!HA10</f>
        <v>4409493956.4807444</v>
      </c>
      <c r="HB12" s="81">
        <f>'Balance Sheet'!HB10</f>
        <v>4425415985.9443932</v>
      </c>
      <c r="HC12" s="81">
        <f>'Balance Sheet'!HC10</f>
        <v>4441338015.408042</v>
      </c>
      <c r="HD12" s="81">
        <f>'Balance Sheet'!HD10</f>
        <v>4457260044.8716908</v>
      </c>
      <c r="HE12" s="81">
        <f>'Balance Sheet'!HE10</f>
        <v>4473182074.3353395</v>
      </c>
      <c r="HF12" s="81">
        <f>'Balance Sheet'!HF10</f>
        <v>4489104103.7989883</v>
      </c>
      <c r="HG12" s="81">
        <f>'Balance Sheet'!HG10</f>
        <v>4505026133.2626371</v>
      </c>
      <c r="HH12" s="81">
        <f>'Balance Sheet'!HH10</f>
        <v>4520948162.7262859</v>
      </c>
      <c r="HI12" s="81">
        <f>'Balance Sheet'!HI10</f>
        <v>4536870192.1899347</v>
      </c>
      <c r="HJ12" s="81">
        <f>'Balance Sheet'!HJ10</f>
        <v>4552792221.6535835</v>
      </c>
      <c r="HK12" s="81">
        <f>'Balance Sheet'!HK10</f>
        <v>4569395770.5750446</v>
      </c>
      <c r="HL12" s="81">
        <f>'Balance Sheet'!HL10</f>
        <v>4585975392.5407019</v>
      </c>
      <c r="HM12" s="81">
        <f>'Balance Sheet'!HM10</f>
        <v>4602555014.5063591</v>
      </c>
      <c r="HN12" s="81">
        <f>'Balance Sheet'!HN10</f>
        <v>4619134636.4720163</v>
      </c>
      <c r="HO12" s="81">
        <f>'Balance Sheet'!HO10</f>
        <v>4635714258.4376736</v>
      </c>
      <c r="HP12" s="81">
        <f>'Balance Sheet'!HP10</f>
        <v>4652293880.4033308</v>
      </c>
      <c r="HQ12" s="81">
        <f>'Balance Sheet'!HQ10</f>
        <v>4668873502.368988</v>
      </c>
      <c r="HR12" s="81">
        <f>'Balance Sheet'!HR10</f>
        <v>4685453124.3346453</v>
      </c>
      <c r="HS12" s="81">
        <f>'Balance Sheet'!HS10</f>
        <v>4702032746.3003025</v>
      </c>
      <c r="HT12" s="81">
        <f>'Balance Sheet'!HT10</f>
        <v>4718612368.2659597</v>
      </c>
      <c r="HU12" s="81">
        <f>'Balance Sheet'!HU10</f>
        <v>4735191990.231617</v>
      </c>
      <c r="HV12" s="81">
        <f>'Balance Sheet'!HV10</f>
        <v>4751771612.1972742</v>
      </c>
      <c r="HW12" s="81">
        <f>'Balance Sheet'!HW10</f>
        <v>4768351234.1629314</v>
      </c>
      <c r="HX12" s="81">
        <f>'Balance Sheet'!HX10</f>
        <v>4784930856.1285887</v>
      </c>
      <c r="HY12" s="81">
        <f>'Balance Sheet'!HY10</f>
        <v>4801510478.0942459</v>
      </c>
      <c r="HZ12" s="81">
        <f>'Balance Sheet'!HZ10</f>
        <v>4818090100.0599031</v>
      </c>
      <c r="IA12" s="81">
        <f>'Balance Sheet'!IA10</f>
        <v>4834669722.0255604</v>
      </c>
      <c r="IB12" s="81">
        <f>'Balance Sheet'!IB10</f>
        <v>4851249343.9912176</v>
      </c>
      <c r="IC12" s="81">
        <f>'Balance Sheet'!IC10</f>
        <v>4867828965.9568748</v>
      </c>
      <c r="ID12" s="81">
        <f>'Balance Sheet'!ID10</f>
        <v>4884408587.9225321</v>
      </c>
      <c r="IE12" s="81">
        <f>'Balance Sheet'!IE10</f>
        <v>4900988209.8881893</v>
      </c>
      <c r="IF12" s="81">
        <f>'Balance Sheet'!IF10</f>
        <v>4917567831.8538465</v>
      </c>
      <c r="IG12" s="81">
        <f>'Balance Sheet'!IG10</f>
        <v>4934147453.8195038</v>
      </c>
      <c r="IH12" s="81">
        <f>'Balance Sheet'!IH10</f>
        <v>4950727075.785161</v>
      </c>
    </row>
    <row r="13" spans="1:242" ht="15" customHeight="1" thickBot="1" x14ac:dyDescent="0.5">
      <c r="A13" s="77" t="s">
        <v>286</v>
      </c>
      <c r="B13" s="78"/>
      <c r="C13" s="52">
        <f>'Balance Sheet'!C23</f>
        <v>10395613.726723671</v>
      </c>
      <c r="D13" s="82">
        <f>'Balance Sheet'!D23</f>
        <v>19363386.074079871</v>
      </c>
      <c r="E13" s="82">
        <f>'Balance Sheet'!E23</f>
        <v>28771033.421436071</v>
      </c>
      <c r="F13" s="82">
        <f>'Balance Sheet'!F23</f>
        <v>38178680.768792272</v>
      </c>
      <c r="G13" s="82">
        <f>'Balance Sheet'!G23</f>
        <v>47586328.116148472</v>
      </c>
      <c r="H13" s="82">
        <f>'Balance Sheet'!H23</f>
        <v>56993975.463504672</v>
      </c>
      <c r="I13" s="82">
        <f>'Balance Sheet'!I23</f>
        <v>66401622.810860872</v>
      </c>
      <c r="J13" s="82">
        <f>'Balance Sheet'!J23</f>
        <v>75809270.158217072</v>
      </c>
      <c r="K13" s="82">
        <f>'Balance Sheet'!K23</f>
        <v>85216917.505573273</v>
      </c>
      <c r="L13" s="82">
        <f>'Balance Sheet'!L23</f>
        <v>94624564.852929473</v>
      </c>
      <c r="M13" s="82">
        <f>'Balance Sheet'!M23</f>
        <v>104032212.20028567</v>
      </c>
      <c r="N13" s="82">
        <f>'Balance Sheet'!N23</f>
        <v>113439859.54764187</v>
      </c>
      <c r="O13" s="82">
        <f>'Balance Sheet'!O23</f>
        <v>123051621.56166475</v>
      </c>
      <c r="P13" s="82">
        <f>'Balance Sheet'!P23</f>
        <v>132298268.90902095</v>
      </c>
      <c r="Q13" s="82">
        <f>'Balance Sheet'!Q23</f>
        <v>141705916.25637713</v>
      </c>
      <c r="R13" s="82">
        <f>'Balance Sheet'!R23</f>
        <v>151113563.60373333</v>
      </c>
      <c r="S13" s="82">
        <f>'Balance Sheet'!S23</f>
        <v>160521210.95108953</v>
      </c>
      <c r="T13" s="82">
        <f>'Balance Sheet'!T23</f>
        <v>169928858.29844573</v>
      </c>
      <c r="U13" s="82">
        <f>'Balance Sheet'!U23</f>
        <v>179336505.64580193</v>
      </c>
      <c r="V13" s="82">
        <f>'Balance Sheet'!V23</f>
        <v>188744152.99315813</v>
      </c>
      <c r="W13" s="82">
        <f>'Balance Sheet'!W23</f>
        <v>198151800.34051433</v>
      </c>
      <c r="X13" s="82">
        <f>'Balance Sheet'!X23</f>
        <v>207559447.68787053</v>
      </c>
      <c r="Y13" s="82">
        <f>'Balance Sheet'!Y23</f>
        <v>216967095.03522673</v>
      </c>
      <c r="Z13" s="82">
        <f>'Balance Sheet'!Z23</f>
        <v>226374742.38258293</v>
      </c>
      <c r="AA13" s="82">
        <f>'Balance Sheet'!AA23</f>
        <v>236787710.29434815</v>
      </c>
      <c r="AB13" s="82">
        <f>'Balance Sheet'!AB23</f>
        <v>246195357.64170435</v>
      </c>
      <c r="AC13" s="82">
        <f>'Balance Sheet'!AC23</f>
        <v>255603004.98906055</v>
      </c>
      <c r="AD13" s="82">
        <f>'Balance Sheet'!AD23</f>
        <v>265010652.33641675</v>
      </c>
      <c r="AE13" s="82">
        <f>'Balance Sheet'!AE23</f>
        <v>274418299.68377292</v>
      </c>
      <c r="AF13" s="82">
        <f>'Balance Sheet'!AF23</f>
        <v>283825947.03112912</v>
      </c>
      <c r="AG13" s="82">
        <f>'Balance Sheet'!AG23</f>
        <v>293233594.37848532</v>
      </c>
      <c r="AH13" s="82">
        <f>'Balance Sheet'!AH23</f>
        <v>302641241.72584152</v>
      </c>
      <c r="AI13" s="82">
        <f>'Balance Sheet'!AI23</f>
        <v>312048889.07319772</v>
      </c>
      <c r="AJ13" s="82">
        <f>'Balance Sheet'!AJ23</f>
        <v>321456536.42055392</v>
      </c>
      <c r="AK13" s="82">
        <f>'Balance Sheet'!AK23</f>
        <v>330864183.76791012</v>
      </c>
      <c r="AL13" s="82">
        <f>'Balance Sheet'!AL23</f>
        <v>340271831.11526632</v>
      </c>
      <c r="AM13" s="82">
        <f>'Balance Sheet'!AM23</f>
        <v>349791351.66640526</v>
      </c>
      <c r="AN13" s="82">
        <f>'Balance Sheet'!AN23</f>
        <v>359198999.01376146</v>
      </c>
      <c r="AO13" s="82">
        <f>'Balance Sheet'!AO23</f>
        <v>368606646.36111766</v>
      </c>
      <c r="AP13" s="82">
        <f>'Balance Sheet'!AP23</f>
        <v>378014293.70847386</v>
      </c>
      <c r="AQ13" s="82">
        <f>'Balance Sheet'!AQ23</f>
        <v>387421941.05583006</v>
      </c>
      <c r="AR13" s="82">
        <f>'Balance Sheet'!AR23</f>
        <v>396829588.40318626</v>
      </c>
      <c r="AS13" s="82">
        <f>'Balance Sheet'!AS23</f>
        <v>406237235.75054246</v>
      </c>
      <c r="AT13" s="82">
        <f>'Balance Sheet'!AT23</f>
        <v>415644883.09789866</v>
      </c>
      <c r="AU13" s="82">
        <f>'Balance Sheet'!AU23</f>
        <v>425052530.44525486</v>
      </c>
      <c r="AV13" s="82">
        <f>'Balance Sheet'!AV23</f>
        <v>434460177.79261106</v>
      </c>
      <c r="AW13" s="82">
        <f>'Balance Sheet'!AW23</f>
        <v>443867825.13996726</v>
      </c>
      <c r="AX13" s="82">
        <f>'Balance Sheet'!AX23</f>
        <v>453275472.48732346</v>
      </c>
      <c r="AY13" s="82">
        <f>'Balance Sheet'!AY23</f>
        <v>462814724.74912435</v>
      </c>
      <c r="AZ13" s="82">
        <f>'Balance Sheet'!AZ23</f>
        <v>472222372.09648055</v>
      </c>
      <c r="BA13" s="82">
        <f>'Balance Sheet'!BA23</f>
        <v>481630019.44383675</v>
      </c>
      <c r="BB13" s="82">
        <f>'Balance Sheet'!BB23</f>
        <v>491037666.79119295</v>
      </c>
      <c r="BC13" s="82">
        <f>'Balance Sheet'!BC23</f>
        <v>500445314.13854915</v>
      </c>
      <c r="BD13" s="82">
        <f>'Balance Sheet'!BD23</f>
        <v>509852961.48590535</v>
      </c>
      <c r="BE13" s="82">
        <f>'Balance Sheet'!BE23</f>
        <v>519260608.83326155</v>
      </c>
      <c r="BF13" s="82">
        <f>'Balance Sheet'!BF23</f>
        <v>528668256.18061775</v>
      </c>
      <c r="BG13" s="82">
        <f>'Balance Sheet'!BG23</f>
        <v>538075903.52797389</v>
      </c>
      <c r="BH13" s="82">
        <f>'Balance Sheet'!BH23</f>
        <v>547483550.87533009</v>
      </c>
      <c r="BI13" s="82">
        <f>'Balance Sheet'!BI23</f>
        <v>556891198.22268629</v>
      </c>
      <c r="BJ13" s="82">
        <f>'Balance Sheet'!BJ23</f>
        <v>566298845.57004249</v>
      </c>
      <c r="BK13" s="82">
        <f>'Balance Sheet'!BK23</f>
        <v>575794593.06537759</v>
      </c>
      <c r="BL13" s="82">
        <f>'Balance Sheet'!BL23</f>
        <v>585202240.41273379</v>
      </c>
      <c r="BM13" s="82">
        <f>'Balance Sheet'!BM23</f>
        <v>594609887.76008999</v>
      </c>
      <c r="BN13" s="82">
        <f>'Balance Sheet'!BN23</f>
        <v>604017535.10744619</v>
      </c>
      <c r="BO13" s="82">
        <f>'Balance Sheet'!BO23</f>
        <v>613425182.45480239</v>
      </c>
      <c r="BP13" s="82">
        <f>'Balance Sheet'!BP23</f>
        <v>622832829.80215859</v>
      </c>
      <c r="BQ13" s="82">
        <f>'Balance Sheet'!BQ23</f>
        <v>632240477.14951479</v>
      </c>
      <c r="BR13" s="82">
        <f>'Balance Sheet'!BR23</f>
        <v>641648124.49687099</v>
      </c>
      <c r="BS13" s="82">
        <f>'Balance Sheet'!BS23</f>
        <v>651055771.84422719</v>
      </c>
      <c r="BT13" s="82">
        <f>'Balance Sheet'!BT23</f>
        <v>660463419.1915834</v>
      </c>
      <c r="BU13" s="82">
        <f>'Balance Sheet'!BU23</f>
        <v>669871066.5389396</v>
      </c>
      <c r="BV13" s="82">
        <f>'Balance Sheet'!BV23</f>
        <v>679278713.8862958</v>
      </c>
      <c r="BW13" s="82">
        <f>'Balance Sheet'!BW23</f>
        <v>689160629.56882334</v>
      </c>
      <c r="BX13" s="82">
        <f>'Balance Sheet'!BX23</f>
        <v>698568276.91617954</v>
      </c>
      <c r="BY13" s="82">
        <f>'Balance Sheet'!BY23</f>
        <v>707975924.26353574</v>
      </c>
      <c r="BZ13" s="82">
        <f>'Balance Sheet'!BZ23</f>
        <v>717383571.61089194</v>
      </c>
      <c r="CA13" s="82">
        <f>'Balance Sheet'!CA23</f>
        <v>726791218.95824814</v>
      </c>
      <c r="CB13" s="82">
        <f>'Balance Sheet'!CB23</f>
        <v>736198866.30560434</v>
      </c>
      <c r="CC13" s="82">
        <f>'Balance Sheet'!CC23</f>
        <v>745606513.65296054</v>
      </c>
      <c r="CD13" s="82">
        <f>'Balance Sheet'!CD23</f>
        <v>755014161.00031674</v>
      </c>
      <c r="CE13" s="82">
        <f>'Balance Sheet'!CE23</f>
        <v>764421808.34767294</v>
      </c>
      <c r="CF13" s="82">
        <f>'Balance Sheet'!CF23</f>
        <v>773829455.69502914</v>
      </c>
      <c r="CG13" s="82">
        <f>'Balance Sheet'!CG23</f>
        <v>783237103.04238534</v>
      </c>
      <c r="CH13" s="82">
        <f>'Balance Sheet'!CH23</f>
        <v>792644750.38974154</v>
      </c>
      <c r="CI13" s="82">
        <f>'Balance Sheet'!CI23</f>
        <v>802052397.73709774</v>
      </c>
      <c r="CJ13" s="82">
        <f>'Balance Sheet'!CJ23</f>
        <v>811460045.08445394</v>
      </c>
      <c r="CK13" s="82">
        <f>'Balance Sheet'!CK23</f>
        <v>820867692.43181014</v>
      </c>
      <c r="CL13" s="82">
        <f>'Balance Sheet'!CL23</f>
        <v>830275339.77916634</v>
      </c>
      <c r="CM13" s="82">
        <f>'Balance Sheet'!CM23</f>
        <v>839682987.12652254</v>
      </c>
      <c r="CN13" s="82">
        <f>'Balance Sheet'!CN23</f>
        <v>849144675.43940282</v>
      </c>
      <c r="CO13" s="82">
        <f>'Balance Sheet'!CO23</f>
        <v>858552322.78675902</v>
      </c>
      <c r="CP13" s="82">
        <f>'Balance Sheet'!CP23</f>
        <v>867959970.13411522</v>
      </c>
      <c r="CQ13" s="82">
        <f>'Balance Sheet'!CQ23</f>
        <v>877367617.48147142</v>
      </c>
      <c r="CR13" s="82">
        <f>'Balance Sheet'!CR23</f>
        <v>886775264.82882762</v>
      </c>
      <c r="CS13" s="82">
        <f>'Balance Sheet'!CS23</f>
        <v>896182912.17618382</v>
      </c>
      <c r="CT13" s="82">
        <f>'Balance Sheet'!CT23</f>
        <v>905590559.52354002</v>
      </c>
      <c r="CU13" s="82">
        <f>'Balance Sheet'!CU23</f>
        <v>915076174.79222417</v>
      </c>
      <c r="CV13" s="82">
        <f>'Balance Sheet'!CV23</f>
        <v>924483822.13958037</v>
      </c>
      <c r="CW13" s="82">
        <f>'Balance Sheet'!CW23</f>
        <v>933891469.48693657</v>
      </c>
      <c r="CX13" s="82">
        <f>'Balance Sheet'!CX23</f>
        <v>943299116.83429277</v>
      </c>
      <c r="CY13" s="82">
        <f>'Balance Sheet'!CY23</f>
        <v>952706764.18164897</v>
      </c>
      <c r="CZ13" s="82">
        <f>'Balance Sheet'!CZ23</f>
        <v>962114411.52900517</v>
      </c>
      <c r="DA13" s="82">
        <f>'Balance Sheet'!DA23</f>
        <v>971522058.87636137</v>
      </c>
      <c r="DB13" s="82">
        <f>'Balance Sheet'!DB23</f>
        <v>980929706.22371757</v>
      </c>
      <c r="DC13" s="82">
        <f>'Balance Sheet'!DC23</f>
        <v>990337353.57107377</v>
      </c>
      <c r="DD13" s="82">
        <f>'Balance Sheet'!DD23</f>
        <v>999745000.91842997</v>
      </c>
      <c r="DE13" s="82">
        <f>'Balance Sheet'!DE23</f>
        <v>1009152648.2657862</v>
      </c>
      <c r="DF13" s="82">
        <f>'Balance Sheet'!DF23</f>
        <v>1018560295.6131424</v>
      </c>
      <c r="DG13" s="82">
        <f>'Balance Sheet'!DG23</f>
        <v>1028021983.9260226</v>
      </c>
      <c r="DH13" s="82">
        <f>'Balance Sheet'!DH23</f>
        <v>1037429631.2733788</v>
      </c>
      <c r="DI13" s="82">
        <f>'Balance Sheet'!DI23</f>
        <v>1046837278.620735</v>
      </c>
      <c r="DJ13" s="82">
        <f>'Balance Sheet'!DJ23</f>
        <v>1056244925.9680912</v>
      </c>
      <c r="DK13" s="82">
        <f>'Balance Sheet'!DK23</f>
        <v>1065652573.3154474</v>
      </c>
      <c r="DL13" s="82">
        <f>'Balance Sheet'!DL23</f>
        <v>1075060220.6628036</v>
      </c>
      <c r="DM13" s="82">
        <f>'Balance Sheet'!DM23</f>
        <v>1084467868.01016</v>
      </c>
      <c r="DN13" s="82">
        <f>'Balance Sheet'!DN23</f>
        <v>1093875515.3575161</v>
      </c>
      <c r="DO13" s="82">
        <f>'Balance Sheet'!DO23</f>
        <v>1103283162.7048724</v>
      </c>
      <c r="DP13" s="82">
        <f>'Balance Sheet'!DP23</f>
        <v>1112690810.0522287</v>
      </c>
      <c r="DQ13" s="82">
        <f>'Balance Sheet'!DQ23</f>
        <v>1122098457.399585</v>
      </c>
      <c r="DR13" s="82">
        <f>'Balance Sheet'!DR23</f>
        <v>1131506104.7469413</v>
      </c>
      <c r="DS13" s="82">
        <f>'Balance Sheet'!DS23</f>
        <v>1131584072.6682692</v>
      </c>
      <c r="DT13" s="82">
        <f>'Balance Sheet'!DT23</f>
        <v>1131584072.6682692</v>
      </c>
      <c r="DU13" s="82">
        <f>'Balance Sheet'!DU23</f>
        <v>1131584072.6682692</v>
      </c>
      <c r="DV13" s="82">
        <f>'Balance Sheet'!DV23</f>
        <v>1131584072.6682692</v>
      </c>
      <c r="DW13" s="82">
        <f>'Balance Sheet'!DW23</f>
        <v>1131584072.6682692</v>
      </c>
      <c r="DX13" s="82">
        <f>'Balance Sheet'!DX23</f>
        <v>1131584072.6682692</v>
      </c>
      <c r="DY13" s="82">
        <f>'Balance Sheet'!DY23</f>
        <v>1131584072.6682692</v>
      </c>
      <c r="DZ13" s="82">
        <f>'Balance Sheet'!DZ23</f>
        <v>1131584072.6682692</v>
      </c>
      <c r="EA13" s="82">
        <f>'Balance Sheet'!EA23</f>
        <v>1131584072.6682692</v>
      </c>
      <c r="EB13" s="82">
        <f>'Balance Sheet'!EB23</f>
        <v>1131584072.6682692</v>
      </c>
      <c r="EC13" s="82">
        <f>'Balance Sheet'!EC23</f>
        <v>1131584072.6682692</v>
      </c>
      <c r="ED13" s="82">
        <f>'Balance Sheet'!ED23</f>
        <v>1131584072.6682692</v>
      </c>
      <c r="EE13" s="82">
        <f>'Balance Sheet'!EE23</f>
        <v>1131638113.6337934</v>
      </c>
      <c r="EF13" s="82">
        <f>'Balance Sheet'!EF23</f>
        <v>1131638113.6337934</v>
      </c>
      <c r="EG13" s="82">
        <f>'Balance Sheet'!EG23</f>
        <v>1131638113.6337934</v>
      </c>
      <c r="EH13" s="82">
        <f>'Balance Sheet'!EH23</f>
        <v>1131638113.6337934</v>
      </c>
      <c r="EI13" s="82">
        <f>'Balance Sheet'!EI23</f>
        <v>1131638113.6337934</v>
      </c>
      <c r="EJ13" s="82">
        <f>'Balance Sheet'!EJ23</f>
        <v>1131638113.6337934</v>
      </c>
      <c r="EK13" s="82">
        <f>'Balance Sheet'!EK23</f>
        <v>1131638113.6337934</v>
      </c>
      <c r="EL13" s="82">
        <f>'Balance Sheet'!EL23</f>
        <v>1131638113.6337934</v>
      </c>
      <c r="EM13" s="82">
        <f>'Balance Sheet'!EM23</f>
        <v>1131638113.6337934</v>
      </c>
      <c r="EN13" s="82">
        <f>'Balance Sheet'!EN23</f>
        <v>1131638113.6337934</v>
      </c>
      <c r="EO13" s="82">
        <f>'Balance Sheet'!EO23</f>
        <v>1131638113.6337934</v>
      </c>
      <c r="EP13" s="82">
        <f>'Balance Sheet'!EP23</f>
        <v>1131638113.6337934</v>
      </c>
      <c r="EQ13" s="82">
        <f>'Balance Sheet'!EQ23</f>
        <v>1131716081.5551212</v>
      </c>
      <c r="ER13" s="82">
        <f>'Balance Sheet'!ER23</f>
        <v>1131716081.5551212</v>
      </c>
      <c r="ES13" s="82">
        <f>'Balance Sheet'!ES23</f>
        <v>1131716081.5551212</v>
      </c>
      <c r="ET13" s="82">
        <f>'Balance Sheet'!ET23</f>
        <v>1131716081.5551212</v>
      </c>
      <c r="EU13" s="82">
        <f>'Balance Sheet'!EU23</f>
        <v>1131716081.5551212</v>
      </c>
      <c r="EV13" s="82">
        <f>'Balance Sheet'!EV23</f>
        <v>1131716081.5551212</v>
      </c>
      <c r="EW13" s="82">
        <f>'Balance Sheet'!EW23</f>
        <v>1131716081.5551212</v>
      </c>
      <c r="EX13" s="82">
        <f>'Balance Sheet'!EX23</f>
        <v>1131716081.5551212</v>
      </c>
      <c r="EY13" s="82">
        <f>'Balance Sheet'!EY23</f>
        <v>1131716081.5551212</v>
      </c>
      <c r="EZ13" s="82">
        <f>'Balance Sheet'!EZ23</f>
        <v>1131716081.5551212</v>
      </c>
      <c r="FA13" s="82">
        <f>'Balance Sheet'!FA23</f>
        <v>1131716081.5551212</v>
      </c>
      <c r="FB13" s="82">
        <f>'Balance Sheet'!FB23</f>
        <v>1131716081.5551212</v>
      </c>
      <c r="FC13" s="82">
        <f>'Balance Sheet'!FC23</f>
        <v>1131770122.5206454</v>
      </c>
      <c r="FD13" s="82">
        <f>'Balance Sheet'!FD23</f>
        <v>1131770122.5206454</v>
      </c>
      <c r="FE13" s="82">
        <f>'Balance Sheet'!FE23</f>
        <v>1131770122.5206454</v>
      </c>
      <c r="FF13" s="82">
        <f>'Balance Sheet'!FF23</f>
        <v>1131770122.5206454</v>
      </c>
      <c r="FG13" s="82">
        <f>'Balance Sheet'!FG23</f>
        <v>1131770122.5206454</v>
      </c>
      <c r="FH13" s="82">
        <f>'Balance Sheet'!FH23</f>
        <v>1131770122.5206454</v>
      </c>
      <c r="FI13" s="82">
        <f>'Balance Sheet'!FI23</f>
        <v>1131770122.5206454</v>
      </c>
      <c r="FJ13" s="82">
        <f>'Balance Sheet'!FJ23</f>
        <v>1131770122.5206454</v>
      </c>
      <c r="FK13" s="82">
        <f>'Balance Sheet'!FK23</f>
        <v>1131770122.5206454</v>
      </c>
      <c r="FL13" s="82">
        <f>'Balance Sheet'!FL23</f>
        <v>1131770122.5206454</v>
      </c>
      <c r="FM13" s="82">
        <f>'Balance Sheet'!FM23</f>
        <v>1131770122.5206454</v>
      </c>
      <c r="FN13" s="82">
        <f>'Balance Sheet'!FN23</f>
        <v>1131770122.5206454</v>
      </c>
      <c r="FO13" s="82">
        <f>'Balance Sheet'!FO23</f>
        <v>1131848090.4419732</v>
      </c>
      <c r="FP13" s="82">
        <f>'Balance Sheet'!FP23</f>
        <v>1131848090.4419732</v>
      </c>
      <c r="FQ13" s="82">
        <f>'Balance Sheet'!FQ23</f>
        <v>1131848090.4419732</v>
      </c>
      <c r="FR13" s="82">
        <f>'Balance Sheet'!FR23</f>
        <v>1131848090.4419732</v>
      </c>
      <c r="FS13" s="82">
        <f>'Balance Sheet'!FS23</f>
        <v>1131848090.4419732</v>
      </c>
      <c r="FT13" s="82">
        <f>'Balance Sheet'!FT23</f>
        <v>1131848090.4419732</v>
      </c>
      <c r="FU13" s="82">
        <f>'Balance Sheet'!FU23</f>
        <v>1131848090.4419732</v>
      </c>
      <c r="FV13" s="82">
        <f>'Balance Sheet'!FV23</f>
        <v>1131848090.4419732</v>
      </c>
      <c r="FW13" s="82">
        <f>'Balance Sheet'!FW23</f>
        <v>1131848090.4419732</v>
      </c>
      <c r="FX13" s="82">
        <f>'Balance Sheet'!FX23</f>
        <v>1131848090.4419732</v>
      </c>
      <c r="FY13" s="82">
        <f>'Balance Sheet'!FY23</f>
        <v>1131848090.4419732</v>
      </c>
      <c r="FZ13" s="82">
        <f>'Balance Sheet'!FZ23</f>
        <v>1131848090.4419732</v>
      </c>
      <c r="GA13" s="82">
        <f>'Balance Sheet'!GA23</f>
        <v>1131902131.4074974</v>
      </c>
      <c r="GB13" s="82">
        <f>'Balance Sheet'!GB23</f>
        <v>1131902131.4074974</v>
      </c>
      <c r="GC13" s="82">
        <f>'Balance Sheet'!GC23</f>
        <v>1131902131.4074974</v>
      </c>
      <c r="GD13" s="82">
        <f>'Balance Sheet'!GD23</f>
        <v>1131902131.4074974</v>
      </c>
      <c r="GE13" s="82">
        <f>'Balance Sheet'!GE23</f>
        <v>1131902131.4074974</v>
      </c>
      <c r="GF13" s="82">
        <f>'Balance Sheet'!GF23</f>
        <v>1131902131.4074974</v>
      </c>
      <c r="GG13" s="82">
        <f>'Balance Sheet'!GG23</f>
        <v>1131902131.4074974</v>
      </c>
      <c r="GH13" s="82">
        <f>'Balance Sheet'!GH23</f>
        <v>1131902131.4074974</v>
      </c>
      <c r="GI13" s="82">
        <f>'Balance Sheet'!GI23</f>
        <v>1131902131.4074974</v>
      </c>
      <c r="GJ13" s="82">
        <f>'Balance Sheet'!GJ23</f>
        <v>1131902131.4074974</v>
      </c>
      <c r="GK13" s="82">
        <f>'Balance Sheet'!GK23</f>
        <v>1131902131.4074974</v>
      </c>
      <c r="GL13" s="82">
        <f>'Balance Sheet'!GL23</f>
        <v>1131902131.4074974</v>
      </c>
      <c r="GM13" s="82">
        <f>'Balance Sheet'!GM23</f>
        <v>1131980099.3288252</v>
      </c>
      <c r="GN13" s="82">
        <f>'Balance Sheet'!GN23</f>
        <v>1131980099.3288252</v>
      </c>
      <c r="GO13" s="82">
        <f>'Balance Sheet'!GO23</f>
        <v>1131980099.3288252</v>
      </c>
      <c r="GP13" s="82">
        <f>'Balance Sheet'!GP23</f>
        <v>1131980099.3288252</v>
      </c>
      <c r="GQ13" s="82">
        <f>'Balance Sheet'!GQ23</f>
        <v>1131980099.3288252</v>
      </c>
      <c r="GR13" s="82">
        <f>'Balance Sheet'!GR23</f>
        <v>1131980099.3288252</v>
      </c>
      <c r="GS13" s="82">
        <f>'Balance Sheet'!GS23</f>
        <v>1131980099.3288252</v>
      </c>
      <c r="GT13" s="82">
        <f>'Balance Sheet'!GT23</f>
        <v>1131980099.3288252</v>
      </c>
      <c r="GU13" s="82">
        <f>'Balance Sheet'!GU23</f>
        <v>1131980099.3288252</v>
      </c>
      <c r="GV13" s="82">
        <f>'Balance Sheet'!GV23</f>
        <v>1131980099.3288252</v>
      </c>
      <c r="GW13" s="82">
        <f>'Balance Sheet'!GW23</f>
        <v>1131980099.3288252</v>
      </c>
      <c r="GX13" s="82">
        <f>'Balance Sheet'!GX23</f>
        <v>1131980099.3288252</v>
      </c>
      <c r="GY13" s="82">
        <f>'Balance Sheet'!GY23</f>
        <v>1132034140.2943494</v>
      </c>
      <c r="GZ13" s="82">
        <f>'Balance Sheet'!GZ23</f>
        <v>1132034140.2943494</v>
      </c>
      <c r="HA13" s="82">
        <f>'Balance Sheet'!HA23</f>
        <v>1132034140.2943494</v>
      </c>
      <c r="HB13" s="82">
        <f>'Balance Sheet'!HB23</f>
        <v>1132034140.2943494</v>
      </c>
      <c r="HC13" s="82">
        <f>'Balance Sheet'!HC23</f>
        <v>1132034140.2943494</v>
      </c>
      <c r="HD13" s="82">
        <f>'Balance Sheet'!HD23</f>
        <v>1132034140.2943494</v>
      </c>
      <c r="HE13" s="82">
        <f>'Balance Sheet'!HE23</f>
        <v>1132034140.2943494</v>
      </c>
      <c r="HF13" s="82">
        <f>'Balance Sheet'!HF23</f>
        <v>1132034140.2943494</v>
      </c>
      <c r="HG13" s="82">
        <f>'Balance Sheet'!HG23</f>
        <v>1132034140.2943494</v>
      </c>
      <c r="HH13" s="82">
        <f>'Balance Sheet'!HH23</f>
        <v>1132034140.2943494</v>
      </c>
      <c r="HI13" s="82">
        <f>'Balance Sheet'!HI23</f>
        <v>1132034140.2943494</v>
      </c>
      <c r="HJ13" s="82">
        <f>'Balance Sheet'!HJ23</f>
        <v>1132034140.2943494</v>
      </c>
      <c r="HK13" s="82">
        <f>'Balance Sheet'!HK23</f>
        <v>1132058067.2501533</v>
      </c>
      <c r="HL13" s="82">
        <f>'Balance Sheet'!HL23</f>
        <v>1132058067.2501533</v>
      </c>
      <c r="HM13" s="82">
        <f>'Balance Sheet'!HM23</f>
        <v>1132058067.2501533</v>
      </c>
      <c r="HN13" s="82">
        <f>'Balance Sheet'!HN23</f>
        <v>1132058067.2501533</v>
      </c>
      <c r="HO13" s="82">
        <f>'Balance Sheet'!HO23</f>
        <v>1132058067.2501533</v>
      </c>
      <c r="HP13" s="82">
        <f>'Balance Sheet'!HP23</f>
        <v>1132058067.2501533</v>
      </c>
      <c r="HQ13" s="82">
        <f>'Balance Sheet'!HQ23</f>
        <v>1132058067.2501533</v>
      </c>
      <c r="HR13" s="82">
        <f>'Balance Sheet'!HR23</f>
        <v>1132058067.2501533</v>
      </c>
      <c r="HS13" s="82">
        <f>'Balance Sheet'!HS23</f>
        <v>1132058067.2501533</v>
      </c>
      <c r="HT13" s="82">
        <f>'Balance Sheet'!HT23</f>
        <v>1132058067.2501533</v>
      </c>
      <c r="HU13" s="82">
        <f>'Balance Sheet'!HU23</f>
        <v>1132058067.2501533</v>
      </c>
      <c r="HV13" s="82">
        <f>'Balance Sheet'!HV23</f>
        <v>1132058067.2501533</v>
      </c>
      <c r="HW13" s="82">
        <f>'Balance Sheet'!HW23</f>
        <v>1132058067.2501533</v>
      </c>
      <c r="HX13" s="82">
        <f>'Balance Sheet'!HX23</f>
        <v>1132058067.2501533</v>
      </c>
      <c r="HY13" s="82">
        <f>'Balance Sheet'!HY23</f>
        <v>1132058067.2501533</v>
      </c>
      <c r="HZ13" s="82">
        <f>'Balance Sheet'!HZ23</f>
        <v>1132058067.2501533</v>
      </c>
      <c r="IA13" s="82">
        <f>'Balance Sheet'!IA23</f>
        <v>1132058067.2501533</v>
      </c>
      <c r="IB13" s="82">
        <f>'Balance Sheet'!IB23</f>
        <v>1132058067.2501533</v>
      </c>
      <c r="IC13" s="82">
        <f>'Balance Sheet'!IC23</f>
        <v>1132058067.2501533</v>
      </c>
      <c r="ID13" s="82">
        <f>'Balance Sheet'!ID23</f>
        <v>1132058067.2501533</v>
      </c>
      <c r="IE13" s="82">
        <f>'Balance Sheet'!IE23</f>
        <v>1132058067.2501533</v>
      </c>
      <c r="IF13" s="82">
        <f>'Balance Sheet'!IF23</f>
        <v>1132058067.2501533</v>
      </c>
      <c r="IG13" s="82">
        <f>'Balance Sheet'!IG23</f>
        <v>1132058067.2501533</v>
      </c>
      <c r="IH13" s="82">
        <f>'Balance Sheet'!IH23</f>
        <v>1132058067.2501533</v>
      </c>
    </row>
    <row r="14" spans="1:242" ht="14.65" thickTop="1" x14ac:dyDescent="0.45">
      <c r="A14" s="77" t="s">
        <v>316</v>
      </c>
      <c r="B14" s="78"/>
      <c r="C14" s="95">
        <f>C12/C13</f>
        <v>105.80129026382002</v>
      </c>
      <c r="D14" s="85">
        <f t="shared" ref="D14:BO14" si="4">D12/D13</f>
        <v>56.754168148476268</v>
      </c>
      <c r="E14" s="85">
        <f t="shared" si="4"/>
        <v>38.179937852156364</v>
      </c>
      <c r="F14" s="85">
        <f t="shared" si="4"/>
        <v>28.759497307481912</v>
      </c>
      <c r="G14" s="85">
        <f t="shared" si="4"/>
        <v>23.063831756361068</v>
      </c>
      <c r="H14" s="85">
        <f t="shared" si="4"/>
        <v>19.24846363940469</v>
      </c>
      <c r="I14" s="85">
        <f t="shared" si="4"/>
        <v>17.875731200544873</v>
      </c>
      <c r="J14" s="85">
        <f t="shared" si="4"/>
        <v>16.247416781784555</v>
      </c>
      <c r="K14" s="85">
        <f t="shared" si="4"/>
        <v>14.448166432486619</v>
      </c>
      <c r="L14" s="85">
        <f t="shared" si="4"/>
        <v>13.484399706394429</v>
      </c>
      <c r="M14" s="85">
        <f t="shared" si="4"/>
        <v>12.260422289833709</v>
      </c>
      <c r="N14" s="85">
        <f t="shared" si="4"/>
        <v>11.637938429421071</v>
      </c>
      <c r="O14" s="85">
        <f t="shared" si="4"/>
        <v>12.561961587507302</v>
      </c>
      <c r="P14" s="85">
        <f t="shared" si="4"/>
        <v>11.678830269007754</v>
      </c>
      <c r="Q14" s="85">
        <f t="shared" si="4"/>
        <v>10.89982233918462</v>
      </c>
      <c r="R14" s="85">
        <f t="shared" si="4"/>
        <v>10.217809433630626</v>
      </c>
      <c r="S14" s="85">
        <f t="shared" si="4"/>
        <v>9.6157378251025118</v>
      </c>
      <c r="T14" s="85">
        <f t="shared" si="4"/>
        <v>9.0803303185710167</v>
      </c>
      <c r="U14" s="85">
        <f t="shared" si="4"/>
        <v>9.1052189275865789</v>
      </c>
      <c r="V14" s="85">
        <f t="shared" si="4"/>
        <v>8.6486304548276483</v>
      </c>
      <c r="W14" s="85">
        <f t="shared" si="4"/>
        <v>8.4635242260488965</v>
      </c>
      <c r="X14" s="85">
        <f t="shared" si="4"/>
        <v>8.2951979043430182</v>
      </c>
      <c r="Y14" s="85">
        <f t="shared" si="4"/>
        <v>7.9331245106150474</v>
      </c>
      <c r="Z14" s="85">
        <f t="shared" si="4"/>
        <v>7.8008310198595732</v>
      </c>
      <c r="AA14" s="85">
        <f t="shared" si="4"/>
        <v>7.4800921254395956</v>
      </c>
      <c r="AB14" s="85">
        <f t="shared" si="4"/>
        <v>7.2116361506538569</v>
      </c>
      <c r="AC14" s="85">
        <f t="shared" si="4"/>
        <v>6.9629415956462859</v>
      </c>
      <c r="AD14" s="85">
        <f t="shared" si="4"/>
        <v>6.7319039208440348</v>
      </c>
      <c r="AE14" s="85">
        <f t="shared" si="4"/>
        <v>6.5167071791792424</v>
      </c>
      <c r="AF14" s="85">
        <f t="shared" si="4"/>
        <v>6.315776187894631</v>
      </c>
      <c r="AG14" s="85">
        <f t="shared" si="4"/>
        <v>6.1277379070183677</v>
      </c>
      <c r="AH14" s="85">
        <f t="shared" si="4"/>
        <v>5.9513900211735224</v>
      </c>
      <c r="AI14" s="85">
        <f t="shared" si="4"/>
        <v>5.7856752045596398</v>
      </c>
      <c r="AJ14" s="85">
        <f t="shared" si="4"/>
        <v>5.6296599048527369</v>
      </c>
      <c r="AK14" s="85">
        <f t="shared" si="4"/>
        <v>5.4825167466010978</v>
      </c>
      <c r="AL14" s="85">
        <f t="shared" si="4"/>
        <v>5.3435098536281371</v>
      </c>
      <c r="AM14" s="85">
        <f t="shared" si="4"/>
        <v>5.2209765469828033</v>
      </c>
      <c r="AN14" s="85">
        <f t="shared" si="4"/>
        <v>5.1062144831446634</v>
      </c>
      <c r="AO14" s="85">
        <f t="shared" si="4"/>
        <v>4.9973103767584703</v>
      </c>
      <c r="AP14" s="85">
        <f t="shared" si="4"/>
        <v>4.8938268666016373</v>
      </c>
      <c r="AQ14" s="85">
        <f t="shared" si="4"/>
        <v>4.7953690726815719</v>
      </c>
      <c r="AR14" s="85">
        <f t="shared" si="4"/>
        <v>4.7015795607186339</v>
      </c>
      <c r="AS14" s="85">
        <f t="shared" si="4"/>
        <v>4.6121340063045295</v>
      </c>
      <c r="AT14" s="85">
        <f t="shared" si="4"/>
        <v>4.5267374478816427</v>
      </c>
      <c r="AU14" s="85">
        <f t="shared" si="4"/>
        <v>4.4451210373170875</v>
      </c>
      <c r="AV14" s="85">
        <f t="shared" si="4"/>
        <v>4.3670392126482946</v>
      </c>
      <c r="AW14" s="85">
        <f t="shared" si="4"/>
        <v>4.2922672303655354</v>
      </c>
      <c r="AX14" s="85">
        <f t="shared" si="4"/>
        <v>4.220599004996509</v>
      </c>
      <c r="AY14" s="85">
        <f t="shared" si="4"/>
        <v>4.1590526177452727</v>
      </c>
      <c r="AZ14" s="85">
        <f t="shared" si="4"/>
        <v>4.1008450799109886</v>
      </c>
      <c r="BA14" s="85">
        <f t="shared" si="4"/>
        <v>4.0449006552413751</v>
      </c>
      <c r="BB14" s="85">
        <f t="shared" si="4"/>
        <v>3.9910892113046206</v>
      </c>
      <c r="BC14" s="85">
        <f t="shared" si="4"/>
        <v>3.9392904005687663</v>
      </c>
      <c r="BD14" s="85">
        <f t="shared" si="4"/>
        <v>3.8893927576605325</v>
      </c>
      <c r="BE14" s="85">
        <f t="shared" si="4"/>
        <v>3.8412928947560134</v>
      </c>
      <c r="BF14" s="85">
        <f t="shared" si="4"/>
        <v>3.7948947828794695</v>
      </c>
      <c r="BG14" s="85">
        <f t="shared" si="4"/>
        <v>3.7501091085961598</v>
      </c>
      <c r="BH14" s="85">
        <f t="shared" si="4"/>
        <v>3.7068526970305289</v>
      </c>
      <c r="BI14" s="85">
        <f t="shared" si="4"/>
        <v>3.6650479933666289</v>
      </c>
      <c r="BJ14" s="85">
        <f t="shared" si="4"/>
        <v>3.6246225960300236</v>
      </c>
      <c r="BK14" s="85">
        <f t="shared" si="4"/>
        <v>3.6066856618366039</v>
      </c>
      <c r="BL14" s="85">
        <f t="shared" si="4"/>
        <v>3.572623004526692</v>
      </c>
      <c r="BM14" s="85">
        <f t="shared" si="4"/>
        <v>3.5396288483789089</v>
      </c>
      <c r="BN14" s="85">
        <f t="shared" si="4"/>
        <v>3.5175867038926856</v>
      </c>
      <c r="BO14" s="85">
        <f t="shared" si="4"/>
        <v>3.4864303452118786</v>
      </c>
      <c r="BP14" s="85">
        <f t="shared" ref="BP14:EA14" si="5">BP12/BP13</f>
        <v>3.4562061270066504</v>
      </c>
      <c r="BQ14" s="85">
        <f t="shared" si="5"/>
        <v>3.4331990971371229</v>
      </c>
      <c r="BR14" s="85">
        <f t="shared" si="5"/>
        <v>3.4046238663283646</v>
      </c>
      <c r="BS14" s="85">
        <f t="shared" si="5"/>
        <v>3.3768656326915476</v>
      </c>
      <c r="BT14" s="85">
        <f t="shared" si="5"/>
        <v>3.3498894371987729</v>
      </c>
      <c r="BU14" s="85">
        <f t="shared" si="5"/>
        <v>3.3236622844244805</v>
      </c>
      <c r="BV14" s="85">
        <f t="shared" si="5"/>
        <v>3.2981530065698856</v>
      </c>
      <c r="BW14" s="85">
        <f t="shared" si="5"/>
        <v>3.2722388696120603</v>
      </c>
      <c r="BX14" s="85">
        <f t="shared" si="5"/>
        <v>3.2485745134442969</v>
      </c>
      <c r="BY14" s="85">
        <f t="shared" si="5"/>
        <v>3.2255306897541747</v>
      </c>
      <c r="BZ14" s="85">
        <f t="shared" si="5"/>
        <v>3.2030829410931383</v>
      </c>
      <c r="CA14" s="85">
        <f t="shared" si="5"/>
        <v>3.1812080760904253</v>
      </c>
      <c r="CB14" s="85">
        <f t="shared" si="5"/>
        <v>3.1598840885577943</v>
      </c>
      <c r="CC14" s="85">
        <f t="shared" si="5"/>
        <v>3.1390900827183876</v>
      </c>
      <c r="CD14" s="85">
        <f t="shared" si="5"/>
        <v>3.1188062040255864</v>
      </c>
      <c r="CE14" s="85">
        <f t="shared" si="5"/>
        <v>3.0990135750902819</v>
      </c>
      <c r="CF14" s="85">
        <f t="shared" si="5"/>
        <v>3.0796942362818287</v>
      </c>
      <c r="CG14" s="85">
        <f t="shared" si="5"/>
        <v>3.0608310906097347</v>
      </c>
      <c r="CH14" s="85">
        <f t="shared" si="5"/>
        <v>3.0424078525304283</v>
      </c>
      <c r="CI14" s="85">
        <f t="shared" si="5"/>
        <v>3.0244090003568385</v>
      </c>
      <c r="CJ14" s="85">
        <f t="shared" si="5"/>
        <v>3.0068197319784016</v>
      </c>
      <c r="CK14" s="85">
        <f t="shared" si="5"/>
        <v>2.9896259236259115</v>
      </c>
      <c r="CL14" s="85">
        <f t="shared" si="5"/>
        <v>2.9728140914397212</v>
      </c>
      <c r="CM14" s="85">
        <f t="shared" si="5"/>
        <v>2.9563713556214308</v>
      </c>
      <c r="CN14" s="85">
        <f t="shared" si="5"/>
        <v>2.9401148845320426</v>
      </c>
      <c r="CO14" s="85">
        <f t="shared" si="5"/>
        <v>2.9243302884473081</v>
      </c>
      <c r="CP14" s="85">
        <f t="shared" si="5"/>
        <v>2.90888037565179</v>
      </c>
      <c r="CQ14" s="85">
        <f t="shared" si="5"/>
        <v>2.8937543400068546</v>
      </c>
      <c r="CR14" s="85">
        <f t="shared" si="5"/>
        <v>2.878941833720718</v>
      </c>
      <c r="CS14" s="85">
        <f t="shared" si="5"/>
        <v>2.8644329432898994</v>
      </c>
      <c r="CT14" s="85">
        <f t="shared" si="5"/>
        <v>2.8502181669402447</v>
      </c>
      <c r="CU14" s="85">
        <f t="shared" si="5"/>
        <v>2.8368069050368199</v>
      </c>
      <c r="CV14" s="85">
        <f t="shared" si="5"/>
        <v>2.8238173706262359</v>
      </c>
      <c r="CW14" s="85">
        <f t="shared" si="5"/>
        <v>2.8110823104150344</v>
      </c>
      <c r="CX14" s="85">
        <f t="shared" si="5"/>
        <v>2.7985940719243954</v>
      </c>
      <c r="CY14" s="85">
        <f t="shared" si="5"/>
        <v>2.7863453047298465</v>
      </c>
      <c r="CZ14" s="85">
        <f t="shared" si="5"/>
        <v>2.7743289456925706</v>
      </c>
      <c r="DA14" s="85">
        <f t="shared" si="5"/>
        <v>2.7625382050487666</v>
      </c>
      <c r="DB14" s="85">
        <f t="shared" si="5"/>
        <v>2.7509665532994729</v>
      </c>
      <c r="DC14" s="85">
        <f t="shared" si="5"/>
        <v>2.7396077088476178</v>
      </c>
      <c r="DD14" s="85">
        <f t="shared" si="5"/>
        <v>2.728455626333083</v>
      </c>
      <c r="DE14" s="85">
        <f t="shared" si="5"/>
        <v>2.7175044856202231</v>
      </c>
      <c r="DF14" s="85">
        <f t="shared" si="5"/>
        <v>2.706748681395664</v>
      </c>
      <c r="DG14" s="85">
        <f t="shared" si="5"/>
        <v>2.6960547940134338</v>
      </c>
      <c r="DH14" s="85">
        <f t="shared" si="5"/>
        <v>2.6856368569692819</v>
      </c>
      <c r="DI14" s="85">
        <f t="shared" si="5"/>
        <v>2.6753992858932953</v>
      </c>
      <c r="DJ14" s="85">
        <f t="shared" si="5"/>
        <v>2.6653372244562634</v>
      </c>
      <c r="DK14" s="85">
        <f t="shared" si="5"/>
        <v>2.655445987618573</v>
      </c>
      <c r="DL14" s="85">
        <f t="shared" si="5"/>
        <v>2.6457210541345302</v>
      </c>
      <c r="DM14" s="85">
        <f t="shared" si="5"/>
        <v>2.6361580594468212</v>
      </c>
      <c r="DN14" s="85">
        <f t="shared" si="5"/>
        <v>2.6267527889476288</v>
      </c>
      <c r="DO14" s="85">
        <f t="shared" si="5"/>
        <v>2.6175011715845096</v>
      </c>
      <c r="DP14" s="85">
        <f t="shared" si="5"/>
        <v>2.6083992737906434</v>
      </c>
      <c r="DQ14" s="85">
        <f t="shared" si="5"/>
        <v>2.5994432937204</v>
      </c>
      <c r="DR14" s="85">
        <f t="shared" si="5"/>
        <v>2.5906295557724688</v>
      </c>
      <c r="DS14" s="85">
        <f t="shared" si="5"/>
        <v>2.6171126751476823</v>
      </c>
      <c r="DT14" s="85">
        <f t="shared" si="5"/>
        <v>2.6304496374858353</v>
      </c>
      <c r="DU14" s="85">
        <f t="shared" si="5"/>
        <v>2.6437865998239878</v>
      </c>
      <c r="DV14" s="85">
        <f t="shared" si="5"/>
        <v>2.6668444483655511</v>
      </c>
      <c r="DW14" s="85">
        <f t="shared" si="5"/>
        <v>2.6801814107037041</v>
      </c>
      <c r="DX14" s="85">
        <f t="shared" si="5"/>
        <v>2.693518373041857</v>
      </c>
      <c r="DY14" s="85">
        <f t="shared" si="5"/>
        <v>2.7148087877282547</v>
      </c>
      <c r="DZ14" s="85">
        <f t="shared" si="5"/>
        <v>2.7281457500664072</v>
      </c>
      <c r="EA14" s="85">
        <f t="shared" si="5"/>
        <v>2.7414827124045602</v>
      </c>
      <c r="EB14" s="85">
        <f t="shared" ref="EB14:GI14" si="6">EB12/EB13</f>
        <v>2.7548196747427132</v>
      </c>
      <c r="EC14" s="85">
        <f t="shared" si="6"/>
        <v>2.7681566370808661</v>
      </c>
      <c r="ED14" s="85">
        <f t="shared" si="6"/>
        <v>2.7814935994190186</v>
      </c>
      <c r="EE14" s="85">
        <f t="shared" si="6"/>
        <v>2.7947095533736577</v>
      </c>
      <c r="EF14" s="85">
        <f t="shared" si="6"/>
        <v>2.8080105819056089</v>
      </c>
      <c r="EG14" s="85">
        <f t="shared" si="6"/>
        <v>2.8213116104375602</v>
      </c>
      <c r="EH14" s="85">
        <f t="shared" si="6"/>
        <v>2.834612638969511</v>
      </c>
      <c r="EI14" s="85">
        <f t="shared" si="6"/>
        <v>2.8479136675014622</v>
      </c>
      <c r="EJ14" s="85">
        <f t="shared" si="6"/>
        <v>2.8612146960334135</v>
      </c>
      <c r="EK14" s="85">
        <f t="shared" si="6"/>
        <v>2.8789340981953799</v>
      </c>
      <c r="EL14" s="85">
        <f t="shared" si="6"/>
        <v>2.8922351267273312</v>
      </c>
      <c r="EM14" s="85">
        <f t="shared" si="6"/>
        <v>2.9055361552592824</v>
      </c>
      <c r="EN14" s="85">
        <f t="shared" si="6"/>
        <v>2.9188371837912337</v>
      </c>
      <c r="EO14" s="85">
        <f t="shared" si="6"/>
        <v>2.9321382123231849</v>
      </c>
      <c r="EP14" s="85">
        <f t="shared" si="6"/>
        <v>2.954275988115167</v>
      </c>
      <c r="EQ14" s="85">
        <f t="shared" si="6"/>
        <v>2.9679872266787597</v>
      </c>
      <c r="ER14" s="85">
        <f t="shared" si="6"/>
        <v>2.9818331022232853</v>
      </c>
      <c r="ES14" s="85">
        <f t="shared" si="6"/>
        <v>2.995678977767811</v>
      </c>
      <c r="ET14" s="85">
        <f t="shared" si="6"/>
        <v>3.0095248533123371</v>
      </c>
      <c r="EU14" s="85">
        <f t="shared" si="6"/>
        <v>3.0233707288568628</v>
      </c>
      <c r="EV14" s="85">
        <f t="shared" si="6"/>
        <v>3.0372166044013884</v>
      </c>
      <c r="EW14" s="85">
        <f t="shared" si="6"/>
        <v>3.0510624799459145</v>
      </c>
      <c r="EX14" s="85">
        <f t="shared" si="6"/>
        <v>3.0649083554904402</v>
      </c>
      <c r="EY14" s="85">
        <f t="shared" si="6"/>
        <v>3.0787542310349658</v>
      </c>
      <c r="EZ14" s="85">
        <f t="shared" si="6"/>
        <v>3.0970181758121296</v>
      </c>
      <c r="FA14" s="85">
        <f t="shared" si="6"/>
        <v>3.1108640513566552</v>
      </c>
      <c r="FB14" s="85">
        <f t="shared" si="6"/>
        <v>3.1247099269011809</v>
      </c>
      <c r="FC14" s="85">
        <f t="shared" si="6"/>
        <v>3.1384183956175526</v>
      </c>
      <c r="FD14" s="85">
        <f t="shared" si="6"/>
        <v>3.1522283172470411</v>
      </c>
      <c r="FE14" s="85">
        <f t="shared" si="6"/>
        <v>3.1660382388765296</v>
      </c>
      <c r="FF14" s="85">
        <f t="shared" si="6"/>
        <v>3.179848160506018</v>
      </c>
      <c r="FG14" s="85">
        <f t="shared" si="6"/>
        <v>3.1936580821355065</v>
      </c>
      <c r="FH14" s="85">
        <f t="shared" si="6"/>
        <v>3.2163037203129177</v>
      </c>
      <c r="FI14" s="85">
        <f t="shared" si="6"/>
        <v>3.2301136419424066</v>
      </c>
      <c r="FJ14" s="85">
        <f t="shared" si="6"/>
        <v>3.243923563571895</v>
      </c>
      <c r="FK14" s="85">
        <f t="shared" si="6"/>
        <v>3.2577334852013835</v>
      </c>
      <c r="FL14" s="85">
        <f t="shared" si="6"/>
        <v>3.271543406830872</v>
      </c>
      <c r="FM14" s="85">
        <f t="shared" si="6"/>
        <v>3.2853533284603604</v>
      </c>
      <c r="FN14" s="85">
        <f t="shared" si="6"/>
        <v>3.2991632500898493</v>
      </c>
      <c r="FO14" s="85">
        <f t="shared" si="6"/>
        <v>3.3133595411209131</v>
      </c>
      <c r="FP14" s="85">
        <f t="shared" si="6"/>
        <v>3.3277142111614193</v>
      </c>
      <c r="FQ14" s="85">
        <f t="shared" si="6"/>
        <v>3.3420688812019255</v>
      </c>
      <c r="FR14" s="85">
        <f t="shared" si="6"/>
        <v>3.3564235512424312</v>
      </c>
      <c r="FS14" s="85">
        <f t="shared" si="6"/>
        <v>3.3707782212829374</v>
      </c>
      <c r="FT14" s="85">
        <f t="shared" si="6"/>
        <v>3.3851328913234435</v>
      </c>
      <c r="FU14" s="85">
        <f t="shared" si="6"/>
        <v>3.3994875613639497</v>
      </c>
      <c r="FV14" s="85">
        <f t="shared" si="6"/>
        <v>3.4138422314044559</v>
      </c>
      <c r="FW14" s="85">
        <f t="shared" si="6"/>
        <v>3.4281969014449616</v>
      </c>
      <c r="FX14" s="85">
        <f t="shared" si="6"/>
        <v>3.4425515714854678</v>
      </c>
      <c r="FY14" s="85">
        <f t="shared" si="6"/>
        <v>3.4569062415259739</v>
      </c>
      <c r="FZ14" s="85">
        <f t="shared" si="6"/>
        <v>3.4712609115664801</v>
      </c>
      <c r="GA14" s="85">
        <f t="shared" si="6"/>
        <v>3.494296307032855</v>
      </c>
      <c r="GB14" s="85">
        <f t="shared" si="6"/>
        <v>3.508615003059846</v>
      </c>
      <c r="GC14" s="85">
        <f t="shared" si="6"/>
        <v>3.5229336990868374</v>
      </c>
      <c r="GD14" s="85">
        <f t="shared" si="6"/>
        <v>3.5469705497976811</v>
      </c>
      <c r="GE14" s="85">
        <f t="shared" si="6"/>
        <v>3.5612892458246721</v>
      </c>
      <c r="GF14" s="85">
        <f t="shared" si="6"/>
        <v>3.5756079418516635</v>
      </c>
      <c r="GG14" s="85">
        <f t="shared" si="6"/>
        <v>3.6125167181431075</v>
      </c>
      <c r="GH14" s="85">
        <f t="shared" si="6"/>
        <v>3.6268354141700985</v>
      </c>
      <c r="GI14" s="85">
        <f t="shared" si="6"/>
        <v>3.6411541101970899</v>
      </c>
      <c r="GJ14" s="85">
        <f t="shared" ref="GJ14:IH14" si="7">GJ12/GJ13</f>
        <v>3.6554728062240813</v>
      </c>
      <c r="GK14" s="85">
        <f t="shared" si="7"/>
        <v>3.6697915022510728</v>
      </c>
      <c r="GL14" s="85">
        <f t="shared" si="7"/>
        <v>3.6841101982780642</v>
      </c>
      <c r="GM14" s="85">
        <f t="shared" si="7"/>
        <v>3.6980262541367828</v>
      </c>
      <c r="GN14" s="85">
        <f t="shared" si="7"/>
        <v>3.7121271847056647</v>
      </c>
      <c r="GO14" s="85">
        <f t="shared" si="7"/>
        <v>3.7262281152745471</v>
      </c>
      <c r="GP14" s="85">
        <f t="shared" si="7"/>
        <v>3.7403290458434291</v>
      </c>
      <c r="GQ14" s="85">
        <f t="shared" si="7"/>
        <v>3.7544299764123115</v>
      </c>
      <c r="GR14" s="85">
        <f t="shared" si="7"/>
        <v>3.7685309069811939</v>
      </c>
      <c r="GS14" s="85">
        <f t="shared" si="7"/>
        <v>3.7826318375500758</v>
      </c>
      <c r="GT14" s="85">
        <f t="shared" si="7"/>
        <v>3.7967327681189582</v>
      </c>
      <c r="GU14" s="85">
        <f t="shared" si="7"/>
        <v>3.8108336986878406</v>
      </c>
      <c r="GV14" s="85">
        <f t="shared" si="7"/>
        <v>3.8249346292567235</v>
      </c>
      <c r="GW14" s="85">
        <f t="shared" si="7"/>
        <v>3.8390355598256058</v>
      </c>
      <c r="GX14" s="85">
        <f t="shared" si="7"/>
        <v>3.8531364903944887</v>
      </c>
      <c r="GY14" s="85">
        <f t="shared" si="7"/>
        <v>3.8670652604303775</v>
      </c>
      <c r="GZ14" s="85">
        <f t="shared" si="7"/>
        <v>3.8811302332937476</v>
      </c>
      <c r="HA14" s="85">
        <f t="shared" si="7"/>
        <v>3.8951952061571182</v>
      </c>
      <c r="HB14" s="85">
        <f t="shared" si="7"/>
        <v>3.9092601790204884</v>
      </c>
      <c r="HC14" s="85">
        <f t="shared" si="7"/>
        <v>3.9233251518838586</v>
      </c>
      <c r="HD14" s="85">
        <f t="shared" si="7"/>
        <v>3.9373901247472292</v>
      </c>
      <c r="HE14" s="85">
        <f t="shared" si="7"/>
        <v>3.9514550976105993</v>
      </c>
      <c r="HF14" s="85">
        <f t="shared" si="7"/>
        <v>3.9655200704739699</v>
      </c>
      <c r="HG14" s="85">
        <f t="shared" si="7"/>
        <v>3.9795850433373401</v>
      </c>
      <c r="HH14" s="85">
        <f t="shared" si="7"/>
        <v>3.9936500162007103</v>
      </c>
      <c r="HI14" s="85">
        <f t="shared" si="7"/>
        <v>4.0077149890640804</v>
      </c>
      <c r="HJ14" s="85">
        <f t="shared" si="7"/>
        <v>4.021779961927451</v>
      </c>
      <c r="HK14" s="85">
        <f t="shared" si="7"/>
        <v>4.036361652078873</v>
      </c>
      <c r="HL14" s="85">
        <f t="shared" si="7"/>
        <v>4.051007209974971</v>
      </c>
      <c r="HM14" s="85">
        <f t="shared" si="7"/>
        <v>4.0656527678710699</v>
      </c>
      <c r="HN14" s="85">
        <f t="shared" si="7"/>
        <v>4.0802983257671679</v>
      </c>
      <c r="HO14" s="85">
        <f t="shared" si="7"/>
        <v>4.0949438836632659</v>
      </c>
      <c r="HP14" s="85">
        <f t="shared" si="7"/>
        <v>4.1095894415593639</v>
      </c>
      <c r="HQ14" s="85">
        <f t="shared" si="7"/>
        <v>4.1242349994554628</v>
      </c>
      <c r="HR14" s="85">
        <f t="shared" si="7"/>
        <v>4.1388805573515608</v>
      </c>
      <c r="HS14" s="85">
        <f t="shared" si="7"/>
        <v>4.1535261152476588</v>
      </c>
      <c r="HT14" s="85">
        <f t="shared" si="7"/>
        <v>4.1681716731437577</v>
      </c>
      <c r="HU14" s="85">
        <f t="shared" si="7"/>
        <v>4.1828172310398557</v>
      </c>
      <c r="HV14" s="85">
        <f t="shared" si="7"/>
        <v>4.1974627889359537</v>
      </c>
      <c r="HW14" s="85">
        <f t="shared" si="7"/>
        <v>4.2121083468320526</v>
      </c>
      <c r="HX14" s="85">
        <f t="shared" si="7"/>
        <v>4.2267539047281506</v>
      </c>
      <c r="HY14" s="85">
        <f t="shared" si="7"/>
        <v>4.2413994626242486</v>
      </c>
      <c r="HZ14" s="85">
        <f t="shared" si="7"/>
        <v>4.2560450205203475</v>
      </c>
      <c r="IA14" s="85">
        <f t="shared" si="7"/>
        <v>4.2706905784164455</v>
      </c>
      <c r="IB14" s="85">
        <f t="shared" si="7"/>
        <v>4.2853361363125435</v>
      </c>
      <c r="IC14" s="85">
        <f t="shared" si="7"/>
        <v>4.2999816942086415</v>
      </c>
      <c r="ID14" s="85">
        <f t="shared" si="7"/>
        <v>4.3146272521047404</v>
      </c>
      <c r="IE14" s="85">
        <f t="shared" si="7"/>
        <v>4.3292728100008384</v>
      </c>
      <c r="IF14" s="85">
        <f t="shared" si="7"/>
        <v>4.3439183678969364</v>
      </c>
      <c r="IG14" s="85">
        <f t="shared" si="7"/>
        <v>4.3585639257930353</v>
      </c>
      <c r="IH14" s="85">
        <f t="shared" si="7"/>
        <v>4.3732094836891333</v>
      </c>
    </row>
    <row r="15" spans="1:242" x14ac:dyDescent="0.45">
      <c r="A15" s="895"/>
      <c r="B15" s="896"/>
    </row>
    <row r="16" spans="1:242" x14ac:dyDescent="0.45">
      <c r="A16" s="888" t="s">
        <v>333</v>
      </c>
      <c r="B16" s="889"/>
      <c r="C16" s="97">
        <f>'Balance Sheet'!C28/'Balance Sheet'!C35</f>
        <v>20.92466334953567</v>
      </c>
      <c r="D16" s="97">
        <f>'Balance Sheet'!D28/'Balance Sheet'!D35</f>
        <v>23.998678776174234</v>
      </c>
      <c r="E16" s="97">
        <f>'Balance Sheet'!E28/'Balance Sheet'!E35</f>
        <v>28.073925430420243</v>
      </c>
      <c r="F16" s="97">
        <f>'Balance Sheet'!F28/'Balance Sheet'!F35</f>
        <v>33.706783893671769</v>
      </c>
      <c r="G16" s="97">
        <f>'Balance Sheet'!G28/'Balance Sheet'!G35</f>
        <v>42.000554988520662</v>
      </c>
      <c r="H16" s="97">
        <f>'Balance Sheet'!H28/'Balance Sheet'!H35</f>
        <v>55.422587209235637</v>
      </c>
      <c r="I16" s="97">
        <f>'Balance Sheet'!I28/'Balance Sheet'!I35</f>
        <v>29.944706779268937</v>
      </c>
      <c r="J16" s="97">
        <f>'Balance Sheet'!J28/'Balance Sheet'!J35</f>
        <v>26.20199228040412</v>
      </c>
      <c r="K16" s="97">
        <f>'Balance Sheet'!K28/'Balance Sheet'!K35</f>
        <v>30.758458566667702</v>
      </c>
      <c r="L16" s="97">
        <f>'Balance Sheet'!L28/'Balance Sheet'!L35</f>
        <v>26.806044581978426</v>
      </c>
      <c r="M16" s="97">
        <f>'Balance Sheet'!M28/'Balance Sheet'!M35</f>
        <v>31.470208040144637</v>
      </c>
      <c r="N16" s="97">
        <f>'Balance Sheet'!N28/'Balance Sheet'!N35</f>
        <v>27.327441521263999</v>
      </c>
      <c r="O16" s="97">
        <f>'Balance Sheet'!O28/'Balance Sheet'!O35</f>
        <v>13.240866594511049</v>
      </c>
      <c r="P16" s="97">
        <f>'Balance Sheet'!P28/'Balance Sheet'!P35</f>
        <v>15.750342245225022</v>
      </c>
      <c r="Q16" s="97">
        <f>'Balance Sheet'!Q28/'Balance Sheet'!Q35</f>
        <v>19.384025567081956</v>
      </c>
      <c r="R16" s="97">
        <f>'Balance Sheet'!R28/'Balance Sheet'!R35</f>
        <v>25.10726514419116</v>
      </c>
      <c r="S16" s="97">
        <f>'Balance Sheet'!S28/'Balance Sheet'!S35</f>
        <v>35.450275930387789</v>
      </c>
      <c r="T16" s="97">
        <f>'Balance Sheet'!T28/'Balance Sheet'!T35</f>
        <v>59.793167304339725</v>
      </c>
      <c r="U16" s="97">
        <f>'Balance Sheet'!U28/'Balance Sheet'!U35</f>
        <v>39.602957017520723</v>
      </c>
      <c r="V16" s="97">
        <f>'Balance Sheet'!V28/'Balance Sheet'!V35</f>
        <v>71.710328043514238</v>
      </c>
      <c r="W16" s="97">
        <f>'Balance Sheet'!W28/'Balance Sheet'!W35</f>
        <v>79.225721924622619</v>
      </c>
      <c r="X16" s="97">
        <f>'Balance Sheet'!X28/'Balance Sheet'!X35</f>
        <v>88.158606850069404</v>
      </c>
      <c r="Y16" s="97">
        <f>'Balance Sheet'!Y28/'Balance Sheet'!Y35</f>
        <v>2965.7340050367775</v>
      </c>
      <c r="Z16" s="97">
        <f>'Balance Sheet'!Z28/'Balance Sheet'!Z35</f>
        <v>-1226.6742850420596</v>
      </c>
      <c r="AA16" s="97">
        <f>'Balance Sheet'!AA28/'Balance Sheet'!AA35</f>
        <v>-154.62204995635136</v>
      </c>
      <c r="AB16" s="97">
        <f>'Balance Sheet'!AB28/'Balance Sheet'!AB35</f>
        <v>-83.038699434306963</v>
      </c>
      <c r="AC16" s="97">
        <f>'Balance Sheet'!AC28/'Balance Sheet'!AC35</f>
        <v>-57.008576250351958</v>
      </c>
      <c r="AD16" s="97">
        <f>'Balance Sheet'!AD28/'Balance Sheet'!AD35</f>
        <v>-43.545316334821955</v>
      </c>
      <c r="AE16" s="97">
        <f>'Balance Sheet'!AE28/'Balance Sheet'!AE35</f>
        <v>-35.318337525245312</v>
      </c>
      <c r="AF16" s="97">
        <f>'Balance Sheet'!AF28/'Balance Sheet'!AF35</f>
        <v>-29.770416637008431</v>
      </c>
      <c r="AG16" s="97">
        <f>'Balance Sheet'!AG28/'Balance Sheet'!AG35</f>
        <v>-25.776364360577961</v>
      </c>
      <c r="AH16" s="97">
        <f>'Balance Sheet'!AH28/'Balance Sheet'!AH35</f>
        <v>-22.763712260992431</v>
      </c>
      <c r="AI16" s="97">
        <f>'Balance Sheet'!AI28/'Balance Sheet'!AI35</f>
        <v>-20.410445401852076</v>
      </c>
      <c r="AJ16" s="97">
        <f>'Balance Sheet'!AJ28/'Balance Sheet'!AJ35</f>
        <v>-18.521540036202051</v>
      </c>
      <c r="AK16" s="97">
        <f>'Balance Sheet'!AK28/'Balance Sheet'!AK35</f>
        <v>-16.971980668486037</v>
      </c>
      <c r="AL16" s="97">
        <f>'Balance Sheet'!AL28/'Balance Sheet'!AL35</f>
        <v>-15.677933262050022</v>
      </c>
      <c r="AM16" s="97">
        <f>'Balance Sheet'!AM28/'Balance Sheet'!AM35</f>
        <v>-15.414704028235271</v>
      </c>
      <c r="AN16" s="97">
        <f>'Balance Sheet'!AN28/'Balance Sheet'!AN35</f>
        <v>-15.167336262234349</v>
      </c>
      <c r="AO16" s="97">
        <f>'Balance Sheet'!AO28/'Balance Sheet'!AO35</f>
        <v>-14.936291731142699</v>
      </c>
      <c r="AP16" s="97">
        <f>'Balance Sheet'!AP28/'Balance Sheet'!AP35</f>
        <v>-14.720375474574467</v>
      </c>
      <c r="AQ16" s="97">
        <f>'Balance Sheet'!AQ28/'Balance Sheet'!AQ35</f>
        <v>-14.518518633037695</v>
      </c>
      <c r="AR16" s="97">
        <f>'Balance Sheet'!AR28/'Balance Sheet'!AR35</f>
        <v>-14.329762910039497</v>
      </c>
      <c r="AS16" s="97">
        <f>'Balance Sheet'!AS28/'Balance Sheet'!AS35</f>
        <v>-14.153247316486269</v>
      </c>
      <c r="AT16" s="97">
        <f>'Balance Sheet'!AT28/'Balance Sheet'!AT35</f>
        <v>-13.988196818575217</v>
      </c>
      <c r="AU16" s="97">
        <f>'Balance Sheet'!AU28/'Balance Sheet'!AU35</f>
        <v>-13.833912580811516</v>
      </c>
      <c r="AV16" s="97">
        <f>'Balance Sheet'!AV28/'Balance Sheet'!AV35</f>
        <v>-13.689763551846553</v>
      </c>
      <c r="AW16" s="97">
        <f>'Balance Sheet'!AW28/'Balance Sheet'!AW35</f>
        <v>-13.55517918570852</v>
      </c>
      <c r="AX16" s="97">
        <f>'Balance Sheet'!AX28/'Balance Sheet'!AX35</f>
        <v>-13.42964312711497</v>
      </c>
      <c r="AY16" s="97">
        <f>'Balance Sheet'!AY28/'Balance Sheet'!AY35</f>
        <v>-14.002568591232546</v>
      </c>
      <c r="AZ16" s="97">
        <f>'Balance Sheet'!AZ28/'Balance Sheet'!AZ35</f>
        <v>-14.626288146891881</v>
      </c>
      <c r="BA16" s="97">
        <f>'Balance Sheet'!BA28/'Balance Sheet'!BA35</f>
        <v>-15.310225607472962</v>
      </c>
      <c r="BB16" s="97">
        <f>'Balance Sheet'!BB28/'Balance Sheet'!BB35</f>
        <v>-16.063631898672419</v>
      </c>
      <c r="BC16" s="97">
        <f>'Balance Sheet'!BC28/'Balance Sheet'!BC35</f>
        <v>-16.897753878669047</v>
      </c>
      <c r="BD16" s="97">
        <f>'Balance Sheet'!BD28/'Balance Sheet'!BD35</f>
        <v>-17.826403336656266</v>
      </c>
      <c r="BE16" s="97">
        <f>'Balance Sheet'!BE28/'Balance Sheet'!BE35</f>
        <v>-18.866732411763461</v>
      </c>
      <c r="BF16" s="97">
        <f>'Balance Sheet'!BF28/'Balance Sheet'!BF35</f>
        <v>-20.04030842038723</v>
      </c>
      <c r="BG16" s="97">
        <f>'Balance Sheet'!BG28/'Balance Sheet'!BG35</f>
        <v>-21.374632245999052</v>
      </c>
      <c r="BH16" s="97">
        <f>'Balance Sheet'!BH28/'Balance Sheet'!BH35</f>
        <v>-22.905329623930104</v>
      </c>
      <c r="BI16" s="97">
        <f>'Balance Sheet'!BI28/'Balance Sheet'!BI35</f>
        <v>-24.679390969692776</v>
      </c>
      <c r="BJ16" s="97">
        <f>'Balance Sheet'!BJ28/'Balance Sheet'!BJ35</f>
        <v>-26.76009583645876</v>
      </c>
      <c r="BK16" s="97">
        <f>'Balance Sheet'!BK28/'Balance Sheet'!BK35</f>
        <v>-33.342810805191554</v>
      </c>
      <c r="BL16" s="97">
        <f>'Balance Sheet'!BL28/'Balance Sheet'!BL35</f>
        <v>-40.774697784981939</v>
      </c>
      <c r="BM16" s="97">
        <f>'Balance Sheet'!BM28/'Balance Sheet'!BM35</f>
        <v>-52.476968049205055</v>
      </c>
      <c r="BN16" s="97">
        <f>'Balance Sheet'!BN28/'Balance Sheet'!BN35</f>
        <v>-80.329088310605499</v>
      </c>
      <c r="BO16" s="97">
        <f>'Balance Sheet'!BO28/'Balance Sheet'!BO35</f>
        <v>-143.36727801011196</v>
      </c>
      <c r="BP16" s="97">
        <f>'Balance Sheet'!BP28/'Balance Sheet'!BP35</f>
        <v>-668.17021275188563</v>
      </c>
      <c r="BQ16" s="97">
        <f>'Balance Sheet'!BQ28/'Balance Sheet'!BQ35</f>
        <v>211.02629121919369</v>
      </c>
      <c r="BR16" s="97">
        <f>'Balance Sheet'!BR28/'Balance Sheet'!BR35</f>
        <v>97.778089367153996</v>
      </c>
      <c r="BS16" s="97">
        <f>'Balance Sheet'!BS28/'Balance Sheet'!BS35</f>
        <v>63.602409731433056</v>
      </c>
      <c r="BT16" s="97">
        <f>'Balance Sheet'!BT28/'Balance Sheet'!BT35</f>
        <v>47.112559801183245</v>
      </c>
      <c r="BU16" s="97">
        <f>'Balance Sheet'!BU28/'Balance Sheet'!BU35</f>
        <v>37.401051123440183</v>
      </c>
      <c r="BV16" s="97">
        <f>'Balance Sheet'!BV28/'Balance Sheet'!BV35</f>
        <v>31.000300974524421</v>
      </c>
      <c r="BW16" s="97">
        <f>'Balance Sheet'!BW28/'Balance Sheet'!BW35</f>
        <v>26.265653225556669</v>
      </c>
      <c r="BX16" s="97">
        <f>'Balance Sheet'!BX28/'Balance Sheet'!BX35</f>
        <v>22.773402519067805</v>
      </c>
      <c r="BY16" s="97">
        <f>'Balance Sheet'!BY28/'Balance Sheet'!BY35</f>
        <v>20.096740284196311</v>
      </c>
      <c r="BZ16" s="97">
        <f>'Balance Sheet'!BZ28/'Balance Sheet'!BZ35</f>
        <v>17.979591950952663</v>
      </c>
      <c r="CA16" s="97">
        <f>'Balance Sheet'!CA28/'Balance Sheet'!CA35</f>
        <v>16.262928553004286</v>
      </c>
      <c r="CB16" s="97">
        <f>'Balance Sheet'!CB28/'Balance Sheet'!CB35</f>
        <v>14.842773146235245</v>
      </c>
      <c r="CC16" s="97">
        <f>'Balance Sheet'!CC28/'Balance Sheet'!CC35</f>
        <v>13.648276141959121</v>
      </c>
      <c r="CD16" s="97">
        <f>'Balance Sheet'!CD28/'Balance Sheet'!CD35</f>
        <v>12.629495531817927</v>
      </c>
      <c r="CE16" s="97">
        <f>'Balance Sheet'!CE28/'Balance Sheet'!CE35</f>
        <v>11.750214528556736</v>
      </c>
      <c r="CF16" s="97">
        <f>'Balance Sheet'!CF28/'Balance Sheet'!CF35</f>
        <v>10.983529677446795</v>
      </c>
      <c r="CG16" s="97">
        <f>'Balance Sheet'!CG28/'Balance Sheet'!CG35</f>
        <v>10.309037978825359</v>
      </c>
      <c r="CH16" s="97">
        <f>'Balance Sheet'!CH28/'Balance Sheet'!CH35</f>
        <v>9.710985414433809</v>
      </c>
      <c r="CI16" s="97">
        <f>'Balance Sheet'!CI28/'Balance Sheet'!CI35</f>
        <v>9.1770141777918663</v>
      </c>
      <c r="CJ16" s="97">
        <f>'Balance Sheet'!CJ28/'Balance Sheet'!CJ35</f>
        <v>8.6972942916487312</v>
      </c>
      <c r="CK16" s="97">
        <f>'Balance Sheet'!CK28/'Balance Sheet'!CK35</f>
        <v>8.2639087084051255</v>
      </c>
      <c r="CL16" s="97">
        <f>'Balance Sheet'!CL28/'Balance Sheet'!CL35</f>
        <v>7.8704095740389519</v>
      </c>
      <c r="CM16" s="97">
        <f>'Balance Sheet'!CM28/'Balance Sheet'!CM35</f>
        <v>7.511492534079923</v>
      </c>
      <c r="CN16" s="97">
        <f>'Balance Sheet'!CN28/'Balance Sheet'!CN35</f>
        <v>7.1849629246430951</v>
      </c>
      <c r="CO16" s="97">
        <f>'Balance Sheet'!CO28/'Balance Sheet'!CO35</f>
        <v>6.884250577782284</v>
      </c>
      <c r="CP16" s="97">
        <f>'Balance Sheet'!CP28/'Balance Sheet'!CP35</f>
        <v>6.6066666252973851</v>
      </c>
      <c r="CQ16" s="97">
        <f>'Balance Sheet'!CQ28/'Balance Sheet'!CQ35</f>
        <v>6.3496133683669331</v>
      </c>
      <c r="CR16" s="97">
        <f>'Balance Sheet'!CR28/'Balance Sheet'!CR35</f>
        <v>6.1108681982907926</v>
      </c>
      <c r="CS16" s="97">
        <f>'Balance Sheet'!CS28/'Balance Sheet'!CS35</f>
        <v>5.8885182546179475</v>
      </c>
      <c r="CT16" s="97">
        <f>'Balance Sheet'!CT28/'Balance Sheet'!CT35</f>
        <v>5.6809082827063353</v>
      </c>
      <c r="CU16" s="97">
        <f>'Balance Sheet'!CU28/'Balance Sheet'!CU35</f>
        <v>5.4703987511673366</v>
      </c>
      <c r="CV16" s="97">
        <f>'Balance Sheet'!CV28/'Balance Sheet'!CV35</f>
        <v>5.2738202209203928</v>
      </c>
      <c r="CW16" s="97">
        <f>'Balance Sheet'!CW28/'Balance Sheet'!CW35</f>
        <v>5.0901367632474273</v>
      </c>
      <c r="CX16" s="97">
        <f>'Balance Sheet'!CX28/'Balance Sheet'!CX35</f>
        <v>4.9181007164581709</v>
      </c>
      <c r="CY16" s="97">
        <f>'Balance Sheet'!CY28/'Balance Sheet'!CY35</f>
        <v>4.7566204058184773</v>
      </c>
      <c r="CZ16" s="97">
        <f>'Balance Sheet'!CZ28/'Balance Sheet'!CZ35</f>
        <v>4.6047365049880593</v>
      </c>
      <c r="DA16" s="97">
        <f>'Balance Sheet'!DA28/'Balance Sheet'!DA35</f>
        <v>4.4616025696831159</v>
      </c>
      <c r="DB16" s="97">
        <f>'Balance Sheet'!DB28/'Balance Sheet'!DB35</f>
        <v>4.326468908980198</v>
      </c>
      <c r="DC16" s="97">
        <f>'Balance Sheet'!DC28/'Balance Sheet'!DC35</f>
        <v>4.1986691451705509</v>
      </c>
      <c r="DD16" s="97">
        <f>'Balance Sheet'!DD28/'Balance Sheet'!DD35</f>
        <v>4.0776089534403033</v>
      </c>
      <c r="DE16" s="97">
        <f>'Balance Sheet'!DE28/'Balance Sheet'!DE35</f>
        <v>3.9627565797681275</v>
      </c>
      <c r="DF16" s="97">
        <f>'Balance Sheet'!DF28/'Balance Sheet'!DF35</f>
        <v>3.8536348178255064</v>
      </c>
      <c r="DG16" s="97">
        <f>'Balance Sheet'!DG28/'Balance Sheet'!DG35</f>
        <v>3.7504917424372484</v>
      </c>
      <c r="DH16" s="97">
        <f>'Balance Sheet'!DH28/'Balance Sheet'!DH35</f>
        <v>3.6520256082149967</v>
      </c>
      <c r="DI16" s="97">
        <f>'Balance Sheet'!DI28/'Balance Sheet'!DI35</f>
        <v>3.5580760598397294</v>
      </c>
      <c r="DJ16" s="97">
        <f>'Balance Sheet'!DJ28/'Balance Sheet'!DJ35</f>
        <v>3.4683299816464976</v>
      </c>
      <c r="DK16" s="97">
        <f>'Balance Sheet'!DK28/'Balance Sheet'!DK35</f>
        <v>3.3825025793418733</v>
      </c>
      <c r="DL16" s="97">
        <f>'Balance Sheet'!DL28/'Balance Sheet'!DL35</f>
        <v>3.3003342487712515</v>
      </c>
      <c r="DM16" s="97">
        <f>'Balance Sheet'!DM28/'Balance Sheet'!DM35</f>
        <v>3.2215878511279175</v>
      </c>
      <c r="DN16" s="97">
        <f>'Balance Sheet'!DN28/'Balance Sheet'!DN35</f>
        <v>3.1460463343572229</v>
      </c>
      <c r="DO16" s="97">
        <f>'Balance Sheet'!DO28/'Balance Sheet'!DO35</f>
        <v>3.0735106505036955</v>
      </c>
      <c r="DP16" s="97">
        <f>'Balance Sheet'!DP28/'Balance Sheet'!DP35</f>
        <v>3.0037979269159503</v>
      </c>
      <c r="DQ16" s="97">
        <f>'Balance Sheet'!DQ28/'Balance Sheet'!DQ35</f>
        <v>2.9367398559279025</v>
      </c>
      <c r="DR16" s="97">
        <f>'Balance Sheet'!DR28/'Balance Sheet'!DR35</f>
        <v>2.8721812731604932</v>
      </c>
      <c r="DS16" s="97">
        <f>'Balance Sheet'!DS28/'Balance Sheet'!DS35</f>
        <v>2.7851505668207128</v>
      </c>
      <c r="DT16" s="97">
        <f>'Balance Sheet'!DT28/'Balance Sheet'!DT35</f>
        <v>2.7225743253942905</v>
      </c>
      <c r="DU16" s="97">
        <f>'Balance Sheet'!DU28/'Balance Sheet'!DU35</f>
        <v>2.6627481974827725</v>
      </c>
      <c r="DV16" s="97">
        <f>'Balance Sheet'!DV28/'Balance Sheet'!DV35</f>
        <v>2.5923630590924613</v>
      </c>
      <c r="DW16" s="97">
        <f>'Balance Sheet'!DW28/'Balance Sheet'!DW35</f>
        <v>2.5380655741244911</v>
      </c>
      <c r="DX16" s="97">
        <f>'Balance Sheet'!DX28/'Balance Sheet'!DX35</f>
        <v>2.4859959660034123</v>
      </c>
      <c r="DY16" s="97">
        <f>'Balance Sheet'!DY28/'Balance Sheet'!DY35</f>
        <v>2.4266168457197845</v>
      </c>
      <c r="DZ16" s="97">
        <f>'Balance Sheet'!DZ28/'Balance Sheet'!DZ35</f>
        <v>2.3789767681159262</v>
      </c>
      <c r="EA16" s="97">
        <f>'Balance Sheet'!EA28/'Balance Sheet'!EA35</f>
        <v>2.3331712429166358</v>
      </c>
      <c r="EB16" s="97">
        <f>'Balance Sheet'!EB28/'Balance Sheet'!EB35</f>
        <v>2.2890963028874598</v>
      </c>
      <c r="EC16" s="97">
        <f>'Balance Sheet'!EC28/'Balance Sheet'!EC35</f>
        <v>2.246655691143264</v>
      </c>
      <c r="ED16" s="97">
        <f>'Balance Sheet'!ED28/'Balance Sheet'!ED35</f>
        <v>2.20576015939666</v>
      </c>
      <c r="EE16" s="97">
        <f>'Balance Sheet'!EE28/'Balance Sheet'!EE35</f>
        <v>2.1665959744430845</v>
      </c>
      <c r="EF16" s="97">
        <f>'Balance Sheet'!EF28/'Balance Sheet'!EF35</f>
        <v>2.1287001711204372</v>
      </c>
      <c r="EG16" s="97">
        <f>'Balance Sheet'!EG28/'Balance Sheet'!EG35</f>
        <v>2.0921072457889465</v>
      </c>
      <c r="EH16" s="97">
        <f>'Balance Sheet'!EH28/'Balance Sheet'!EH35</f>
        <v>2.0567511434875674</v>
      </c>
      <c r="EI16" s="97">
        <f>'Balance Sheet'!EI28/'Balance Sheet'!EI35</f>
        <v>2.0225702002986279</v>
      </c>
      <c r="EJ16" s="97">
        <f>'Balance Sheet'!EJ28/'Balance Sheet'!EJ35</f>
        <v>1.9895067844409016</v>
      </c>
      <c r="EK16" s="97">
        <f>'Balance Sheet'!EK28/'Balance Sheet'!EK35</f>
        <v>1.9541267246908078</v>
      </c>
      <c r="EL16" s="97">
        <f>'Balance Sheet'!EL28/'Balance Sheet'!EL35</f>
        <v>1.9232460861262239</v>
      </c>
      <c r="EM16" s="97">
        <f>'Balance Sheet'!EM28/'Balance Sheet'!EM35</f>
        <v>1.8933262639856077</v>
      </c>
      <c r="EN16" s="97">
        <f>'Balance Sheet'!EN28/'Balance Sheet'!EN35</f>
        <v>1.8643231031005836</v>
      </c>
      <c r="EO16" s="97">
        <f>'Balance Sheet'!EO28/'Balance Sheet'!EO35</f>
        <v>1.8361951130686298</v>
      </c>
      <c r="EP16" s="97">
        <f>'Balance Sheet'!EP28/'Balance Sheet'!EP35</f>
        <v>1.803138700338895</v>
      </c>
      <c r="EQ16" s="97">
        <f>'Balance Sheet'!EQ28/'Balance Sheet'!EQ35</f>
        <v>1.7752144605255027</v>
      </c>
      <c r="ER16" s="97">
        <f>'Balance Sheet'!ER28/'Balance Sheet'!ER35</f>
        <v>1.7480251716703994</v>
      </c>
      <c r="ES16" s="97">
        <f>'Balance Sheet'!ES28/'Balance Sheet'!ES35</f>
        <v>1.7216561845137368</v>
      </c>
      <c r="ET16" s="97">
        <f>'Balance Sheet'!ET28/'Balance Sheet'!ET35</f>
        <v>1.6960709279393793</v>
      </c>
      <c r="EU16" s="97">
        <f>'Balance Sheet'!EU28/'Balance Sheet'!EU35</f>
        <v>1.671234972908108</v>
      </c>
      <c r="EV16" s="97">
        <f>'Balance Sheet'!EV28/'Balance Sheet'!EV35</f>
        <v>1.6471158778864272</v>
      </c>
      <c r="EW16" s="97">
        <f>'Balance Sheet'!EW28/'Balance Sheet'!EW35</f>
        <v>1.623683047469491</v>
      </c>
      <c r="EX16" s="97">
        <f>'Balance Sheet'!EX28/'Balance Sheet'!EX35</f>
        <v>1.6009076029026283</v>
      </c>
      <c r="EY16" s="97">
        <f>'Balance Sheet'!EY28/'Balance Sheet'!EY35</f>
        <v>1.5787622633493175</v>
      </c>
      <c r="EZ16" s="97">
        <f>'Balance Sheet'!EZ28/'Balance Sheet'!EZ35</f>
        <v>1.5550814723805579</v>
      </c>
      <c r="FA16" s="97">
        <f>'Balance Sheet'!FA28/'Balance Sheet'!FA35</f>
        <v>1.5341775345287454</v>
      </c>
      <c r="FB16" s="97">
        <f>'Balance Sheet'!FB28/'Balance Sheet'!FB35</f>
        <v>1.5138281381274756</v>
      </c>
      <c r="FC16" s="97">
        <f>'Balance Sheet'!FC28/'Balance Sheet'!FC35</f>
        <v>1.4941616343731325</v>
      </c>
      <c r="FD16" s="97">
        <f>'Balance Sheet'!FD28/'Balance Sheet'!FD35</f>
        <v>1.4749309417633616</v>
      </c>
      <c r="FE16" s="97">
        <f>'Balance Sheet'!FE28/'Balance Sheet'!FE35</f>
        <v>1.4561889783900983</v>
      </c>
      <c r="FF16" s="97">
        <f>'Balance Sheet'!FF28/'Balance Sheet'!FF35</f>
        <v>1.4379173471623492</v>
      </c>
      <c r="FG16" s="97">
        <f>'Balance Sheet'!FG28/'Balance Sheet'!FG35</f>
        <v>1.4200985629018845</v>
      </c>
      <c r="FH16" s="97">
        <f>'Balance Sheet'!FH28/'Balance Sheet'!FH35</f>
        <v>1.3992475414628156</v>
      </c>
      <c r="FI16" s="97">
        <f>'Balance Sheet'!FI28/'Balance Sheet'!FI35</f>
        <v>1.3823686435980957</v>
      </c>
      <c r="FJ16" s="97">
        <f>'Balance Sheet'!FJ28/'Balance Sheet'!FJ35</f>
        <v>1.3658921069706436</v>
      </c>
      <c r="FK16" s="97">
        <f>'Balance Sheet'!FK28/'Balance Sheet'!FK35</f>
        <v>1.3498037137390058</v>
      </c>
      <c r="FL16" s="97">
        <f>'Balance Sheet'!FL28/'Balance Sheet'!FL35</f>
        <v>1.3340899081325017</v>
      </c>
      <c r="FM16" s="97">
        <f>'Balance Sheet'!FM28/'Balance Sheet'!FM35</f>
        <v>1.3187377583570516</v>
      </c>
      <c r="FN16" s="97">
        <f>'Balance Sheet'!FN28/'Balance Sheet'!FN35</f>
        <v>1.3037349211013156</v>
      </c>
      <c r="FO16" s="97">
        <f>'Balance Sheet'!FO28/'Balance Sheet'!FO35</f>
        <v>1.2882521359135584</v>
      </c>
      <c r="FP16" s="97">
        <f>'Balance Sheet'!FP28/'Balance Sheet'!FP35</f>
        <v>1.273047137069057</v>
      </c>
      <c r="FQ16" s="97">
        <f>'Balance Sheet'!FQ28/'Balance Sheet'!FQ35</f>
        <v>1.2581968748456478</v>
      </c>
      <c r="FR16" s="97">
        <f>'Balance Sheet'!FR28/'Balance Sheet'!FR35</f>
        <v>1.2436890782382499</v>
      </c>
      <c r="FS16" s="97">
        <f>'Balance Sheet'!FS28/'Balance Sheet'!FS35</f>
        <v>1.2295120357596339</v>
      </c>
      <c r="FT16" s="97">
        <f>'Balance Sheet'!FT28/'Balance Sheet'!FT35</f>
        <v>1.215654563909609</v>
      </c>
      <c r="FU16" s="97">
        <f>'Balance Sheet'!FU28/'Balance Sheet'!FU35</f>
        <v>1.2021059777526932</v>
      </c>
      <c r="FV16" s="97">
        <f>'Balance Sheet'!FV28/'Balance Sheet'!FV35</f>
        <v>1.1888560634415848</v>
      </c>
      <c r="FW16" s="97">
        <f>'Balance Sheet'!FW28/'Balance Sheet'!FW35</f>
        <v>1.1758950525379444</v>
      </c>
      <c r="FX16" s="97">
        <f>'Balance Sheet'!FX28/'Balance Sheet'!FX35</f>
        <v>1.163213597994802</v>
      </c>
      <c r="FY16" s="97">
        <f>'Balance Sheet'!FY28/'Balance Sheet'!FY35</f>
        <v>1.1508027516764927</v>
      </c>
      <c r="FZ16" s="97">
        <f>'Balance Sheet'!FZ28/'Balance Sheet'!FZ35</f>
        <v>1.1386539433024978</v>
      </c>
      <c r="GA16" s="97">
        <f>'Balance Sheet'!GA28/'Balance Sheet'!GA35</f>
        <v>1.1246183542441059</v>
      </c>
      <c r="GB16" s="97">
        <f>'Balance Sheet'!GB28/'Balance Sheet'!GB35</f>
        <v>1.1130575820085558</v>
      </c>
      <c r="GC16" s="97">
        <f>'Balance Sheet'!GC28/'Balance Sheet'!GC35</f>
        <v>1.1017320745328791</v>
      </c>
      <c r="GD16" s="97">
        <f>'Balance Sheet'!GD28/'Balance Sheet'!GD35</f>
        <v>1.0883276949299421</v>
      </c>
      <c r="GE16" s="97">
        <f>'Balance Sheet'!GE28/'Balance Sheet'!GE35</f>
        <v>1.0774974080514383</v>
      </c>
      <c r="GF16" s="97">
        <f>'Balance Sheet'!GF28/'Balance Sheet'!GF35</f>
        <v>1.0668805483886978</v>
      </c>
      <c r="GG16" s="97">
        <f>'Balance Sheet'!GG28/'Balance Sheet'!GG35</f>
        <v>1.0514521274512649</v>
      </c>
      <c r="GH16" s="97">
        <f>'Balance Sheet'!GH28/'Balance Sheet'!GH35</f>
        <v>1.0413399177728713</v>
      </c>
      <c r="GI16" s="97">
        <f>'Balance Sheet'!GI28/'Balance Sheet'!GI35</f>
        <v>1.0314203611085309</v>
      </c>
      <c r="GJ16" s="97">
        <f>'Balance Sheet'!GJ28/'Balance Sheet'!GJ35</f>
        <v>1.0216880039069487</v>
      </c>
      <c r="GK16" s="97">
        <f>'Balance Sheet'!GK28/'Balance Sheet'!GK35</f>
        <v>1.0121375965289294</v>
      </c>
      <c r="GL16" s="97">
        <f>'Balance Sheet'!GL28/'Balance Sheet'!GL35</f>
        <v>1.0027640838051199</v>
      </c>
      <c r="GM16" s="97">
        <f>'Balance Sheet'!GM28/'Balance Sheet'!GM35</f>
        <v>0.98884994726709108</v>
      </c>
      <c r="GN16" s="97">
        <f>'Balance Sheet'!GN28/'Balance Sheet'!GN35</f>
        <v>0.97525133094446259</v>
      </c>
      <c r="GO16" s="97">
        <f>'Balance Sheet'!GO28/'Balance Sheet'!GO35</f>
        <v>0.96202165597724476</v>
      </c>
      <c r="GP16" s="97">
        <f>'Balance Sheet'!GP28/'Balance Sheet'!GP35</f>
        <v>0.94914610880548589</v>
      </c>
      <c r="GQ16" s="97">
        <f>'Balance Sheet'!GQ28/'Balance Sheet'!GQ35</f>
        <v>0.93661065844482994</v>
      </c>
      <c r="GR16" s="97">
        <f>'Balance Sheet'!GR28/'Balance Sheet'!GR35</f>
        <v>0.92440200548243279</v>
      </c>
      <c r="GS16" s="97">
        <f>'Balance Sheet'!GS28/'Balance Sheet'!GS35</f>
        <v>0.91250753501055704</v>
      </c>
      <c r="GT16" s="97">
        <f>'Balance Sheet'!GT28/'Balance Sheet'!GT35</f>
        <v>0.90091527314768438</v>
      </c>
      <c r="GU16" s="97">
        <f>'Balance Sheet'!GU28/'Balance Sheet'!GU35</f>
        <v>0.88961384683212374</v>
      </c>
      <c r="GV16" s="97">
        <f>'Balance Sheet'!GV28/'Balance Sheet'!GV35</f>
        <v>0.87859244660431435</v>
      </c>
      <c r="GW16" s="97">
        <f>'Balance Sheet'!GW28/'Balance Sheet'!GW35</f>
        <v>0.86784079212180687</v>
      </c>
      <c r="GX16" s="97">
        <f>'Balance Sheet'!GX28/'Balance Sheet'!GX35</f>
        <v>0.85734910017566712</v>
      </c>
      <c r="GY16" s="97">
        <f>'Balance Sheet'!GY28/'Balance Sheet'!GY35</f>
        <v>0.84717381920586599</v>
      </c>
      <c r="GZ16" s="97">
        <f>'Balance Sheet'!GZ28/'Balance Sheet'!GZ35</f>
        <v>0.83719820345428442</v>
      </c>
      <c r="HA16" s="97">
        <f>'Balance Sheet'!HA28/'Balance Sheet'!HA35</f>
        <v>0.827454782709932</v>
      </c>
      <c r="HB16" s="97">
        <f>'Balance Sheet'!HB28/'Balance Sheet'!HB35</f>
        <v>0.81793554329068863</v>
      </c>
      <c r="HC16" s="97">
        <f>'Balance Sheet'!HC28/'Balance Sheet'!HC35</f>
        <v>0.80863283608564807</v>
      </c>
      <c r="HD16" s="97">
        <f>'Balance Sheet'!HD28/'Balance Sheet'!HD35</f>
        <v>0.79953935605619042</v>
      </c>
      <c r="HE16" s="97">
        <f>'Balance Sheet'!HE28/'Balance Sheet'!HE35</f>
        <v>0.79064812310479915</v>
      </c>
      <c r="HF16" s="97">
        <f>'Balance Sheet'!HF28/'Balance Sheet'!HF35</f>
        <v>0.78195246420632192</v>
      </c>
      <c r="HG16" s="97">
        <f>'Balance Sheet'!HG28/'Balance Sheet'!HG35</f>
        <v>0.77344599670554126</v>
      </c>
      <c r="HH16" s="97">
        <f>'Balance Sheet'!HH28/'Balance Sheet'!HH35</f>
        <v>0.76512261269319837</v>
      </c>
      <c r="HI16" s="97">
        <f>'Balance Sheet'!HI28/'Balance Sheet'!HI35</f>
        <v>0.7569764643800927</v>
      </c>
      <c r="HJ16" s="97">
        <f>'Balance Sheet'!HJ28/'Balance Sheet'!HJ35</f>
        <v>0.74900195039565898</v>
      </c>
      <c r="HK16" s="97">
        <f>'Balance Sheet'!HK28/'Balance Sheet'!HK35</f>
        <v>0.7408903746406108</v>
      </c>
      <c r="HL16" s="97">
        <f>'Balance Sheet'!HL28/'Balance Sheet'!HL35</f>
        <v>0.73293745148069089</v>
      </c>
      <c r="HM16" s="97">
        <f>'Balance Sheet'!HM28/'Balance Sheet'!HM35</f>
        <v>0.72515345281264632</v>
      </c>
      <c r="HN16" s="97">
        <f>'Balance Sheet'!HN28/'Balance Sheet'!HN35</f>
        <v>0.71753305312030835</v>
      </c>
      <c r="HO16" s="97">
        <f>'Balance Sheet'!HO28/'Balance Sheet'!HO35</f>
        <v>0.71007114841594654</v>
      </c>
      <c r="HP16" s="97">
        <f>'Balance Sheet'!HP28/'Balance Sheet'!HP35</f>
        <v>0.70276284484002294</v>
      </c>
      <c r="HQ16" s="97">
        <f>'Balance Sheet'!HQ28/'Balance Sheet'!HQ35</f>
        <v>0.69560344795778717</v>
      </c>
      <c r="HR16" s="97">
        <f>'Balance Sheet'!HR28/'Balance Sheet'!HR35</f>
        <v>0.68858845270351854</v>
      </c>
      <c r="HS16" s="97">
        <f>'Balance Sheet'!HS28/'Balance Sheet'!HS35</f>
        <v>0.68171353392715295</v>
      </c>
      <c r="HT16" s="97">
        <f>'Balance Sheet'!HT28/'Balance Sheet'!HT35</f>
        <v>0.67497453750161085</v>
      </c>
      <c r="HU16" s="97">
        <f>'Balance Sheet'!HU28/'Balance Sheet'!HU35</f>
        <v>0.66836747195240731</v>
      </c>
      <c r="HV16" s="97">
        <f>'Balance Sheet'!HV28/'Balance Sheet'!HV35</f>
        <v>0.66188850057410309</v>
      </c>
      <c r="HW16" s="97">
        <f>'Balance Sheet'!HW28/'Balance Sheet'!HW35</f>
        <v>0.65553393400087923</v>
      </c>
      <c r="HX16" s="97">
        <f>'Balance Sheet'!HX28/'Balance Sheet'!HX35</f>
        <v>0.64930022320100711</v>
      </c>
      <c r="HY16" s="97">
        <f>'Balance Sheet'!HY28/'Balance Sheet'!HY35</f>
        <v>0.6431839528672616</v>
      </c>
      <c r="HZ16" s="97">
        <f>'Balance Sheet'!HZ28/'Balance Sheet'!HZ35</f>
        <v>0.63718183517741345</v>
      </c>
      <c r="IA16" s="97">
        <f>'Balance Sheet'!IA28/'Balance Sheet'!IA35</f>
        <v>0.63129070390085007</v>
      </c>
      <c r="IB16" s="97">
        <f>'Balance Sheet'!IB28/'Balance Sheet'!IB35</f>
        <v>0.62550750882912853</v>
      </c>
      <c r="IC16" s="97">
        <f>'Balance Sheet'!IC28/'Balance Sheet'!IC35</f>
        <v>0.61982931050987644</v>
      </c>
      <c r="ID16" s="97">
        <f>'Balance Sheet'!ID28/'Balance Sheet'!ID35</f>
        <v>0.61425327526493856</v>
      </c>
      <c r="IE16" s="97">
        <f>'Balance Sheet'!IE28/'Balance Sheet'!IE35</f>
        <v>0.60877667047502915</v>
      </c>
      <c r="IF16" s="97">
        <f>'Balance Sheet'!IF28/'Balance Sheet'!IF35</f>
        <v>0.60339686011440297</v>
      </c>
      <c r="IG16" s="97">
        <f>'Balance Sheet'!IG28/'Balance Sheet'!IG35</f>
        <v>0.59811130052021633</v>
      </c>
      <c r="IH16" s="97">
        <f>'Balance Sheet'!IH28/'Balance Sheet'!IH35</f>
        <v>0.59291753638231082</v>
      </c>
    </row>
    <row r="17" spans="1:242" x14ac:dyDescent="0.45">
      <c r="A17" s="895"/>
      <c r="B17" s="896"/>
      <c r="C17" s="84"/>
      <c r="D17" s="84"/>
      <c r="E17" s="84"/>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c r="BD17" s="84"/>
      <c r="BE17" s="84"/>
      <c r="BF17" s="84"/>
      <c r="BG17" s="84"/>
      <c r="BH17" s="84"/>
      <c r="BI17" s="84"/>
      <c r="BJ17" s="84"/>
      <c r="BK17" s="84"/>
      <c r="BL17" s="84"/>
      <c r="BM17" s="84"/>
      <c r="BN17" s="84"/>
      <c r="BO17" s="84"/>
      <c r="BP17" s="84"/>
      <c r="BQ17" s="84"/>
      <c r="BR17" s="84"/>
      <c r="BS17" s="84"/>
      <c r="BT17" s="84"/>
      <c r="BU17" s="84"/>
      <c r="BV17" s="84"/>
      <c r="BW17" s="84"/>
      <c r="BX17" s="84"/>
      <c r="BY17" s="84"/>
      <c r="BZ17" s="84"/>
      <c r="CA17" s="84"/>
      <c r="CB17" s="84"/>
      <c r="CC17" s="84"/>
      <c r="CD17" s="84"/>
      <c r="CE17" s="84"/>
      <c r="CF17" s="84"/>
      <c r="CG17" s="84"/>
      <c r="CH17" s="84"/>
      <c r="CI17" s="84"/>
      <c r="CJ17" s="84"/>
      <c r="CK17" s="84"/>
      <c r="CL17" s="84"/>
      <c r="CM17" s="84"/>
      <c r="CN17" s="84"/>
      <c r="CO17" s="84"/>
      <c r="CP17" s="84"/>
      <c r="CQ17" s="84"/>
      <c r="CR17" s="84"/>
      <c r="CS17" s="84"/>
      <c r="CT17" s="84"/>
      <c r="CU17" s="84"/>
      <c r="CV17" s="84"/>
      <c r="CW17" s="84"/>
      <c r="CX17" s="84"/>
      <c r="CY17" s="84"/>
      <c r="CZ17" s="84"/>
      <c r="DA17" s="84"/>
      <c r="DB17" s="84"/>
      <c r="DC17" s="84"/>
      <c r="DD17" s="84"/>
      <c r="DE17" s="84"/>
      <c r="DF17" s="84"/>
      <c r="DG17" s="84"/>
      <c r="DH17" s="84"/>
      <c r="DI17" s="84"/>
      <c r="DJ17" s="84"/>
      <c r="DK17" s="84"/>
      <c r="DL17" s="84"/>
      <c r="DM17" s="84"/>
      <c r="DN17" s="84"/>
      <c r="DO17" s="84"/>
      <c r="DP17" s="84"/>
      <c r="DQ17" s="84"/>
      <c r="DR17" s="84"/>
      <c r="DS17" s="84"/>
      <c r="DT17" s="84"/>
      <c r="DU17" s="84"/>
      <c r="DV17" s="84"/>
      <c r="DW17" s="84"/>
      <c r="DX17" s="84"/>
      <c r="DY17" s="84"/>
      <c r="DZ17" s="84"/>
      <c r="EA17" s="84"/>
      <c r="EB17" s="84"/>
      <c r="EC17" s="84"/>
      <c r="ED17" s="84"/>
      <c r="EE17" s="84"/>
      <c r="EF17" s="84"/>
      <c r="EG17" s="84"/>
      <c r="EH17" s="84"/>
      <c r="EI17" s="84"/>
      <c r="EJ17" s="84"/>
      <c r="EK17" s="84"/>
      <c r="EL17" s="84"/>
      <c r="EM17" s="84"/>
      <c r="EN17" s="84"/>
      <c r="EO17" s="84"/>
      <c r="EP17" s="84"/>
      <c r="EQ17" s="84"/>
      <c r="ER17" s="84"/>
      <c r="ES17" s="84"/>
      <c r="ET17" s="84"/>
      <c r="EU17" s="84"/>
      <c r="EV17" s="84"/>
      <c r="EW17" s="84"/>
      <c r="EX17" s="84"/>
      <c r="EY17" s="84"/>
      <c r="EZ17" s="84"/>
      <c r="FA17" s="84"/>
      <c r="FB17" s="84"/>
      <c r="FC17" s="84"/>
      <c r="FD17" s="84"/>
      <c r="FE17" s="84"/>
      <c r="FF17" s="84"/>
      <c r="FG17" s="84"/>
      <c r="FH17" s="84"/>
      <c r="FI17" s="84"/>
      <c r="FJ17" s="84"/>
      <c r="FK17" s="84"/>
      <c r="FL17" s="84"/>
      <c r="FM17" s="84"/>
      <c r="FN17" s="84"/>
      <c r="FO17" s="84"/>
      <c r="FP17" s="84"/>
      <c r="FQ17" s="84"/>
      <c r="FR17" s="84"/>
      <c r="FS17" s="84"/>
      <c r="FT17" s="84"/>
      <c r="FU17" s="84"/>
      <c r="FV17" s="84"/>
      <c r="FW17" s="84"/>
      <c r="FX17" s="84"/>
      <c r="FY17" s="84"/>
      <c r="FZ17" s="84"/>
      <c r="GA17" s="84"/>
      <c r="GB17" s="84"/>
      <c r="GC17" s="84"/>
      <c r="GD17" s="84"/>
      <c r="GE17" s="84"/>
      <c r="GF17" s="84"/>
      <c r="GG17" s="84"/>
      <c r="GH17" s="84"/>
      <c r="GI17" s="84"/>
      <c r="GJ17" s="84"/>
      <c r="GK17" s="84"/>
      <c r="GL17" s="84"/>
      <c r="GM17" s="84"/>
      <c r="GN17" s="84"/>
      <c r="GO17" s="84"/>
      <c r="GP17" s="84"/>
      <c r="GQ17" s="84"/>
      <c r="GR17" s="84"/>
      <c r="GS17" s="84"/>
      <c r="GT17" s="84"/>
      <c r="GU17" s="84"/>
      <c r="GV17" s="84"/>
      <c r="GW17" s="84"/>
      <c r="GX17" s="84"/>
      <c r="GY17" s="84"/>
      <c r="GZ17" s="84"/>
      <c r="HA17" s="84"/>
      <c r="HB17" s="84"/>
      <c r="HC17" s="84"/>
      <c r="HD17" s="84"/>
      <c r="HE17" s="84"/>
      <c r="HF17" s="84"/>
      <c r="HG17" s="84"/>
      <c r="HH17" s="84"/>
      <c r="HI17" s="84"/>
      <c r="HJ17" s="84"/>
      <c r="HK17" s="84"/>
      <c r="HL17" s="84"/>
      <c r="HM17" s="84"/>
      <c r="HN17" s="84"/>
      <c r="HO17" s="84"/>
      <c r="HP17" s="84"/>
      <c r="HQ17" s="84"/>
      <c r="HR17" s="84"/>
      <c r="HS17" s="84"/>
      <c r="HT17" s="84"/>
      <c r="HU17" s="84"/>
      <c r="HV17" s="84"/>
      <c r="HW17" s="84"/>
      <c r="HX17" s="84"/>
      <c r="HY17" s="84"/>
      <c r="HZ17" s="84"/>
      <c r="IA17" s="84"/>
      <c r="IB17" s="84"/>
      <c r="IC17" s="84"/>
      <c r="ID17" s="84"/>
      <c r="IE17" s="84"/>
      <c r="IF17" s="84"/>
      <c r="IG17" s="84"/>
      <c r="IH17" s="84"/>
    </row>
    <row r="18" spans="1:242" x14ac:dyDescent="0.45">
      <c r="A18" s="888" t="s">
        <v>318</v>
      </c>
      <c r="B18" s="889"/>
      <c r="C18" s="80">
        <f>'Income Stmt'!C44/'Balance Sheet'!C32</f>
        <v>-0.11828425822317512</v>
      </c>
      <c r="D18" s="80">
        <f>'Income Stmt'!D44/'Balance Sheet'!D32</f>
        <v>-0.10923305636895361</v>
      </c>
      <c r="E18" s="80">
        <f>'Income Stmt'!E44/'Balance Sheet'!E32</f>
        <v>-0.10864033008877447</v>
      </c>
      <c r="F18" s="80">
        <f>'Income Stmt'!F44/'Balance Sheet'!F32</f>
        <v>-0.10804439320791109</v>
      </c>
      <c r="G18" s="80">
        <f>'Income Stmt'!G44/'Balance Sheet'!G32</f>
        <v>-0.10744522833560964</v>
      </c>
      <c r="H18" s="80">
        <f>'Income Stmt'!H44/'Balance Sheet'!H32</f>
        <v>-0.1068428179869166</v>
      </c>
      <c r="I18" s="80">
        <f>'Income Stmt'!I44/'Balance Sheet'!I32</f>
        <v>-7.5883674701548623E-2</v>
      </c>
      <c r="J18" s="80">
        <f>'Income Stmt'!J44/'Balance Sheet'!J32</f>
        <v>-6.6017619029048208E-2</v>
      </c>
      <c r="K18" s="80">
        <f>'Income Stmt'!K44/'Balance Sheet'!K32</f>
        <v>-6.5634961130761213E-2</v>
      </c>
      <c r="L18" s="80">
        <f>'Income Stmt'!L44/'Balance Sheet'!L32</f>
        <v>-5.8000204890837237E-2</v>
      </c>
      <c r="M18" s="80">
        <f>'Income Stmt'!M44/'Balance Sheet'!M32</f>
        <v>-5.7656369703156511E-2</v>
      </c>
      <c r="N18" s="80">
        <f>'Income Stmt'!N44/'Balance Sheet'!N32</f>
        <v>-5.1579604867388273E-2</v>
      </c>
      <c r="O18" s="80">
        <f>'Income Stmt'!O44/'Balance Sheet'!O32</f>
        <v>-7.7955163329846214E-2</v>
      </c>
      <c r="P18" s="80">
        <f>'Income Stmt'!P44/'Balance Sheet'!P32</f>
        <v>-7.671313115948325E-2</v>
      </c>
      <c r="Q18" s="80">
        <f>'Income Stmt'!Q44/'Balance Sheet'!Q32</f>
        <v>-7.6502323740518824E-2</v>
      </c>
      <c r="R18" s="80">
        <f>'Income Stmt'!R44/'Balance Sheet'!R32</f>
        <v>-7.6290374448035006E-2</v>
      </c>
      <c r="S18" s="80">
        <f>'Income Stmt'!S44/'Balance Sheet'!S32</f>
        <v>-7.6077277096883555E-2</v>
      </c>
      <c r="T18" s="80">
        <f>'Income Stmt'!T44/'Balance Sheet'!T32</f>
        <v>-7.5863025468413378E-2</v>
      </c>
      <c r="U18" s="80">
        <f>'Income Stmt'!U44/'Balance Sheet'!U32</f>
        <v>-6.6747894097313867E-2</v>
      </c>
      <c r="V18" s="80">
        <f>'Income Stmt'!V44/'Balance Sheet'!V32</f>
        <v>-6.6556795002624833E-2</v>
      </c>
      <c r="W18" s="80">
        <f>'Income Stmt'!W44/'Balance Sheet'!W32</f>
        <v>-6.2677735188515146E-2</v>
      </c>
      <c r="X18" s="80">
        <f>'Income Stmt'!X44/'Balance Sheet'!X32</f>
        <v>-5.9206066283314644E-2</v>
      </c>
      <c r="Y18" s="80">
        <f>'Income Stmt'!Y44/'Balance Sheet'!Y32</f>
        <v>-5.9032289325269917E-2</v>
      </c>
      <c r="Z18" s="80">
        <f>'Income Stmt'!Z44/'Balance Sheet'!Z32</f>
        <v>-5.591469252160064E-2</v>
      </c>
      <c r="AA18" s="80">
        <f>'Income Stmt'!AA44/'Balance Sheet'!AA32</f>
        <v>-2.9217050355532896E-2</v>
      </c>
      <c r="AB18" s="80">
        <f>'Income Stmt'!AB44/'Balance Sheet'!AB32</f>
        <v>-2.9049265006170676E-2</v>
      </c>
      <c r="AC18" s="80">
        <f>'Income Stmt'!AC44/'Balance Sheet'!AC32</f>
        <v>-2.8880570819499411E-2</v>
      </c>
      <c r="AD18" s="80">
        <f>'Income Stmt'!AD44/'Balance Sheet'!AD32</f>
        <v>-2.8710962872650337E-2</v>
      </c>
      <c r="AE18" s="80">
        <f>'Income Stmt'!AE44/'Balance Sheet'!AE32</f>
        <v>-2.854043621608917E-2</v>
      </c>
      <c r="AF18" s="80">
        <f>'Income Stmt'!AF44/'Balance Sheet'!AF32</f>
        <v>-2.8368985873471635E-2</v>
      </c>
      <c r="AG18" s="80">
        <f>'Income Stmt'!AG44/'Balance Sheet'!AG32</f>
        <v>-2.8196606841498245E-2</v>
      </c>
      <c r="AH18" s="80">
        <f>'Income Stmt'!AH44/'Balance Sheet'!AH32</f>
        <v>-2.8023294089768336E-2</v>
      </c>
      <c r="AI18" s="80">
        <f>'Income Stmt'!AI44/'Balance Sheet'!AI32</f>
        <v>-2.7849042560633228E-2</v>
      </c>
      <c r="AJ18" s="80">
        <f>'Income Stmt'!AJ44/'Balance Sheet'!AJ32</f>
        <v>-2.7673847169048631E-2</v>
      </c>
      <c r="AK18" s="80">
        <f>'Income Stmt'!AK44/'Balance Sheet'!AK32</f>
        <v>-2.7497702802426284E-2</v>
      </c>
      <c r="AL18" s="80">
        <f>'Income Stmt'!AL44/'Balance Sheet'!AL32</f>
        <v>-2.7320604320484741E-2</v>
      </c>
      <c r="AM18" s="80">
        <f>'Income Stmt'!AM44/'Balance Sheet'!AM32</f>
        <v>-7.1374270236825481E-3</v>
      </c>
      <c r="AN18" s="80">
        <f>'Income Stmt'!AN44/'Balance Sheet'!AN32</f>
        <v>-6.9584047787346406E-3</v>
      </c>
      <c r="AO18" s="80">
        <f>'Income Stmt'!AO44/'Balance Sheet'!AO32</f>
        <v>-6.7784128299599395E-3</v>
      </c>
      <c r="AP18" s="80">
        <f>'Income Stmt'!AP44/'Balance Sheet'!AP32</f>
        <v>-6.5974459247960414E-3</v>
      </c>
      <c r="AQ18" s="80">
        <f>'Income Stmt'!AQ44/'Balance Sheet'!AQ32</f>
        <v>-6.4154987822291698E-3</v>
      </c>
      <c r="AR18" s="80">
        <f>'Income Stmt'!AR44/'Balance Sheet'!AR32</f>
        <v>-6.2325660926400624E-3</v>
      </c>
      <c r="AS18" s="80">
        <f>'Income Stmt'!AS44/'Balance Sheet'!AS32</f>
        <v>-6.0486425176490112E-3</v>
      </c>
      <c r="AT18" s="80">
        <f>'Income Stmt'!AT44/'Balance Sheet'!AT32</f>
        <v>-5.8637226899600952E-3</v>
      </c>
      <c r="AU18" s="80">
        <f>'Income Stmt'!AU44/'Balance Sheet'!AU32</f>
        <v>-5.6778012132045318E-3</v>
      </c>
      <c r="AV18" s="80">
        <f>'Income Stmt'!AV44/'Balance Sheet'!AV32</f>
        <v>-5.4908726617832046E-3</v>
      </c>
      <c r="AW18" s="80">
        <f>'Income Stmt'!AW44/'Balance Sheet'!AW32</f>
        <v>-5.3029315807083489E-3</v>
      </c>
      <c r="AX18" s="80">
        <f>'Income Stmt'!AX44/'Balance Sheet'!AX32</f>
        <v>-5.1139724854443337E-3</v>
      </c>
      <c r="AY18" s="80">
        <f>'Income Stmt'!AY44/'Balance Sheet'!AY32</f>
        <v>1.5818114033129341E-2</v>
      </c>
      <c r="AZ18" s="80">
        <f>'Income Stmt'!AZ44/'Balance Sheet'!AZ32</f>
        <v>1.5980473974934798E-2</v>
      </c>
      <c r="BA18" s="80">
        <f>'Income Stmt'!BA44/'Balance Sheet'!BA32</f>
        <v>1.6143713366425033E-2</v>
      </c>
      <c r="BB18" s="80">
        <f>'Income Stmt'!BB44/'Balance Sheet'!BB32</f>
        <v>1.6307836971285846E-2</v>
      </c>
      <c r="BC18" s="80">
        <f>'Income Stmt'!BC44/'Balance Sheet'!BC32</f>
        <v>1.647284957900632E-2</v>
      </c>
      <c r="BD18" s="80">
        <f>'Income Stmt'!BD44/'Balance Sheet'!BD32</f>
        <v>1.6638756005018612E-2</v>
      </c>
      <c r="BE18" s="80">
        <f>'Income Stmt'!BE44/'Balance Sheet'!BE32</f>
        <v>1.6805561090838476E-2</v>
      </c>
      <c r="BF18" s="80">
        <f>'Income Stmt'!BF44/'Balance Sheet'!BF32</f>
        <v>1.6973269704206522E-2</v>
      </c>
      <c r="BG18" s="80">
        <f>'Income Stmt'!BG44/'Balance Sheet'!BG32</f>
        <v>1.7141886739230314E-2</v>
      </c>
      <c r="BH18" s="80">
        <f>'Income Stmt'!BH44/'Balance Sheet'!BH32</f>
        <v>1.7311417116527155E-2</v>
      </c>
      <c r="BI18" s="80">
        <f>'Income Stmt'!BI44/'Balance Sheet'!BI32</f>
        <v>1.7481865783367686E-2</v>
      </c>
      <c r="BJ18" s="80">
        <f>'Income Stmt'!BJ44/'Balance Sheet'!BJ32</f>
        <v>1.7653237713820269E-2</v>
      </c>
      <c r="BK18" s="80">
        <f>'Income Stmt'!BK44/'Balance Sheet'!BK32</f>
        <v>3.0874956742212308E-2</v>
      </c>
      <c r="BL18" s="80">
        <f>'Income Stmt'!BL44/'Balance Sheet'!BL32</f>
        <v>3.1046295056053615E-2</v>
      </c>
      <c r="BM18" s="80">
        <f>'Income Stmt'!BM44/'Balance Sheet'!BM32</f>
        <v>3.1218561452428236E-2</v>
      </c>
      <c r="BN18" s="80">
        <f>'Income Stmt'!BN44/'Balance Sheet'!BN32</f>
        <v>3.1187049210491972E-2</v>
      </c>
      <c r="BO18" s="80">
        <f>'Income Stmt'!BO44/'Balance Sheet'!BO32</f>
        <v>3.136005129506033E-2</v>
      </c>
      <c r="BP18" s="80">
        <f>'Income Stmt'!BP44/'Balance Sheet'!BP32</f>
        <v>3.1533990474253426E-2</v>
      </c>
      <c r="BQ18" s="80">
        <f>'Income Stmt'!BQ44/'Balance Sheet'!BQ32</f>
        <v>3.1571615414885359E-2</v>
      </c>
      <c r="BR18" s="80">
        <f>'Income Stmt'!BR44/'Balance Sheet'!BR32</f>
        <v>3.1746682939141083E-2</v>
      </c>
      <c r="BS18" s="80">
        <f>'Income Stmt'!BS44/'Balance Sheet'!BS32</f>
        <v>3.1922698745819857E-2</v>
      </c>
      <c r="BT18" s="80">
        <f>'Income Stmt'!BT44/'Balance Sheet'!BT32</f>
        <v>3.2099667971451473E-2</v>
      </c>
      <c r="BU18" s="80">
        <f>'Income Stmt'!BU44/'Balance Sheet'!BU32</f>
        <v>3.22775957803886E-2</v>
      </c>
      <c r="BV18" s="80">
        <f>'Income Stmt'!BV44/'Balance Sheet'!BV32</f>
        <v>3.2456487364957466E-2</v>
      </c>
      <c r="BW18" s="80">
        <f>'Income Stmt'!BW44/'Balance Sheet'!BW32</f>
        <v>3.4393406563883316E-2</v>
      </c>
      <c r="BX18" s="80">
        <f>'Income Stmt'!BX44/'Balance Sheet'!BX32</f>
        <v>3.4574241389347123E-2</v>
      </c>
      <c r="BY18" s="80">
        <f>'Income Stmt'!BY44/'Balance Sheet'!BY32</f>
        <v>3.4756055736782199E-2</v>
      </c>
      <c r="BZ18" s="80">
        <f>'Income Stmt'!BZ44/'Balance Sheet'!BZ32</f>
        <v>3.4938854911932542E-2</v>
      </c>
      <c r="CA18" s="80">
        <f>'Income Stmt'!CA44/'Balance Sheet'!CA32</f>
        <v>3.5122644249281625E-2</v>
      </c>
      <c r="CB18" s="80">
        <f>'Income Stmt'!CB44/'Balance Sheet'!CB32</f>
        <v>3.5307429112208008E-2</v>
      </c>
      <c r="CC18" s="80">
        <f>'Income Stmt'!CC44/'Balance Sheet'!CC32</f>
        <v>3.549321489314191E-2</v>
      </c>
      <c r="CD18" s="80">
        <f>'Income Stmt'!CD44/'Balance Sheet'!CD32</f>
        <v>3.5680007013722537E-2</v>
      </c>
      <c r="CE18" s="80">
        <f>'Income Stmt'!CE44/'Balance Sheet'!CE32</f>
        <v>3.5867810924956306E-2</v>
      </c>
      <c r="CF18" s="80">
        <f>'Income Stmt'!CF44/'Balance Sheet'!CF32</f>
        <v>3.6056632107375933E-2</v>
      </c>
      <c r="CG18" s="80">
        <f>'Income Stmt'!CG44/'Balance Sheet'!CG32</f>
        <v>3.6246476071200323E-2</v>
      </c>
      <c r="CH18" s="80">
        <f>'Income Stmt'!CH44/'Balance Sheet'!CH32</f>
        <v>3.6437348356495439E-2</v>
      </c>
      <c r="CI18" s="80">
        <f>'Income Stmt'!CI44/'Balance Sheet'!CI32</f>
        <v>3.6629254533335896E-2</v>
      </c>
      <c r="CJ18" s="80">
        <f>'Income Stmt'!CJ44/'Balance Sheet'!CJ32</f>
        <v>3.6822200201967574E-2</v>
      </c>
      <c r="CK18" s="80">
        <f>'Income Stmt'!CK44/'Balance Sheet'!CK32</f>
        <v>3.7016190992971008E-2</v>
      </c>
      <c r="CL18" s="80">
        <f>'Income Stmt'!CL44/'Balance Sheet'!CL32</f>
        <v>3.7211232567425707E-2</v>
      </c>
      <c r="CM18" s="80">
        <f>'Income Stmt'!CM44/'Balance Sheet'!CM32</f>
        <v>3.7407330617075379E-2</v>
      </c>
      <c r="CN18" s="80">
        <f>'Income Stmt'!CN44/'Balance Sheet'!CN32</f>
        <v>3.7388365349863499E-2</v>
      </c>
      <c r="CO18" s="80">
        <f>'Income Stmt'!CO44/'Balance Sheet'!CO32</f>
        <v>3.7586593548622281E-2</v>
      </c>
      <c r="CP18" s="80">
        <f>'Income Stmt'!CP44/'Balance Sheet'!CP32</f>
        <v>3.7785895483457677E-2</v>
      </c>
      <c r="CQ18" s="80">
        <f>'Income Stmt'!CQ44/'Balance Sheet'!CQ32</f>
        <v>3.7986276970440103E-2</v>
      </c>
      <c r="CR18" s="80">
        <f>'Income Stmt'!CR44/'Balance Sheet'!CR32</f>
        <v>3.8187743857143672E-2</v>
      </c>
      <c r="CS18" s="80">
        <f>'Income Stmt'!CS44/'Balance Sheet'!CS32</f>
        <v>3.8390302022816895E-2</v>
      </c>
      <c r="CT18" s="80">
        <f>'Income Stmt'!CT44/'Balance Sheet'!CT32</f>
        <v>3.8593957378554172E-2</v>
      </c>
      <c r="CU18" s="80">
        <f>'Income Stmt'!CU44/'Balance Sheet'!CU32</f>
        <v>4.2140694926365824E-2</v>
      </c>
      <c r="CV18" s="80">
        <f>'Income Stmt'!CV44/'Balance Sheet'!CV32</f>
        <v>4.2346562523761629E-2</v>
      </c>
      <c r="CW18" s="80">
        <f>'Income Stmt'!CW44/'Balance Sheet'!CW32</f>
        <v>4.2553545237310003E-2</v>
      </c>
      <c r="CX18" s="80">
        <f>'Income Stmt'!CX44/'Balance Sheet'!CX32</f>
        <v>4.276164910722343E-2</v>
      </c>
      <c r="CY18" s="80">
        <f>'Income Stmt'!CY44/'Balance Sheet'!CY32</f>
        <v>4.2970880206432222E-2</v>
      </c>
      <c r="CZ18" s="80">
        <f>'Income Stmt'!CZ44/'Balance Sheet'!CZ32</f>
        <v>4.3181244640761729E-2</v>
      </c>
      <c r="DA18" s="80">
        <f>'Income Stmt'!DA44/'Balance Sheet'!DA32</f>
        <v>4.3392748549110516E-2</v>
      </c>
      <c r="DB18" s="80">
        <f>'Income Stmt'!DB44/'Balance Sheet'!DB32</f>
        <v>4.3605398103629518E-2</v>
      </c>
      <c r="DC18" s="80">
        <f>'Income Stmt'!DC44/'Balance Sheet'!DC32</f>
        <v>4.3819199509902179E-2</v>
      </c>
      <c r="DD18" s="80">
        <f>'Income Stmt'!DD44/'Balance Sheet'!DD32</f>
        <v>4.4034159007125477E-2</v>
      </c>
      <c r="DE18" s="80">
        <f>'Income Stmt'!DE44/'Balance Sheet'!DE32</f>
        <v>4.4250282868292072E-2</v>
      </c>
      <c r="DF18" s="80">
        <f>'Income Stmt'!DF44/'Balance Sheet'!DF32</f>
        <v>4.4467577400373326E-2</v>
      </c>
      <c r="DG18" s="80">
        <f>'Income Stmt'!DG44/'Balance Sheet'!DG32</f>
        <v>4.4469923429872854E-2</v>
      </c>
      <c r="DH18" s="80">
        <f>'Income Stmt'!DH44/'Balance Sheet'!DH32</f>
        <v>4.4689578361533575E-2</v>
      </c>
      <c r="DI18" s="80">
        <f>'Income Stmt'!DI44/'Balance Sheet'!DI32</f>
        <v>4.4910423090740802E-2</v>
      </c>
      <c r="DJ18" s="80">
        <f>'Income Stmt'!DJ44/'Balance Sheet'!DJ32</f>
        <v>4.5132464062231217E-2</v>
      </c>
      <c r="DK18" s="80">
        <f>'Income Stmt'!DK44/'Balance Sheet'!DK32</f>
        <v>4.5355707755650558E-2</v>
      </c>
      <c r="DL18" s="80">
        <f>'Income Stmt'!DL44/'Balance Sheet'!DL32</f>
        <v>4.5580160685742568E-2</v>
      </c>
      <c r="DM18" s="80">
        <f>'Income Stmt'!DM44/'Balance Sheet'!DM32</f>
        <v>4.5805829402539244E-2</v>
      </c>
      <c r="DN18" s="80">
        <f>'Income Stmt'!DN44/'Balance Sheet'!DN32</f>
        <v>4.6032720491551916E-2</v>
      </c>
      <c r="DO18" s="80">
        <f>'Income Stmt'!DO44/'Balance Sheet'!DO32</f>
        <v>4.6260840573963409E-2</v>
      </c>
      <c r="DP18" s="80">
        <f>'Income Stmt'!DP44/'Balance Sheet'!DP32</f>
        <v>4.6490196306821281E-2</v>
      </c>
      <c r="DQ18" s="80">
        <f>'Income Stmt'!DQ44/'Balance Sheet'!DQ32</f>
        <v>4.6720794383232143E-2</v>
      </c>
      <c r="DR18" s="80">
        <f>'Income Stmt'!DR44/'Balance Sheet'!DR32</f>
        <v>4.6952641532556898E-2</v>
      </c>
      <c r="DS18" s="80">
        <f>'Income Stmt'!DS44/'Balance Sheet'!DS32</f>
        <v>4.9720637606686727E-2</v>
      </c>
      <c r="DT18" s="80">
        <f>'Income Stmt'!DT44/'Balance Sheet'!DT32</f>
        <v>4.9720637606686727E-2</v>
      </c>
      <c r="DU18" s="80">
        <f>'Income Stmt'!DU44/'Balance Sheet'!DU32</f>
        <v>4.9720637606686727E-2</v>
      </c>
      <c r="DV18" s="80">
        <f>'Income Stmt'!DV44/'Balance Sheet'!DV32</f>
        <v>4.9144971604640014E-2</v>
      </c>
      <c r="DW18" s="80">
        <f>'Income Stmt'!DW44/'Balance Sheet'!DW32</f>
        <v>4.9144971604640014E-2</v>
      </c>
      <c r="DX18" s="80">
        <f>'Income Stmt'!DX44/'Balance Sheet'!DX32</f>
        <v>4.9144971604640014E-2</v>
      </c>
      <c r="DY18" s="80">
        <f>'Income Stmt'!DY44/'Balance Sheet'!DY32</f>
        <v>4.8683794080728544E-2</v>
      </c>
      <c r="DZ18" s="80">
        <f>'Income Stmt'!DZ44/'Balance Sheet'!DZ32</f>
        <v>4.8683794080728544E-2</v>
      </c>
      <c r="EA18" s="80">
        <f>'Income Stmt'!EA44/'Balance Sheet'!EA32</f>
        <v>4.8683794080728544E-2</v>
      </c>
      <c r="EB18" s="80">
        <f>'Income Stmt'!EB44/'Balance Sheet'!EB32</f>
        <v>4.8683794080728544E-2</v>
      </c>
      <c r="EC18" s="80">
        <f>'Income Stmt'!EC44/'Balance Sheet'!EC32</f>
        <v>4.8683794080728544E-2</v>
      </c>
      <c r="ED18" s="80">
        <f>'Income Stmt'!ED44/'Balance Sheet'!ED32</f>
        <v>4.8683794080728544E-2</v>
      </c>
      <c r="EE18" s="80">
        <f>'Income Stmt'!EE44/'Balance Sheet'!EE32</f>
        <v>4.8475555725535149E-2</v>
      </c>
      <c r="EF18" s="80">
        <f>'Income Stmt'!EF44/'Balance Sheet'!EF32</f>
        <v>4.8475555725535149E-2</v>
      </c>
      <c r="EG18" s="80">
        <f>'Income Stmt'!EG44/'Balance Sheet'!EG32</f>
        <v>4.8475555725535149E-2</v>
      </c>
      <c r="EH18" s="80">
        <f>'Income Stmt'!EH44/'Balance Sheet'!EH32</f>
        <v>4.8475555725535149E-2</v>
      </c>
      <c r="EI18" s="80">
        <f>'Income Stmt'!EI44/'Balance Sheet'!EI32</f>
        <v>4.8475555725535149E-2</v>
      </c>
      <c r="EJ18" s="80">
        <f>'Income Stmt'!EJ44/'Balance Sheet'!EJ32</f>
        <v>4.8475555725535149E-2</v>
      </c>
      <c r="EK18" s="80">
        <f>'Income Stmt'!EK44/'Balance Sheet'!EK32</f>
        <v>4.8224146569437285E-2</v>
      </c>
      <c r="EL18" s="80">
        <f>'Income Stmt'!EL44/'Balance Sheet'!EL32</f>
        <v>4.8224146569437285E-2</v>
      </c>
      <c r="EM18" s="80">
        <f>'Income Stmt'!EM44/'Balance Sheet'!EM32</f>
        <v>4.8224146569437285E-2</v>
      </c>
      <c r="EN18" s="80">
        <f>'Income Stmt'!EN44/'Balance Sheet'!EN32</f>
        <v>4.8224146569437285E-2</v>
      </c>
      <c r="EO18" s="80">
        <f>'Income Stmt'!EO44/'Balance Sheet'!EO32</f>
        <v>4.8224146569437285E-2</v>
      </c>
      <c r="EP18" s="80">
        <f>'Income Stmt'!EP44/'Balance Sheet'!EP32</f>
        <v>4.7729071253820553E-2</v>
      </c>
      <c r="EQ18" s="80">
        <f>'Income Stmt'!EQ44/'Balance Sheet'!EQ32</f>
        <v>5.0899504369962358E-2</v>
      </c>
      <c r="ER18" s="80">
        <f>'Income Stmt'!ER44/'Balance Sheet'!ER32</f>
        <v>5.0899504369962358E-2</v>
      </c>
      <c r="ES18" s="80">
        <f>'Income Stmt'!ES44/'Balance Sheet'!ES32</f>
        <v>5.0899504369962358E-2</v>
      </c>
      <c r="ET18" s="80">
        <f>'Income Stmt'!ET44/'Balance Sheet'!ET32</f>
        <v>5.0899504369962358E-2</v>
      </c>
      <c r="EU18" s="80">
        <f>'Income Stmt'!EU44/'Balance Sheet'!EU32</f>
        <v>5.0899504369962358E-2</v>
      </c>
      <c r="EV18" s="80">
        <f>'Income Stmt'!EV44/'Balance Sheet'!EV32</f>
        <v>5.0899504369962358E-2</v>
      </c>
      <c r="EW18" s="80">
        <f>'Income Stmt'!EW44/'Balance Sheet'!EW32</f>
        <v>5.0899504369962358E-2</v>
      </c>
      <c r="EX18" s="80">
        <f>'Income Stmt'!EX44/'Balance Sheet'!EX32</f>
        <v>5.0899504369962358E-2</v>
      </c>
      <c r="EY18" s="80">
        <f>'Income Stmt'!EY44/'Balance Sheet'!EY32</f>
        <v>5.0899504369962358E-2</v>
      </c>
      <c r="EZ18" s="80">
        <f>'Income Stmt'!EZ44/'Balance Sheet'!EZ32</f>
        <v>5.0639568196994285E-2</v>
      </c>
      <c r="FA18" s="80">
        <f>'Income Stmt'!FA44/'Balance Sheet'!FA32</f>
        <v>5.0639568196994285E-2</v>
      </c>
      <c r="FB18" s="80">
        <f>'Income Stmt'!FB44/'Balance Sheet'!FB32</f>
        <v>5.0639568196994285E-2</v>
      </c>
      <c r="FC18" s="80">
        <f>'Income Stmt'!FC44/'Balance Sheet'!FC32</f>
        <v>5.0435583610617236E-2</v>
      </c>
      <c r="FD18" s="80">
        <f>'Income Stmt'!FD44/'Balance Sheet'!FD32</f>
        <v>5.0435583610617236E-2</v>
      </c>
      <c r="FE18" s="80">
        <f>'Income Stmt'!FE44/'Balance Sheet'!FE32</f>
        <v>5.0435583610617236E-2</v>
      </c>
      <c r="FF18" s="80">
        <f>'Income Stmt'!FF44/'Balance Sheet'!FF32</f>
        <v>5.0435583610617236E-2</v>
      </c>
      <c r="FG18" s="80">
        <f>'Income Stmt'!FG44/'Balance Sheet'!FG32</f>
        <v>5.0435583610617236E-2</v>
      </c>
      <c r="FH18" s="80">
        <f>'Income Stmt'!FH44/'Balance Sheet'!FH32</f>
        <v>4.9925657842454368E-2</v>
      </c>
      <c r="FI18" s="80">
        <f>'Income Stmt'!FI44/'Balance Sheet'!FI32</f>
        <v>4.9925657842454368E-2</v>
      </c>
      <c r="FJ18" s="80">
        <f>'Income Stmt'!FJ44/'Balance Sheet'!FJ32</f>
        <v>4.9925657842454368E-2</v>
      </c>
      <c r="FK18" s="80">
        <f>'Income Stmt'!FK44/'Balance Sheet'!FK32</f>
        <v>4.9925657842454368E-2</v>
      </c>
      <c r="FL18" s="80">
        <f>'Income Stmt'!FL44/'Balance Sheet'!FL32</f>
        <v>4.9925657842454368E-2</v>
      </c>
      <c r="FM18" s="80">
        <f>'Income Stmt'!FM44/'Balance Sheet'!FM32</f>
        <v>4.9925657842454368E-2</v>
      </c>
      <c r="FN18" s="80">
        <f>'Income Stmt'!FN44/'Balance Sheet'!FN32</f>
        <v>4.9925657842454368E-2</v>
      </c>
      <c r="FO18" s="80">
        <f>'Income Stmt'!FO44/'Balance Sheet'!FO32</f>
        <v>5.3048009264291617E-2</v>
      </c>
      <c r="FP18" s="80">
        <f>'Income Stmt'!FP44/'Balance Sheet'!FP32</f>
        <v>5.3048009264291617E-2</v>
      </c>
      <c r="FQ18" s="80">
        <f>'Income Stmt'!FQ44/'Balance Sheet'!FQ32</f>
        <v>5.3048009264291617E-2</v>
      </c>
      <c r="FR18" s="80">
        <f>'Income Stmt'!FR44/'Balance Sheet'!FR32</f>
        <v>5.3048009264291617E-2</v>
      </c>
      <c r="FS18" s="80">
        <f>'Income Stmt'!FS44/'Balance Sheet'!FS32</f>
        <v>5.3048009264291617E-2</v>
      </c>
      <c r="FT18" s="80">
        <f>'Income Stmt'!FT44/'Balance Sheet'!FT32</f>
        <v>5.3048009264291617E-2</v>
      </c>
      <c r="FU18" s="80">
        <f>'Income Stmt'!FU44/'Balance Sheet'!FU32</f>
        <v>5.3048009264291617E-2</v>
      </c>
      <c r="FV18" s="80">
        <f>'Income Stmt'!FV44/'Balance Sheet'!FV32</f>
        <v>5.3048009264291617E-2</v>
      </c>
      <c r="FW18" s="80">
        <f>'Income Stmt'!FW44/'Balance Sheet'!FW32</f>
        <v>5.3048009264291617E-2</v>
      </c>
      <c r="FX18" s="80">
        <f>'Income Stmt'!FX44/'Balance Sheet'!FX32</f>
        <v>5.3048009264291617E-2</v>
      </c>
      <c r="FY18" s="80">
        <f>'Income Stmt'!FY44/'Balance Sheet'!FY32</f>
        <v>5.3048009264291617E-2</v>
      </c>
      <c r="FZ18" s="80">
        <f>'Income Stmt'!FZ44/'Balance Sheet'!FZ32</f>
        <v>5.3048009264291617E-2</v>
      </c>
      <c r="GA18" s="80">
        <f>'Income Stmt'!GA44/'Balance Sheet'!GA32</f>
        <v>5.2317137947226956E-2</v>
      </c>
      <c r="GB18" s="80">
        <f>'Income Stmt'!GB44/'Balance Sheet'!GB32</f>
        <v>5.2317137947226956E-2</v>
      </c>
      <c r="GC18" s="80">
        <f>'Income Stmt'!GC44/'Balance Sheet'!GC32</f>
        <v>5.2317137947226956E-2</v>
      </c>
      <c r="GD18" s="80">
        <f>'Income Stmt'!GD44/'Balance Sheet'!GD32</f>
        <v>5.1747390757831642E-2</v>
      </c>
      <c r="GE18" s="80">
        <f>'Income Stmt'!GE44/'Balance Sheet'!GE32</f>
        <v>5.1747390757831642E-2</v>
      </c>
      <c r="GF18" s="80">
        <f>'Income Stmt'!GF44/'Balance Sheet'!GF32</f>
        <v>5.1747390757831642E-2</v>
      </c>
      <c r="GG18" s="80">
        <f>'Income Stmt'!GG44/'Balance Sheet'!GG32</f>
        <v>5.0469765561956308E-2</v>
      </c>
      <c r="GH18" s="80">
        <f>'Income Stmt'!GH44/'Balance Sheet'!GH32</f>
        <v>5.0469765561956308E-2</v>
      </c>
      <c r="GI18" s="80">
        <f>'Income Stmt'!GI44/'Balance Sheet'!GI32</f>
        <v>5.0469765561956308E-2</v>
      </c>
      <c r="GJ18" s="80">
        <f>'Income Stmt'!GJ44/'Balance Sheet'!GJ32</f>
        <v>5.0469765561956308E-2</v>
      </c>
      <c r="GK18" s="80">
        <f>'Income Stmt'!GK44/'Balance Sheet'!GK32</f>
        <v>5.0469765561956308E-2</v>
      </c>
      <c r="GL18" s="80">
        <f>'Income Stmt'!GL44/'Balance Sheet'!GL32</f>
        <v>5.0469765561956308E-2</v>
      </c>
      <c r="GM18" s="80">
        <f>'Income Stmt'!GM44/'Balance Sheet'!GM32</f>
        <v>7.7062825821160294E-2</v>
      </c>
      <c r="GN18" s="80">
        <f>'Income Stmt'!GN44/'Balance Sheet'!GN32</f>
        <v>7.7062825821160294E-2</v>
      </c>
      <c r="GO18" s="80">
        <f>'Income Stmt'!GO44/'Balance Sheet'!GO32</f>
        <v>7.7062825821160294E-2</v>
      </c>
      <c r="GP18" s="80">
        <f>'Income Stmt'!GP44/'Balance Sheet'!GP32</f>
        <v>7.7062825821160294E-2</v>
      </c>
      <c r="GQ18" s="80">
        <f>'Income Stmt'!GQ44/'Balance Sheet'!GQ32</f>
        <v>7.7062825821160294E-2</v>
      </c>
      <c r="GR18" s="80">
        <f>'Income Stmt'!GR44/'Balance Sheet'!GR32</f>
        <v>7.7062825821160294E-2</v>
      </c>
      <c r="GS18" s="80">
        <f>'Income Stmt'!GS44/'Balance Sheet'!GS32</f>
        <v>7.7062825821160294E-2</v>
      </c>
      <c r="GT18" s="80">
        <f>'Income Stmt'!GT44/'Balance Sheet'!GT32</f>
        <v>7.7062825821160294E-2</v>
      </c>
      <c r="GU18" s="80">
        <f>'Income Stmt'!GU44/'Balance Sheet'!GU32</f>
        <v>7.7062825821160294E-2</v>
      </c>
      <c r="GV18" s="80">
        <f>'Income Stmt'!GV44/'Balance Sheet'!GV32</f>
        <v>7.7062825821160294E-2</v>
      </c>
      <c r="GW18" s="80">
        <f>'Income Stmt'!GW44/'Balance Sheet'!GW32</f>
        <v>7.7062825821160294E-2</v>
      </c>
      <c r="GX18" s="80">
        <f>'Income Stmt'!GX44/'Balance Sheet'!GX32</f>
        <v>7.7062825821160294E-2</v>
      </c>
      <c r="GY18" s="80">
        <f>'Income Stmt'!GY44/'Balance Sheet'!GY32</f>
        <v>7.6869983411655157E-2</v>
      </c>
      <c r="GZ18" s="80">
        <f>'Income Stmt'!GZ44/'Balance Sheet'!GZ32</f>
        <v>7.6869983411655157E-2</v>
      </c>
      <c r="HA18" s="80">
        <f>'Income Stmt'!HA44/'Balance Sheet'!HA32</f>
        <v>7.6869983411655157E-2</v>
      </c>
      <c r="HB18" s="80">
        <f>'Income Stmt'!HB44/'Balance Sheet'!HB32</f>
        <v>7.6869983411655157E-2</v>
      </c>
      <c r="HC18" s="80">
        <f>'Income Stmt'!HC44/'Balance Sheet'!HC32</f>
        <v>7.6869983411655157E-2</v>
      </c>
      <c r="HD18" s="80">
        <f>'Income Stmt'!HD44/'Balance Sheet'!HD32</f>
        <v>7.6869983411655157E-2</v>
      </c>
      <c r="HE18" s="80">
        <f>'Income Stmt'!HE44/'Balance Sheet'!HE32</f>
        <v>7.6869983411655157E-2</v>
      </c>
      <c r="HF18" s="80">
        <f>'Income Stmt'!HF44/'Balance Sheet'!HF32</f>
        <v>7.6869983411655157E-2</v>
      </c>
      <c r="HG18" s="80">
        <f>'Income Stmt'!HG44/'Balance Sheet'!HG32</f>
        <v>7.6869983411655157E-2</v>
      </c>
      <c r="HH18" s="80">
        <f>'Income Stmt'!HH44/'Balance Sheet'!HH32</f>
        <v>7.6869983411655157E-2</v>
      </c>
      <c r="HI18" s="80">
        <f>'Income Stmt'!HI44/'Balance Sheet'!HI32</f>
        <v>7.6869983411655157E-2</v>
      </c>
      <c r="HJ18" s="80">
        <f>'Income Stmt'!HJ44/'Balance Sheet'!HJ32</f>
        <v>7.6869983411655157E-2</v>
      </c>
      <c r="HK18" s="80">
        <f>'Income Stmt'!HK44/'Balance Sheet'!HK32</f>
        <v>8.0044774969253121E-2</v>
      </c>
      <c r="HL18" s="80">
        <f>'Income Stmt'!HL44/'Balance Sheet'!HL32</f>
        <v>8.0044774969253121E-2</v>
      </c>
      <c r="HM18" s="80">
        <f>'Income Stmt'!HM44/'Balance Sheet'!HM32</f>
        <v>8.0044774969253121E-2</v>
      </c>
      <c r="HN18" s="80">
        <f>'Income Stmt'!HN44/'Balance Sheet'!HN32</f>
        <v>8.0044774969253121E-2</v>
      </c>
      <c r="HO18" s="80">
        <f>'Income Stmt'!HO44/'Balance Sheet'!HO32</f>
        <v>8.0044774969253121E-2</v>
      </c>
      <c r="HP18" s="80">
        <f>'Income Stmt'!HP44/'Balance Sheet'!HP32</f>
        <v>8.0044774969253121E-2</v>
      </c>
      <c r="HQ18" s="80">
        <f>'Income Stmt'!HQ44/'Balance Sheet'!HQ32</f>
        <v>8.0044774969253121E-2</v>
      </c>
      <c r="HR18" s="80">
        <f>'Income Stmt'!HR44/'Balance Sheet'!HR32</f>
        <v>8.0044774969253121E-2</v>
      </c>
      <c r="HS18" s="80">
        <f>'Income Stmt'!HS44/'Balance Sheet'!HS32</f>
        <v>8.0044774969253121E-2</v>
      </c>
      <c r="HT18" s="80">
        <f>'Income Stmt'!HT44/'Balance Sheet'!HT32</f>
        <v>8.0044774969253121E-2</v>
      </c>
      <c r="HU18" s="80">
        <f>'Income Stmt'!HU44/'Balance Sheet'!HU32</f>
        <v>8.0044774969253121E-2</v>
      </c>
      <c r="HV18" s="80">
        <f>'Income Stmt'!HV44/'Balance Sheet'!HV32</f>
        <v>8.0044774969253121E-2</v>
      </c>
      <c r="HW18" s="80">
        <f>'Income Stmt'!HW44/'Balance Sheet'!HW32</f>
        <v>8.0044774969253121E-2</v>
      </c>
      <c r="HX18" s="80">
        <f>'Income Stmt'!HX44/'Balance Sheet'!HX32</f>
        <v>8.0044774969253121E-2</v>
      </c>
      <c r="HY18" s="80">
        <f>'Income Stmt'!HY44/'Balance Sheet'!HY32</f>
        <v>8.0044774969253121E-2</v>
      </c>
      <c r="HZ18" s="80">
        <f>'Income Stmt'!HZ44/'Balance Sheet'!HZ32</f>
        <v>8.0044774969253121E-2</v>
      </c>
      <c r="IA18" s="80">
        <f>'Income Stmt'!IA44/'Balance Sheet'!IA32</f>
        <v>8.0044774969253121E-2</v>
      </c>
      <c r="IB18" s="80">
        <f>'Income Stmt'!IB44/'Balance Sheet'!IB32</f>
        <v>8.0044774969253121E-2</v>
      </c>
      <c r="IC18" s="80">
        <f>'Income Stmt'!IC44/'Balance Sheet'!IC32</f>
        <v>8.0044774969253121E-2</v>
      </c>
      <c r="ID18" s="80">
        <f>'Income Stmt'!ID44/'Balance Sheet'!ID32</f>
        <v>8.0044774969253121E-2</v>
      </c>
      <c r="IE18" s="80">
        <f>'Income Stmt'!IE44/'Balance Sheet'!IE32</f>
        <v>8.0044774969253121E-2</v>
      </c>
      <c r="IF18" s="80">
        <f>'Income Stmt'!IF44/'Balance Sheet'!IF32</f>
        <v>8.0044774969253121E-2</v>
      </c>
      <c r="IG18" s="80">
        <f>'Income Stmt'!IG44/'Balance Sheet'!IG32</f>
        <v>8.0044774969253121E-2</v>
      </c>
      <c r="IH18" s="80">
        <f>'Income Stmt'!IH44/'Balance Sheet'!IH32</f>
        <v>8.0044774969253121E-2</v>
      </c>
    </row>
  </sheetData>
  <mergeCells count="28">
    <mergeCell ref="GA3:GL3"/>
    <mergeCell ref="GM3:GX3"/>
    <mergeCell ref="GY3:HJ3"/>
    <mergeCell ref="HK3:HV3"/>
    <mergeCell ref="HW3:IH3"/>
    <mergeCell ref="O3:Z3"/>
    <mergeCell ref="AA3:AL3"/>
    <mergeCell ref="EQ3:FB3"/>
    <mergeCell ref="FC3:FN3"/>
    <mergeCell ref="FO3:FZ3"/>
    <mergeCell ref="AY3:BJ3"/>
    <mergeCell ref="BK3:BV3"/>
    <mergeCell ref="BW3:CH3"/>
    <mergeCell ref="CI3:CT3"/>
    <mergeCell ref="CU3:DF3"/>
    <mergeCell ref="DG3:DR3"/>
    <mergeCell ref="AM3:AX3"/>
    <mergeCell ref="DS3:ED3"/>
    <mergeCell ref="EE3:EP3"/>
    <mergeCell ref="A18:B18"/>
    <mergeCell ref="A17:B17"/>
    <mergeCell ref="A1:B1"/>
    <mergeCell ref="A3:B3"/>
    <mergeCell ref="C3:N3"/>
    <mergeCell ref="A4:B4"/>
    <mergeCell ref="A15:B15"/>
    <mergeCell ref="A16:B16"/>
    <mergeCell ref="A5:B5"/>
  </mergeCells>
  <conditionalFormatting sqref="A1:B1">
    <cfRule type="expression" dxfId="1" priority="1">
      <formula>IF(SUM(#REF!)&lt;&gt;SUM(#REF!),1,0)</formula>
    </cfRule>
  </conditionalFormatting>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7" tint="0.39997558519241921"/>
  </sheetPr>
  <dimension ref="A1:W16"/>
  <sheetViews>
    <sheetView workbookViewId="0">
      <pane xSplit="2" ySplit="3" topLeftCell="C4" activePane="bottomRight" state="frozen"/>
      <selection activeCell="C22" sqref="C22"/>
      <selection pane="topRight" activeCell="C22" sqref="C22"/>
      <selection pane="bottomLeft" activeCell="C22" sqref="C22"/>
      <selection pane="bottomRight" activeCell="C4" sqref="C4"/>
    </sheetView>
  </sheetViews>
  <sheetFormatPr defaultRowHeight="14.25" x14ac:dyDescent="0.45"/>
  <cols>
    <col min="1" max="1" width="36.265625" customWidth="1"/>
    <col min="2" max="2" width="12.59765625" customWidth="1"/>
    <col min="3" max="3" width="14.265625" bestFit="1" customWidth="1"/>
    <col min="4" max="17" width="12.86328125" customWidth="1"/>
    <col min="18" max="18" width="12.59765625" bestFit="1" customWidth="1"/>
    <col min="19" max="22" width="12.86328125" customWidth="1"/>
    <col min="23" max="23" width="12.59765625" bestFit="1" customWidth="1"/>
  </cols>
  <sheetData>
    <row r="1" spans="1:23" ht="23.25" x14ac:dyDescent="0.7">
      <c r="A1" s="899" t="s">
        <v>320</v>
      </c>
      <c r="B1" s="899"/>
    </row>
    <row r="3" spans="1:23" x14ac:dyDescent="0.45">
      <c r="A3" s="888" t="s">
        <v>253</v>
      </c>
      <c r="B3" s="889"/>
      <c r="C3" s="98" t="s">
        <v>338</v>
      </c>
      <c r="D3" s="70">
        <v>2015</v>
      </c>
      <c r="E3" s="71">
        <v>2016</v>
      </c>
      <c r="F3" s="70">
        <v>2017</v>
      </c>
      <c r="G3" s="71">
        <v>2018</v>
      </c>
      <c r="H3" s="70">
        <v>2019</v>
      </c>
      <c r="I3" s="71">
        <v>2020</v>
      </c>
      <c r="J3" s="70">
        <v>2021</v>
      </c>
      <c r="K3" s="70">
        <v>2022</v>
      </c>
      <c r="L3" s="71">
        <v>2023</v>
      </c>
      <c r="M3" s="70">
        <v>2024</v>
      </c>
      <c r="N3" s="71">
        <v>2025</v>
      </c>
      <c r="O3" s="70">
        <v>2026</v>
      </c>
      <c r="P3" s="71">
        <v>2027</v>
      </c>
      <c r="Q3" s="70">
        <v>2028</v>
      </c>
      <c r="R3" s="70">
        <v>2029</v>
      </c>
      <c r="S3" s="71">
        <v>2030</v>
      </c>
      <c r="T3" s="70">
        <v>2031</v>
      </c>
      <c r="U3" s="71">
        <v>2032</v>
      </c>
      <c r="V3" s="70">
        <v>2033</v>
      </c>
      <c r="W3" s="70">
        <v>2034</v>
      </c>
    </row>
    <row r="4" spans="1:23" x14ac:dyDescent="0.45">
      <c r="A4" s="888" t="s">
        <v>321</v>
      </c>
      <c r="B4" s="889"/>
      <c r="C4" s="99"/>
      <c r="D4" s="76"/>
      <c r="E4" s="76"/>
      <c r="F4" s="76"/>
      <c r="G4" s="76"/>
      <c r="H4" s="76"/>
      <c r="I4" s="76"/>
      <c r="J4" s="76"/>
      <c r="K4" s="76"/>
      <c r="L4" s="76"/>
      <c r="M4" s="76"/>
      <c r="N4" s="76"/>
      <c r="O4" s="76"/>
      <c r="P4" s="76"/>
      <c r="Q4" s="76"/>
      <c r="R4" s="76"/>
      <c r="S4" s="76"/>
      <c r="T4" s="76"/>
      <c r="U4" s="76"/>
      <c r="V4" s="76"/>
      <c r="W4" s="76"/>
    </row>
    <row r="5" spans="1:23" x14ac:dyDescent="0.45">
      <c r="A5" s="895" t="s">
        <v>322</v>
      </c>
      <c r="B5" s="896"/>
      <c r="C5" s="72">
        <f>-CST_ABA_FIN_VALUE</f>
        <v>-0.2</v>
      </c>
      <c r="D5" s="24">
        <f>SUM('Cash Flow'!C32:N32)</f>
        <v>-116695871.26749593</v>
      </c>
      <c r="E5" s="24">
        <f>SUM('Cash Flow'!O32:Z32)</f>
        <v>-178609661.66898459</v>
      </c>
      <c r="F5" s="24">
        <f>SUM('Cash Flow'!AA32:AL32)</f>
        <v>-79289715.164461657</v>
      </c>
      <c r="G5" s="24">
        <f>SUM('Cash Flow'!AM32:AX32)</f>
        <v>3858219.9974943968</v>
      </c>
      <c r="H5" s="24">
        <f>SUM('Cash Flow'!AY32:BJ32)</f>
        <v>93242142.840796217</v>
      </c>
      <c r="I5" s="24">
        <f>SUM('Cash Flow'!BK32:BV32)</f>
        <v>156647609.30352399</v>
      </c>
      <c r="J5" s="24">
        <f>SUM('Cash Flow'!BW32:CH32)</f>
        <v>173858002.613112</v>
      </c>
      <c r="K5" s="24">
        <f>SUM('Cash Flow'!CI32:CT32)</f>
        <v>184457889.68959004</v>
      </c>
      <c r="L5" s="24">
        <f>SUM('Cash Flow'!CU32:DF32)</f>
        <v>208493738.61530757</v>
      </c>
      <c r="M5" s="24">
        <f>SUM('Cash Flow'!DG32:DR32)</f>
        <v>220559294.09393084</v>
      </c>
      <c r="N5" s="24">
        <f>SUM('Cash Flow'!DS32:ED32)</f>
        <v>240371737.72888723</v>
      </c>
      <c r="O5" s="24">
        <f>SUM('Cash Flow'!EE32:EP32)</f>
        <v>239778294.95408925</v>
      </c>
      <c r="P5" s="24">
        <f>SUM('Cash Flow'!EQ32:FB32)</f>
        <v>252419648.99958313</v>
      </c>
      <c r="Q5" s="24">
        <f>SUM('Cash Flow'!FC32:FN32)</f>
        <v>251826206.22478509</v>
      </c>
      <c r="R5" s="24">
        <f>SUM('Cash Flow'!FO32:FZ32)</f>
        <v>264467560.2702738</v>
      </c>
      <c r="S5" s="24">
        <f>SUM('Cash Flow'!DX32:EI32)</f>
        <v>240436184.96916589</v>
      </c>
      <c r="T5" s="24">
        <f>SUM('Cash Flow'!EJ32:EU32)</f>
        <v>244733810.74326718</v>
      </c>
      <c r="U5" s="24">
        <f>SUM('Cash Flow'!EV32:FG32)</f>
        <v>252484096.23986179</v>
      </c>
      <c r="V5" s="24">
        <f>SUM('Cash Flow'!FH32:FS32)</f>
        <v>256781722.01396126</v>
      </c>
      <c r="W5" s="24">
        <f>SUM('Cash Flow'!FT32:GE32)</f>
        <v>264532007.51055184</v>
      </c>
    </row>
    <row r="6" spans="1:23" x14ac:dyDescent="0.45">
      <c r="A6" s="895" t="s">
        <v>323</v>
      </c>
      <c r="B6" s="896"/>
      <c r="C6" s="72">
        <f>-('WH Schedule'!AB21+'Other Schedule'!K11-C5)</f>
        <v>-904076973.91975009</v>
      </c>
      <c r="D6" s="24">
        <f>D5</f>
        <v>-116695871.26749593</v>
      </c>
      <c r="E6" s="24">
        <f t="shared" ref="E6:R6" si="0">E5</f>
        <v>-178609661.66898459</v>
      </c>
      <c r="F6" s="24">
        <f t="shared" si="0"/>
        <v>-79289715.164461657</v>
      </c>
      <c r="G6" s="24">
        <f t="shared" si="0"/>
        <v>3858219.9974943968</v>
      </c>
      <c r="H6" s="24">
        <f t="shared" si="0"/>
        <v>93242142.840796217</v>
      </c>
      <c r="I6" s="24">
        <f t="shared" si="0"/>
        <v>156647609.30352399</v>
      </c>
      <c r="J6" s="24">
        <f t="shared" si="0"/>
        <v>173858002.613112</v>
      </c>
      <c r="K6" s="24">
        <f t="shared" si="0"/>
        <v>184457889.68959004</v>
      </c>
      <c r="L6" s="24">
        <f t="shared" si="0"/>
        <v>208493738.61530757</v>
      </c>
      <c r="M6" s="24">
        <f t="shared" si="0"/>
        <v>220559294.09393084</v>
      </c>
      <c r="N6" s="24">
        <f t="shared" si="0"/>
        <v>240371737.72888723</v>
      </c>
      <c r="O6" s="24">
        <f t="shared" si="0"/>
        <v>239778294.95408925</v>
      </c>
      <c r="P6" s="24">
        <f t="shared" si="0"/>
        <v>252419648.99958313</v>
      </c>
      <c r="Q6" s="24">
        <f t="shared" si="0"/>
        <v>251826206.22478509</v>
      </c>
      <c r="R6" s="24">
        <f t="shared" si="0"/>
        <v>264467560.2702738</v>
      </c>
      <c r="S6" s="24">
        <f t="shared" ref="S6:W6" si="1">S5</f>
        <v>240436184.96916589</v>
      </c>
      <c r="T6" s="24">
        <f t="shared" si="1"/>
        <v>244733810.74326718</v>
      </c>
      <c r="U6" s="24">
        <f t="shared" si="1"/>
        <v>252484096.23986179</v>
      </c>
      <c r="V6" s="24">
        <f t="shared" si="1"/>
        <v>256781722.01396126</v>
      </c>
      <c r="W6" s="24">
        <f t="shared" si="1"/>
        <v>264532007.51055184</v>
      </c>
    </row>
    <row r="7" spans="1:23" x14ac:dyDescent="0.45">
      <c r="A7" s="77"/>
      <c r="B7" s="78"/>
    </row>
    <row r="8" spans="1:23" x14ac:dyDescent="0.45">
      <c r="A8" s="888" t="s">
        <v>324</v>
      </c>
      <c r="B8" s="889"/>
    </row>
    <row r="9" spans="1:23" x14ac:dyDescent="0.45">
      <c r="A9" s="895" t="s">
        <v>325</v>
      </c>
      <c r="B9" s="896"/>
      <c r="C9" s="114">
        <v>0.25</v>
      </c>
    </row>
    <row r="10" spans="1:23" x14ac:dyDescent="0.45">
      <c r="A10" s="895" t="s">
        <v>326</v>
      </c>
      <c r="B10" s="896"/>
      <c r="C10" s="24">
        <f>NPV(C9,C5:W5)</f>
        <v>31174811.8042382</v>
      </c>
    </row>
    <row r="11" spans="1:23" ht="15" customHeight="1" x14ac:dyDescent="0.45">
      <c r="A11" s="895" t="s">
        <v>327</v>
      </c>
      <c r="B11" s="896"/>
      <c r="C11" s="80">
        <f>IRR(C5:W5,0.25)</f>
        <v>0.2744377642579392</v>
      </c>
    </row>
    <row r="12" spans="1:23" x14ac:dyDescent="0.45">
      <c r="A12" s="895"/>
      <c r="B12" s="896"/>
    </row>
    <row r="13" spans="1:23" x14ac:dyDescent="0.45">
      <c r="A13" s="888" t="s">
        <v>328</v>
      </c>
      <c r="B13" s="889"/>
    </row>
    <row r="14" spans="1:23" ht="15" customHeight="1" x14ac:dyDescent="0.45">
      <c r="A14" s="895" t="s">
        <v>325</v>
      </c>
      <c r="B14" s="896"/>
      <c r="C14" s="75">
        <v>0.25</v>
      </c>
    </row>
    <row r="15" spans="1:23" x14ac:dyDescent="0.45">
      <c r="A15" s="895" t="s">
        <v>326</v>
      </c>
      <c r="B15" s="896"/>
      <c r="C15" s="24">
        <f>NPV(C14,C6:W6)</f>
        <v>-692086767.1715616</v>
      </c>
    </row>
    <row r="16" spans="1:23" x14ac:dyDescent="0.45">
      <c r="A16" s="895" t="s">
        <v>327</v>
      </c>
      <c r="B16" s="896"/>
      <c r="C16" s="80">
        <f>IRR(C6:W6,0.25)</f>
        <v>8.8989065651695176E-2</v>
      </c>
    </row>
  </sheetData>
  <mergeCells count="14">
    <mergeCell ref="A1:B1"/>
    <mergeCell ref="A14:B14"/>
    <mergeCell ref="A15:B15"/>
    <mergeCell ref="A16:B16"/>
    <mergeCell ref="A3:B3"/>
    <mergeCell ref="A4:B4"/>
    <mergeCell ref="A5:B5"/>
    <mergeCell ref="A6:B6"/>
    <mergeCell ref="A11:B11"/>
    <mergeCell ref="A8:B8"/>
    <mergeCell ref="A9:B9"/>
    <mergeCell ref="A10:B10"/>
    <mergeCell ref="A12:B12"/>
    <mergeCell ref="A13:B13"/>
  </mergeCells>
  <conditionalFormatting sqref="A1:B1">
    <cfRule type="expression" dxfId="0" priority="1">
      <formula>IF(SUM(#REF!)&lt;&gt;SUM(#REF!),1,0)</formula>
    </cfRule>
  </conditionalFormatting>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FFFF00"/>
  </sheetPr>
  <dimension ref="A1:A10"/>
  <sheetViews>
    <sheetView workbookViewId="0">
      <selection sqref="A1:A10"/>
    </sheetView>
  </sheetViews>
  <sheetFormatPr defaultRowHeight="14.25" x14ac:dyDescent="0.45"/>
  <sheetData>
    <row r="1" spans="1:1" x14ac:dyDescent="0.45">
      <c r="A1" t="s">
        <v>154</v>
      </c>
    </row>
    <row r="2" spans="1:1" x14ac:dyDescent="0.45">
      <c r="A2" s="755" t="s">
        <v>763</v>
      </c>
    </row>
    <row r="3" spans="1:1" x14ac:dyDescent="0.45">
      <c r="A3" s="755" t="s">
        <v>764</v>
      </c>
    </row>
    <row r="4" spans="1:1" x14ac:dyDescent="0.45">
      <c r="A4" s="755" t="s">
        <v>765</v>
      </c>
    </row>
    <row r="5" spans="1:1" x14ac:dyDescent="0.45">
      <c r="A5" s="755" t="s">
        <v>768</v>
      </c>
    </row>
    <row r="6" spans="1:1" x14ac:dyDescent="0.45">
      <c r="A6" s="755" t="s">
        <v>769</v>
      </c>
    </row>
    <row r="7" spans="1:1" x14ac:dyDescent="0.45">
      <c r="A7" s="755" t="s">
        <v>766</v>
      </c>
    </row>
    <row r="8" spans="1:1" x14ac:dyDescent="0.45">
      <c r="A8" s="755" t="s">
        <v>767</v>
      </c>
    </row>
    <row r="9" spans="1:1" x14ac:dyDescent="0.45">
      <c r="A9" s="755" t="s">
        <v>770</v>
      </c>
    </row>
    <row r="10" spans="1:1" x14ac:dyDescent="0.45">
      <c r="A10" s="755" t="s">
        <v>771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7"/>
  <sheetViews>
    <sheetView showZeros="0" zoomScale="85" zoomScaleNormal="85" workbookViewId="0">
      <pane xSplit="1" ySplit="5" topLeftCell="B69" activePane="bottomRight" state="frozen"/>
      <selection pane="topRight" activeCell="B1" sqref="B1"/>
      <selection pane="bottomLeft" activeCell="A6" sqref="A6"/>
      <selection pane="bottomRight" activeCell="C91" sqref="C91"/>
    </sheetView>
  </sheetViews>
  <sheetFormatPr defaultColWidth="9.1328125" defaultRowHeight="13.9" x14ac:dyDescent="0.4"/>
  <cols>
    <col min="1" max="1" width="27" style="159" customWidth="1"/>
    <col min="2" max="22" width="8.73046875" style="159" customWidth="1"/>
    <col min="23" max="23" width="12" style="159" customWidth="1"/>
    <col min="24" max="27" width="8.265625" style="159" customWidth="1"/>
    <col min="28" max="16384" width="9.1328125" style="159"/>
  </cols>
  <sheetData>
    <row r="1" spans="1:23" ht="15.95" customHeight="1" x14ac:dyDescent="0.4">
      <c r="A1" s="241" t="s">
        <v>582</v>
      </c>
      <c r="B1" s="176"/>
      <c r="C1" s="176"/>
      <c r="D1" s="176"/>
      <c r="E1" s="176"/>
      <c r="F1" s="176"/>
      <c r="G1" s="176"/>
      <c r="H1" s="176"/>
      <c r="I1" s="176"/>
      <c r="J1" s="176"/>
      <c r="K1" s="176"/>
      <c r="L1" s="176"/>
      <c r="M1" s="176"/>
      <c r="N1" s="176"/>
      <c r="O1" s="176"/>
      <c r="P1" s="176"/>
      <c r="Q1" s="176"/>
      <c r="R1" s="176"/>
      <c r="S1" s="176"/>
      <c r="T1" s="176"/>
      <c r="U1" s="176"/>
      <c r="V1" s="176"/>
    </row>
    <row r="2" spans="1:23" ht="15.95" customHeight="1" thickBot="1" x14ac:dyDescent="0.45">
      <c r="A2" s="240" t="s">
        <v>581</v>
      </c>
      <c r="B2" s="176"/>
      <c r="C2" s="176"/>
      <c r="D2" s="176"/>
      <c r="F2" s="176"/>
      <c r="G2" s="176"/>
      <c r="H2" s="176"/>
      <c r="I2" s="176"/>
      <c r="J2" s="176"/>
      <c r="K2" s="176"/>
      <c r="L2" s="176"/>
      <c r="M2" s="176"/>
      <c r="N2" s="176"/>
      <c r="O2" s="176"/>
      <c r="P2" s="176"/>
      <c r="Q2" s="176"/>
      <c r="R2" s="176"/>
      <c r="S2" s="176"/>
      <c r="T2" s="176"/>
      <c r="U2" s="176"/>
      <c r="V2" s="176"/>
    </row>
    <row r="3" spans="1:23" ht="15.95" customHeight="1" thickBot="1" x14ac:dyDescent="0.45">
      <c r="A3" s="240" t="s">
        <v>580</v>
      </c>
      <c r="B3" s="239"/>
      <c r="C3" s="238" t="s">
        <v>579</v>
      </c>
      <c r="D3" s="237"/>
      <c r="E3" s="237">
        <f t="shared" ref="E3:V3" si="0">IF(D5=0,0,(E5-D5)/D5)</f>
        <v>0</v>
      </c>
      <c r="F3" s="237">
        <f t="shared" si="0"/>
        <v>0.65465878821152412</v>
      </c>
      <c r="G3" s="237">
        <f t="shared" si="0"/>
        <v>0.46542808252635864</v>
      </c>
      <c r="H3" s="237">
        <f t="shared" si="0"/>
        <v>0.21261436546079299</v>
      </c>
      <c r="I3" s="237">
        <f t="shared" si="0"/>
        <v>4.7619047619048178E-2</v>
      </c>
      <c r="J3" s="237">
        <f t="shared" si="0"/>
        <v>0</v>
      </c>
      <c r="K3" s="237">
        <f t="shared" si="0"/>
        <v>4.5454545454545685E-2</v>
      </c>
      <c r="L3" s="237">
        <f t="shared" si="0"/>
        <v>0</v>
      </c>
      <c r="M3" s="237">
        <f t="shared" si="0"/>
        <v>4.3478260869564772E-2</v>
      </c>
      <c r="N3" s="237">
        <f t="shared" si="0"/>
        <v>0</v>
      </c>
      <c r="O3" s="237">
        <f t="shared" si="0"/>
        <v>4.1666666666667018E-2</v>
      </c>
      <c r="P3" s="237">
        <f t="shared" si="0"/>
        <v>0</v>
      </c>
      <c r="Q3" s="237">
        <f t="shared" si="0"/>
        <v>3.9999999999999591E-2</v>
      </c>
      <c r="R3" s="237">
        <f t="shared" si="0"/>
        <v>0</v>
      </c>
      <c r="S3" s="237">
        <f t="shared" si="0"/>
        <v>3.8461538461538554E-2</v>
      </c>
      <c r="T3" s="237">
        <f t="shared" si="0"/>
        <v>0</v>
      </c>
      <c r="U3" s="237">
        <f t="shared" si="0"/>
        <v>3.7037037037037118E-2</v>
      </c>
      <c r="V3" s="237">
        <f t="shared" si="0"/>
        <v>0</v>
      </c>
      <c r="W3" s="161"/>
    </row>
    <row r="4" spans="1:23" ht="24.95" customHeight="1" x14ac:dyDescent="0.4">
      <c r="A4" s="236"/>
      <c r="B4" s="235" t="s">
        <v>578</v>
      </c>
      <c r="C4" s="234" t="s">
        <v>577</v>
      </c>
      <c r="D4" s="234" t="s">
        <v>576</v>
      </c>
      <c r="E4" s="234" t="s">
        <v>575</v>
      </c>
      <c r="F4" s="234" t="s">
        <v>574</v>
      </c>
      <c r="G4" s="234" t="s">
        <v>573</v>
      </c>
      <c r="H4" s="234" t="s">
        <v>572</v>
      </c>
      <c r="I4" s="234" t="s">
        <v>571</v>
      </c>
      <c r="J4" s="234" t="s">
        <v>570</v>
      </c>
      <c r="K4" s="234" t="s">
        <v>569</v>
      </c>
      <c r="L4" s="234" t="s">
        <v>568</v>
      </c>
      <c r="M4" s="234" t="s">
        <v>567</v>
      </c>
      <c r="N4" s="234" t="s">
        <v>566</v>
      </c>
      <c r="O4" s="234" t="s">
        <v>565</v>
      </c>
      <c r="P4" s="234" t="s">
        <v>564</v>
      </c>
      <c r="Q4" s="234" t="s">
        <v>563</v>
      </c>
      <c r="R4" s="234" t="s">
        <v>562</v>
      </c>
      <c r="S4" s="234" t="s">
        <v>561</v>
      </c>
      <c r="T4" s="234" t="s">
        <v>560</v>
      </c>
      <c r="U4" s="234" t="s">
        <v>559</v>
      </c>
      <c r="V4" s="234" t="s">
        <v>558</v>
      </c>
      <c r="W4" s="161"/>
    </row>
    <row r="5" spans="1:23" ht="15.95" customHeight="1" x14ac:dyDescent="0.4">
      <c r="A5" s="195" t="s">
        <v>557</v>
      </c>
      <c r="C5" s="233">
        <f>PL_Extract!E7</f>
        <v>0</v>
      </c>
      <c r="D5" s="233">
        <f>PL_Extract!F7</f>
        <v>0</v>
      </c>
      <c r="E5" s="233">
        <f>PL_Extract!G7</f>
        <v>68355.122269621614</v>
      </c>
      <c r="F5" s="233">
        <f>PL_Extract!H7</f>
        <v>113104.40378270266</v>
      </c>
      <c r="G5" s="233">
        <f>PL_Extract!I7</f>
        <v>165746.36956057299</v>
      </c>
      <c r="H5" s="233">
        <f>PL_Extract!J7</f>
        <v>200986.42875212431</v>
      </c>
      <c r="I5" s="233">
        <f>PL_Extract!K7</f>
        <v>210557.21107365415</v>
      </c>
      <c r="J5" s="233">
        <f>PL_Extract!L7</f>
        <v>210557.21107365415</v>
      </c>
      <c r="K5" s="233">
        <f>PL_Extract!M7</f>
        <v>220127.99339518393</v>
      </c>
      <c r="L5" s="233">
        <f>PL_Extract!N7</f>
        <v>220127.99339518393</v>
      </c>
      <c r="M5" s="233">
        <f>PL_Extract!O7</f>
        <v>229698.77571671357</v>
      </c>
      <c r="N5" s="233">
        <f>PL_Extract!P7</f>
        <v>229698.77571671357</v>
      </c>
      <c r="O5" s="233">
        <f>PL_Extract!Q7</f>
        <v>239269.55803824338</v>
      </c>
      <c r="P5" s="233">
        <f>PL_Extract!R7</f>
        <v>239269.55803824338</v>
      </c>
      <c r="Q5" s="233">
        <f>PL_Extract!S7</f>
        <v>248840.34035977302</v>
      </c>
      <c r="R5" s="233">
        <f>PL_Extract!T7</f>
        <v>248840.34035977302</v>
      </c>
      <c r="S5" s="233">
        <f>PL_Extract!U7</f>
        <v>258411.12268130278</v>
      </c>
      <c r="T5" s="233">
        <f>PL_Extract!V7</f>
        <v>258411.12268130278</v>
      </c>
      <c r="U5" s="233">
        <f>PL_Extract!W7</f>
        <v>267981.90500283253</v>
      </c>
      <c r="V5" s="233">
        <f>PL_Extract!X7</f>
        <v>267981.90500283253</v>
      </c>
      <c r="W5" s="161"/>
    </row>
    <row r="6" spans="1:23" ht="15.95" customHeight="1" x14ac:dyDescent="0.4">
      <c r="A6" s="212" t="s">
        <v>556</v>
      </c>
      <c r="B6" s="211"/>
      <c r="C6" s="214">
        <f>PL_Extract!E9</f>
        <v>0</v>
      </c>
      <c r="D6" s="214">
        <f>PL_Extract!F9</f>
        <v>0</v>
      </c>
      <c r="E6" s="214">
        <f>PL_Extract!G9</f>
        <v>68355.122269621614</v>
      </c>
      <c r="F6" s="214">
        <f>PL_Extract!H9</f>
        <v>113104.40378270266</v>
      </c>
      <c r="G6" s="214">
        <f>PL_Extract!I9</f>
        <v>165746.36956057299</v>
      </c>
      <c r="H6" s="214">
        <f>PL_Extract!J9</f>
        <v>200986.42875212431</v>
      </c>
      <c r="I6" s="214">
        <f>PL_Extract!K9</f>
        <v>210557.21107365415</v>
      </c>
      <c r="J6" s="214">
        <f>PL_Extract!L9</f>
        <v>210557.21107365415</v>
      </c>
      <c r="K6" s="214">
        <f>PL_Extract!M9</f>
        <v>220127.99339518393</v>
      </c>
      <c r="L6" s="214">
        <f>PL_Extract!N9</f>
        <v>220127.99339518393</v>
      </c>
      <c r="M6" s="214">
        <f>PL_Extract!O9</f>
        <v>229698.77571671357</v>
      </c>
      <c r="N6" s="214">
        <f>PL_Extract!P9</f>
        <v>229698.77571671357</v>
      </c>
      <c r="O6" s="214">
        <f>PL_Extract!Q9</f>
        <v>239269.55803824338</v>
      </c>
      <c r="P6" s="214">
        <f>PL_Extract!R9</f>
        <v>239269.55803824338</v>
      </c>
      <c r="Q6" s="214">
        <f>PL_Extract!S9</f>
        <v>248840.34035977302</v>
      </c>
      <c r="R6" s="214">
        <f>PL_Extract!T9</f>
        <v>248840.34035977302</v>
      </c>
      <c r="S6" s="214">
        <f>PL_Extract!U9</f>
        <v>258411.12268130278</v>
      </c>
      <c r="T6" s="214">
        <f>PL_Extract!V9</f>
        <v>258411.12268130278</v>
      </c>
      <c r="U6" s="214">
        <f>PL_Extract!W9</f>
        <v>267981.90500283253</v>
      </c>
      <c r="V6" s="214">
        <f>PL_Extract!X9</f>
        <v>267981.90500283253</v>
      </c>
      <c r="W6" s="161"/>
    </row>
    <row r="7" spans="1:23" x14ac:dyDescent="0.4">
      <c r="A7" s="207" t="s">
        <v>555</v>
      </c>
      <c r="B7" s="227"/>
      <c r="C7" s="232">
        <f>-PL_Extract!E13</f>
        <v>0</v>
      </c>
      <c r="D7" s="232">
        <f>-PL_Extract!F13</f>
        <v>-517.37600000000009</v>
      </c>
      <c r="E7" s="232">
        <f>-PL_Extract!G13</f>
        <v>-517.37600000000009</v>
      </c>
      <c r="F7" s="232">
        <f>-PL_Extract!H13</f>
        <v>-517.37600000000009</v>
      </c>
      <c r="G7" s="232">
        <f>-PL_Extract!I13</f>
        <v>-517.37600000000009</v>
      </c>
      <c r="H7" s="232">
        <f>-PL_Extract!J13</f>
        <v>-517.37600000000009</v>
      </c>
      <c r="I7" s="232">
        <f>-PL_Extract!K13</f>
        <v>-517.37600000000009</v>
      </c>
      <c r="J7" s="232">
        <f>-PL_Extract!L13</f>
        <v>-517.37600000000009</v>
      </c>
      <c r="K7" s="232">
        <f>-PL_Extract!M13</f>
        <v>-517.37600000000009</v>
      </c>
      <c r="L7" s="232">
        <f>-PL_Extract!N13</f>
        <v>-517.37600000000009</v>
      </c>
      <c r="M7" s="232">
        <f>-PL_Extract!O13</f>
        <v>-517.37600000000009</v>
      </c>
      <c r="N7" s="232">
        <f>-PL_Extract!P13</f>
        <v>-517.37600000000009</v>
      </c>
      <c r="O7" s="232">
        <f>-PL_Extract!Q13</f>
        <v>-517.37600000000009</v>
      </c>
      <c r="P7" s="232">
        <f>-PL_Extract!R13</f>
        <v>-517.37600000000009</v>
      </c>
      <c r="Q7" s="232">
        <f>-PL_Extract!S13</f>
        <v>-517.37600000000009</v>
      </c>
      <c r="R7" s="232">
        <f>-PL_Extract!T13</f>
        <v>-517.37600000000009</v>
      </c>
      <c r="S7" s="232">
        <f>-PL_Extract!U13</f>
        <v>-517.37600000000009</v>
      </c>
      <c r="T7" s="232">
        <f>-PL_Extract!V13</f>
        <v>-517.37600000000009</v>
      </c>
      <c r="U7" s="232">
        <f>-PL_Extract!W13</f>
        <v>-517.37600000000009</v>
      </c>
      <c r="V7" s="232">
        <f>-PL_Extract!X13</f>
        <v>-517.37600000000009</v>
      </c>
      <c r="W7" s="161"/>
    </row>
    <row r="8" spans="1:23" x14ac:dyDescent="0.4">
      <c r="A8" s="207" t="s">
        <v>554</v>
      </c>
      <c r="B8" s="227"/>
      <c r="C8" s="232">
        <f>-PL_Extract!E14</f>
        <v>0</v>
      </c>
      <c r="D8" s="232">
        <f>-PL_Extract!F14</f>
        <v>0</v>
      </c>
      <c r="E8" s="232">
        <f>-PL_Extract!G14</f>
        <v>-2050.6536680886479</v>
      </c>
      <c r="F8" s="232">
        <f>-PL_Extract!H14</f>
        <v>-3393.1321134810796</v>
      </c>
      <c r="G8" s="232">
        <f>-PL_Extract!I14</f>
        <v>-4972.3910868171879</v>
      </c>
      <c r="H8" s="232">
        <f>-PL_Extract!J14</f>
        <v>-6029.5928625637289</v>
      </c>
      <c r="I8" s="232">
        <f>-PL_Extract!K14</f>
        <v>-6316.716332209623</v>
      </c>
      <c r="J8" s="232">
        <f>-PL_Extract!L14</f>
        <v>-6316.716332209623</v>
      </c>
      <c r="K8" s="232">
        <f>-PL_Extract!M14</f>
        <v>-6603.8398018555163</v>
      </c>
      <c r="L8" s="232">
        <f>-PL_Extract!N14</f>
        <v>-6603.8398018555163</v>
      </c>
      <c r="M8" s="232">
        <f>-PL_Extract!O14</f>
        <v>-6890.9632715014059</v>
      </c>
      <c r="N8" s="232">
        <f>-PL_Extract!P14</f>
        <v>-6890.9632715014059</v>
      </c>
      <c r="O8" s="232">
        <f>-PL_Extract!Q14</f>
        <v>-7178.0867411472991</v>
      </c>
      <c r="P8" s="232">
        <f>-PL_Extract!R14</f>
        <v>-7178.0867411472991</v>
      </c>
      <c r="Q8" s="232">
        <f>-PL_Extract!S14</f>
        <v>-7465.2102107931923</v>
      </c>
      <c r="R8" s="232">
        <f>-PL_Extract!T14</f>
        <v>-7465.2102107931923</v>
      </c>
      <c r="S8" s="232">
        <f>-PL_Extract!U14</f>
        <v>-7752.333680439081</v>
      </c>
      <c r="T8" s="232">
        <f>-PL_Extract!V14</f>
        <v>-7752.333680439081</v>
      </c>
      <c r="U8" s="232">
        <f>-PL_Extract!W14</f>
        <v>-8039.4571500849734</v>
      </c>
      <c r="V8" s="232">
        <f>-PL_Extract!X14</f>
        <v>-8039.4571500849734</v>
      </c>
      <c r="W8" s="161"/>
    </row>
    <row r="9" spans="1:23" x14ac:dyDescent="0.4">
      <c r="A9" s="207" t="s">
        <v>553</v>
      </c>
      <c r="B9" s="227"/>
      <c r="C9" s="232">
        <f>-PL_Extract!E15</f>
        <v>0</v>
      </c>
      <c r="D9" s="232">
        <f>-PL_Extract!F15</f>
        <v>0</v>
      </c>
      <c r="E9" s="232">
        <f>-PL_Extract!G15</f>
        <v>-240</v>
      </c>
      <c r="F9" s="232">
        <f>-PL_Extract!H15</f>
        <v>-240</v>
      </c>
      <c r="G9" s="232">
        <f>-PL_Extract!I15</f>
        <v>-240</v>
      </c>
      <c r="H9" s="232">
        <f>-PL_Extract!J15</f>
        <v>-240</v>
      </c>
      <c r="I9" s="232">
        <f>-PL_Extract!K15</f>
        <v>-240</v>
      </c>
      <c r="J9" s="232">
        <f>-PL_Extract!L15</f>
        <v>-240</v>
      </c>
      <c r="K9" s="232">
        <f>-PL_Extract!M15</f>
        <v>-240</v>
      </c>
      <c r="L9" s="232">
        <f>-PL_Extract!N15</f>
        <v>-240</v>
      </c>
      <c r="M9" s="232">
        <f>-PL_Extract!O15</f>
        <v>-240</v>
      </c>
      <c r="N9" s="232">
        <f>-PL_Extract!P15</f>
        <v>-240</v>
      </c>
      <c r="O9" s="232">
        <f>-PL_Extract!Q15</f>
        <v>-240</v>
      </c>
      <c r="P9" s="232">
        <f>-PL_Extract!R15</f>
        <v>-240</v>
      </c>
      <c r="Q9" s="232">
        <f>-PL_Extract!S15</f>
        <v>-240</v>
      </c>
      <c r="R9" s="232">
        <f>-PL_Extract!T15</f>
        <v>-240</v>
      </c>
      <c r="S9" s="232">
        <f>-PL_Extract!U15</f>
        <v>-240</v>
      </c>
      <c r="T9" s="232">
        <f>-PL_Extract!V15</f>
        <v>-240</v>
      </c>
      <c r="U9" s="232">
        <f>-PL_Extract!W15</f>
        <v>-240</v>
      </c>
      <c r="V9" s="232">
        <f>-PL_Extract!X15</f>
        <v>-240</v>
      </c>
      <c r="W9" s="161"/>
    </row>
    <row r="10" spans="1:23" ht="15.95" customHeight="1" x14ac:dyDescent="0.4">
      <c r="A10" s="212" t="s">
        <v>552</v>
      </c>
      <c r="B10" s="211"/>
      <c r="C10" s="214">
        <f t="shared" ref="C10:V10" si="1">SUM(C6:C9)</f>
        <v>0</v>
      </c>
      <c r="D10" s="214">
        <f t="shared" si="1"/>
        <v>-517.37600000000009</v>
      </c>
      <c r="E10" s="214">
        <f t="shared" si="1"/>
        <v>65547.092601532961</v>
      </c>
      <c r="F10" s="214">
        <f t="shared" si="1"/>
        <v>108953.89566922157</v>
      </c>
      <c r="G10" s="214">
        <f t="shared" si="1"/>
        <v>160016.6024737558</v>
      </c>
      <c r="H10" s="214">
        <f t="shared" si="1"/>
        <v>194199.45988956059</v>
      </c>
      <c r="I10" s="214">
        <f t="shared" si="1"/>
        <v>203483.11874144454</v>
      </c>
      <c r="J10" s="214">
        <f t="shared" si="1"/>
        <v>203483.11874144454</v>
      </c>
      <c r="K10" s="214">
        <f t="shared" si="1"/>
        <v>212766.77759332844</v>
      </c>
      <c r="L10" s="214">
        <f t="shared" si="1"/>
        <v>212766.77759332844</v>
      </c>
      <c r="M10" s="214">
        <f t="shared" si="1"/>
        <v>222050.43644521217</v>
      </c>
      <c r="N10" s="214">
        <f t="shared" si="1"/>
        <v>222050.43644521217</v>
      </c>
      <c r="O10" s="214">
        <f t="shared" si="1"/>
        <v>231334.09529709609</v>
      </c>
      <c r="P10" s="214">
        <f t="shared" si="1"/>
        <v>231334.09529709609</v>
      </c>
      <c r="Q10" s="214">
        <f t="shared" si="1"/>
        <v>240617.75414897985</v>
      </c>
      <c r="R10" s="214">
        <f t="shared" si="1"/>
        <v>240617.75414897985</v>
      </c>
      <c r="S10" s="214">
        <f t="shared" si="1"/>
        <v>249901.41300086371</v>
      </c>
      <c r="T10" s="214">
        <f t="shared" si="1"/>
        <v>249901.41300086371</v>
      </c>
      <c r="U10" s="214">
        <f t="shared" si="1"/>
        <v>259185.07185274755</v>
      </c>
      <c r="V10" s="214">
        <f t="shared" si="1"/>
        <v>259185.07185274755</v>
      </c>
      <c r="W10" s="161"/>
    </row>
    <row r="11" spans="1:23" ht="15.95" customHeight="1" x14ac:dyDescent="0.4">
      <c r="A11" s="207" t="s">
        <v>523</v>
      </c>
      <c r="B11" s="227"/>
      <c r="C11" s="232">
        <f>-PL_Extract!E11</f>
        <v>0</v>
      </c>
      <c r="D11" s="232">
        <f>-PL_Extract!F11</f>
        <v>0</v>
      </c>
      <c r="E11" s="232">
        <f>-PL_Extract!G11</f>
        <v>0</v>
      </c>
      <c r="F11" s="232">
        <f>-PL_Extract!H11</f>
        <v>0</v>
      </c>
      <c r="G11" s="232">
        <f>-PL_Extract!I11</f>
        <v>0</v>
      </c>
      <c r="H11" s="232">
        <f>-PL_Extract!J11</f>
        <v>0</v>
      </c>
      <c r="I11" s="232">
        <f>-PL_Extract!K11</f>
        <v>0</v>
      </c>
      <c r="J11" s="232">
        <f>-PL_Extract!L11</f>
        <v>0</v>
      </c>
      <c r="K11" s="232">
        <f>-PL_Extract!M11</f>
        <v>0</v>
      </c>
      <c r="L11" s="232">
        <f>-PL_Extract!N11</f>
        <v>0</v>
      </c>
      <c r="M11" s="232">
        <f>-PL_Extract!O11</f>
        <v>0</v>
      </c>
      <c r="N11" s="232">
        <f>-PL_Extract!P11</f>
        <v>0</v>
      </c>
      <c r="O11" s="232">
        <f>-PL_Extract!Q11</f>
        <v>0</v>
      </c>
      <c r="P11" s="232">
        <f>-PL_Extract!R11</f>
        <v>0</v>
      </c>
      <c r="Q11" s="232">
        <f>-PL_Extract!S11</f>
        <v>0</v>
      </c>
      <c r="R11" s="232">
        <f>-PL_Extract!T11</f>
        <v>0</v>
      </c>
      <c r="S11" s="232">
        <f>-PL_Extract!U11</f>
        <v>0</v>
      </c>
      <c r="T11" s="232">
        <f>-PL_Extract!V11</f>
        <v>0</v>
      </c>
      <c r="U11" s="232">
        <f>-PL_Extract!W11</f>
        <v>0</v>
      </c>
      <c r="V11" s="232">
        <f>-PL_Extract!X11</f>
        <v>0</v>
      </c>
      <c r="W11" s="161"/>
    </row>
    <row r="12" spans="1:23" ht="15.95" customHeight="1" x14ac:dyDescent="0.4">
      <c r="A12" s="218" t="s">
        <v>551</v>
      </c>
      <c r="B12" s="227"/>
      <c r="C12" s="231">
        <f>-PL_Extract!E19</f>
        <v>-900</v>
      </c>
      <c r="D12" s="231">
        <f>-PL_Extract!F19</f>
        <v>-900</v>
      </c>
      <c r="E12" s="231">
        <f>-PL_Extract!G19</f>
        <v>0</v>
      </c>
      <c r="F12" s="231">
        <f>-PL_Extract!H19</f>
        <v>0</v>
      </c>
      <c r="G12" s="231">
        <f>-PL_Extract!I19</f>
        <v>0</v>
      </c>
      <c r="H12" s="231">
        <f>-PL_Extract!J19</f>
        <v>0</v>
      </c>
      <c r="I12" s="231">
        <f>-PL_Extract!K19</f>
        <v>0</v>
      </c>
      <c r="J12" s="231">
        <f>-PL_Extract!L19</f>
        <v>0</v>
      </c>
      <c r="K12" s="231">
        <f>-PL_Extract!M19</f>
        <v>0</v>
      </c>
      <c r="L12" s="231">
        <f>-PL_Extract!N19</f>
        <v>0</v>
      </c>
      <c r="M12" s="231">
        <f>-PL_Extract!O19</f>
        <v>0</v>
      </c>
      <c r="N12" s="231">
        <f>-PL_Extract!P19</f>
        <v>0</v>
      </c>
      <c r="O12" s="231">
        <f>-PL_Extract!Q19</f>
        <v>0</v>
      </c>
      <c r="P12" s="231">
        <f>-PL_Extract!R19</f>
        <v>0</v>
      </c>
      <c r="Q12" s="231">
        <f>-PL_Extract!S19</f>
        <v>0</v>
      </c>
      <c r="R12" s="231">
        <f>-PL_Extract!T19</f>
        <v>0</v>
      </c>
      <c r="S12" s="231">
        <f>-PL_Extract!U19</f>
        <v>0</v>
      </c>
      <c r="T12" s="231">
        <f>-PL_Extract!V19</f>
        <v>0</v>
      </c>
      <c r="U12" s="231">
        <f>-PL_Extract!W19</f>
        <v>0</v>
      </c>
      <c r="V12" s="231">
        <f>-PL_Extract!X19</f>
        <v>0</v>
      </c>
      <c r="W12" s="161"/>
    </row>
    <row r="13" spans="1:23" ht="15.95" customHeight="1" x14ac:dyDescent="0.4">
      <c r="A13" s="218" t="s">
        <v>550</v>
      </c>
      <c r="B13" s="227"/>
      <c r="C13" s="231">
        <f>-PL_Extract!E20</f>
        <v>-30</v>
      </c>
      <c r="D13" s="231">
        <f>-PL_Extract!F20</f>
        <v>-30</v>
      </c>
      <c r="E13" s="231">
        <f>-PL_Extract!G20</f>
        <v>-90</v>
      </c>
      <c r="F13" s="231">
        <f>-PL_Extract!H20</f>
        <v>-90</v>
      </c>
      <c r="G13" s="231">
        <f>-PL_Extract!I20</f>
        <v>-90</v>
      </c>
      <c r="H13" s="231">
        <f>-PL_Extract!J20</f>
        <v>-90</v>
      </c>
      <c r="I13" s="231">
        <f>-PL_Extract!K20</f>
        <v>-120</v>
      </c>
      <c r="J13" s="231">
        <f>-PL_Extract!L20</f>
        <v>-122.1</v>
      </c>
      <c r="K13" s="231">
        <f>-PL_Extract!M20</f>
        <v>-127.2</v>
      </c>
      <c r="L13" s="231">
        <f>-PL_Extract!N20</f>
        <v>-130.80000000000001</v>
      </c>
      <c r="M13" s="231">
        <f>-PL_Extract!O20</f>
        <v>-134.40000000000003</v>
      </c>
      <c r="N13" s="231">
        <f>-PL_Extract!P20</f>
        <v>-138.00000000000003</v>
      </c>
      <c r="O13" s="231">
        <f>-PL_Extract!Q20</f>
        <v>-141.60000000000002</v>
      </c>
      <c r="P13" s="231">
        <f>-PL_Extract!R20</f>
        <v>-145.20000000000002</v>
      </c>
      <c r="Q13" s="231">
        <f>-PL_Extract!S20</f>
        <v>-148.80000000000004</v>
      </c>
      <c r="R13" s="231">
        <f>-PL_Extract!T20</f>
        <v>-152.40000000000003</v>
      </c>
      <c r="S13" s="231">
        <f>-PL_Extract!U20</f>
        <v>-156.00000000000003</v>
      </c>
      <c r="T13" s="231">
        <f>-PL_Extract!V20</f>
        <v>-159.60000000000002</v>
      </c>
      <c r="U13" s="231">
        <f>-PL_Extract!W20</f>
        <v>-159.60000000000002</v>
      </c>
      <c r="V13" s="231">
        <f>-PL_Extract!X20</f>
        <v>-159.60000000000002</v>
      </c>
      <c r="W13" s="161"/>
    </row>
    <row r="14" spans="1:23" ht="15.95" customHeight="1" x14ac:dyDescent="0.4">
      <c r="A14" s="218" t="s">
        <v>549</v>
      </c>
      <c r="B14" s="227"/>
      <c r="C14" s="231">
        <f>-PL_Extract!E21</f>
        <v>-30</v>
      </c>
      <c r="D14" s="231">
        <f>-PL_Extract!F21</f>
        <v>-30</v>
      </c>
      <c r="E14" s="231">
        <f>-PL_Extract!G21</f>
        <v>-90</v>
      </c>
      <c r="F14" s="231">
        <f>-PL_Extract!H21</f>
        <v>-90</v>
      </c>
      <c r="G14" s="231">
        <f>-PL_Extract!I21</f>
        <v>-90</v>
      </c>
      <c r="H14" s="231">
        <f>-PL_Extract!J21</f>
        <v>-90</v>
      </c>
      <c r="I14" s="231">
        <f>-PL_Extract!K21</f>
        <v>-120</v>
      </c>
      <c r="J14" s="231">
        <f>-PL_Extract!L21</f>
        <v>-122.1</v>
      </c>
      <c r="K14" s="231">
        <f>-PL_Extract!M21</f>
        <v>-127.2</v>
      </c>
      <c r="L14" s="231">
        <f>-PL_Extract!N21</f>
        <v>-130.80000000000001</v>
      </c>
      <c r="M14" s="231">
        <f>-PL_Extract!O21</f>
        <v>-134.40000000000003</v>
      </c>
      <c r="N14" s="231">
        <f>-PL_Extract!P21</f>
        <v>-138.00000000000003</v>
      </c>
      <c r="O14" s="231">
        <f>-PL_Extract!Q21</f>
        <v>-141.60000000000002</v>
      </c>
      <c r="P14" s="231">
        <f>-PL_Extract!R21</f>
        <v>-145.20000000000002</v>
      </c>
      <c r="Q14" s="231">
        <f>-PL_Extract!S21</f>
        <v>-148.80000000000004</v>
      </c>
      <c r="R14" s="231">
        <f>-PL_Extract!T21</f>
        <v>-152.40000000000003</v>
      </c>
      <c r="S14" s="231">
        <f>-PL_Extract!U21</f>
        <v>-156.00000000000003</v>
      </c>
      <c r="T14" s="231">
        <f>-PL_Extract!V21</f>
        <v>-159.60000000000002</v>
      </c>
      <c r="U14" s="231">
        <f>-PL_Extract!W21</f>
        <v>-159.60000000000002</v>
      </c>
      <c r="V14" s="231">
        <f>-PL_Extract!X21</f>
        <v>-159.60000000000002</v>
      </c>
      <c r="W14" s="161"/>
    </row>
    <row r="15" spans="1:23" ht="15.95" customHeight="1" x14ac:dyDescent="0.4">
      <c r="A15" s="218" t="s">
        <v>548</v>
      </c>
      <c r="B15" s="227"/>
      <c r="C15" s="231">
        <f>-PL_Extract!E22</f>
        <v>-135</v>
      </c>
      <c r="D15" s="231">
        <f>-PL_Extract!F22</f>
        <v>-135</v>
      </c>
      <c r="E15" s="231">
        <f>-PL_Extract!G22</f>
        <v>-405</v>
      </c>
      <c r="F15" s="231">
        <f>-PL_Extract!H22</f>
        <v>-405</v>
      </c>
      <c r="G15" s="231">
        <f>-PL_Extract!I22</f>
        <v>-405</v>
      </c>
      <c r="H15" s="231">
        <f>-PL_Extract!J22</f>
        <v>-405</v>
      </c>
      <c r="I15" s="231">
        <f>-PL_Extract!K22</f>
        <v>-540</v>
      </c>
      <c r="J15" s="231">
        <f>-PL_Extract!L22</f>
        <v>-549.45000000000005</v>
      </c>
      <c r="K15" s="231">
        <f>-PL_Extract!M22</f>
        <v>-572.4</v>
      </c>
      <c r="L15" s="231">
        <f>-PL_Extract!N22</f>
        <v>-588.6</v>
      </c>
      <c r="M15" s="231">
        <f>-PL_Extract!O22</f>
        <v>-604.80000000000007</v>
      </c>
      <c r="N15" s="231">
        <f>-PL_Extract!P22</f>
        <v>-621.00000000000011</v>
      </c>
      <c r="O15" s="231">
        <f>-PL_Extract!Q22</f>
        <v>-637.20000000000016</v>
      </c>
      <c r="P15" s="231">
        <f>-PL_Extract!R22</f>
        <v>-653.40000000000009</v>
      </c>
      <c r="Q15" s="231">
        <f>-PL_Extract!S22</f>
        <v>-669.60000000000014</v>
      </c>
      <c r="R15" s="231">
        <f>-PL_Extract!T22</f>
        <v>-685.80000000000007</v>
      </c>
      <c r="S15" s="231">
        <f>-PL_Extract!U22</f>
        <v>-702.00000000000011</v>
      </c>
      <c r="T15" s="231">
        <f>-PL_Extract!V22</f>
        <v>-718.20000000000016</v>
      </c>
      <c r="U15" s="231">
        <f>-PL_Extract!W22</f>
        <v>-718.20000000000016</v>
      </c>
      <c r="V15" s="231">
        <f>-PL_Extract!X22</f>
        <v>-718.20000000000016</v>
      </c>
      <c r="W15" s="161"/>
    </row>
    <row r="16" spans="1:23" ht="15.95" customHeight="1" x14ac:dyDescent="0.4">
      <c r="A16" s="218" t="s">
        <v>547</v>
      </c>
      <c r="B16" s="227"/>
      <c r="C16" s="231">
        <f>-PL_Extract!E23</f>
        <v>-851.18789339968782</v>
      </c>
      <c r="D16" s="231">
        <f>-PL_Extract!F23</f>
        <v>-851.18789339968782</v>
      </c>
      <c r="E16" s="231">
        <f>-PL_Extract!G23</f>
        <v>-2553.5636801990631</v>
      </c>
      <c r="F16" s="231">
        <f>-PL_Extract!H23</f>
        <v>-2553.5636801990631</v>
      </c>
      <c r="G16" s="231">
        <f>-PL_Extract!I23</f>
        <v>-2553.5636801990631</v>
      </c>
      <c r="H16" s="231">
        <f>-PL_Extract!J23</f>
        <v>-2553.5636801990631</v>
      </c>
      <c r="I16" s="231">
        <f>-PL_Extract!K23</f>
        <v>-3404.7515735987513</v>
      </c>
      <c r="J16" s="231">
        <f>-PL_Extract!L23</f>
        <v>-3464.3347261367294</v>
      </c>
      <c r="K16" s="231">
        <f>-PL_Extract!M23</f>
        <v>-3609.0366680146767</v>
      </c>
      <c r="L16" s="231">
        <f>-PL_Extract!N23</f>
        <v>-3711.1792152226385</v>
      </c>
      <c r="M16" s="231">
        <f>-PL_Extract!O23</f>
        <v>-3813.3217624306012</v>
      </c>
      <c r="N16" s="231">
        <f>-PL_Extract!P23</f>
        <v>-3915.4643096385639</v>
      </c>
      <c r="O16" s="231">
        <f>-PL_Extract!Q23</f>
        <v>-4017.6068568465266</v>
      </c>
      <c r="P16" s="231">
        <f>-PL_Extract!R23</f>
        <v>-4119.7494040544898</v>
      </c>
      <c r="Q16" s="231">
        <f>-PL_Extract!S23</f>
        <v>-4221.8919512624525</v>
      </c>
      <c r="R16" s="231">
        <f>-PL_Extract!T23</f>
        <v>-4324.0344984704125</v>
      </c>
      <c r="S16" s="231">
        <f>-PL_Extract!U23</f>
        <v>-4426.1770456783752</v>
      </c>
      <c r="T16" s="231">
        <f>-PL_Extract!V23</f>
        <v>-4528.3195928863379</v>
      </c>
      <c r="U16" s="231">
        <f>-PL_Extract!W23</f>
        <v>-4528.3195928863379</v>
      </c>
      <c r="V16" s="231">
        <f>-PL_Extract!X23</f>
        <v>-4528.3195928863379</v>
      </c>
      <c r="W16" s="161"/>
    </row>
    <row r="17" spans="1:23" ht="15.95" customHeight="1" x14ac:dyDescent="0.4">
      <c r="A17" s="218" t="s">
        <v>546</v>
      </c>
      <c r="B17" s="227"/>
      <c r="C17" s="231">
        <f>-PL_Extract!E24</f>
        <v>-60</v>
      </c>
      <c r="D17" s="231">
        <f>-PL_Extract!F24</f>
        <v>-60</v>
      </c>
      <c r="E17" s="231">
        <f>-PL_Extract!G24</f>
        <v>-180</v>
      </c>
      <c r="F17" s="231">
        <f>-PL_Extract!H24</f>
        <v>-180</v>
      </c>
      <c r="G17" s="231">
        <f>-PL_Extract!I24</f>
        <v>-180</v>
      </c>
      <c r="H17" s="231">
        <f>-PL_Extract!J24</f>
        <v>-180</v>
      </c>
      <c r="I17" s="231">
        <f>-PL_Extract!K24</f>
        <v>-240</v>
      </c>
      <c r="J17" s="231">
        <f>-PL_Extract!L24</f>
        <v>-244.2</v>
      </c>
      <c r="K17" s="231">
        <f>-PL_Extract!M24</f>
        <v>-254.4</v>
      </c>
      <c r="L17" s="231">
        <f>-PL_Extract!N24</f>
        <v>-261.60000000000002</v>
      </c>
      <c r="M17" s="231">
        <f>-PL_Extract!O24</f>
        <v>-268.80000000000007</v>
      </c>
      <c r="N17" s="231">
        <f>-PL_Extract!P24</f>
        <v>-276.00000000000006</v>
      </c>
      <c r="O17" s="231">
        <f>-PL_Extract!Q24</f>
        <v>-283.20000000000005</v>
      </c>
      <c r="P17" s="231">
        <f>-PL_Extract!R24</f>
        <v>-290.40000000000003</v>
      </c>
      <c r="Q17" s="231">
        <f>-PL_Extract!S24</f>
        <v>-297.60000000000008</v>
      </c>
      <c r="R17" s="231">
        <f>-PL_Extract!T24</f>
        <v>-304.80000000000007</v>
      </c>
      <c r="S17" s="231">
        <f>-PL_Extract!U24</f>
        <v>-312.00000000000006</v>
      </c>
      <c r="T17" s="231">
        <f>-PL_Extract!V24</f>
        <v>-319.20000000000005</v>
      </c>
      <c r="U17" s="231">
        <f>-PL_Extract!W24</f>
        <v>-319.20000000000005</v>
      </c>
      <c r="V17" s="231">
        <f>-PL_Extract!X24</f>
        <v>-319.20000000000005</v>
      </c>
      <c r="W17" s="161"/>
    </row>
    <row r="18" spans="1:23" ht="15.95" customHeight="1" x14ac:dyDescent="0.4">
      <c r="A18" s="218" t="s">
        <v>545</v>
      </c>
      <c r="B18" s="227"/>
      <c r="C18" s="231">
        <f>-PL_Extract!E25</f>
        <v>-150</v>
      </c>
      <c r="D18" s="231">
        <f>-PL_Extract!F25</f>
        <v>-150</v>
      </c>
      <c r="E18" s="231">
        <f>-PL_Extract!G25</f>
        <v>-450</v>
      </c>
      <c r="F18" s="231">
        <f>-PL_Extract!H25</f>
        <v>-450</v>
      </c>
      <c r="G18" s="231">
        <f>-PL_Extract!I25</f>
        <v>-450</v>
      </c>
      <c r="H18" s="231">
        <f>-PL_Extract!J25</f>
        <v>-450</v>
      </c>
      <c r="I18" s="231">
        <f>-PL_Extract!K25</f>
        <v>-600</v>
      </c>
      <c r="J18" s="231">
        <f>-PL_Extract!L25</f>
        <v>-610.5</v>
      </c>
      <c r="K18" s="231">
        <f>-PL_Extract!M25</f>
        <v>-636</v>
      </c>
      <c r="L18" s="231">
        <f>-PL_Extract!N25</f>
        <v>-654.00000000000011</v>
      </c>
      <c r="M18" s="231">
        <f>-PL_Extract!O25</f>
        <v>-672.00000000000011</v>
      </c>
      <c r="N18" s="231">
        <f>-PL_Extract!P25</f>
        <v>-690.00000000000011</v>
      </c>
      <c r="O18" s="231">
        <f>-PL_Extract!Q25</f>
        <v>-708.00000000000011</v>
      </c>
      <c r="P18" s="231">
        <f>-PL_Extract!R25</f>
        <v>-726.00000000000011</v>
      </c>
      <c r="Q18" s="231">
        <f>-PL_Extract!S25</f>
        <v>-744.00000000000011</v>
      </c>
      <c r="R18" s="231">
        <f>-PL_Extract!T25</f>
        <v>-762.00000000000011</v>
      </c>
      <c r="S18" s="231">
        <f>-PL_Extract!U25</f>
        <v>-780.00000000000011</v>
      </c>
      <c r="T18" s="231">
        <f>-PL_Extract!V25</f>
        <v>-798.00000000000011</v>
      </c>
      <c r="U18" s="231">
        <f>-PL_Extract!W25</f>
        <v>-798.00000000000011</v>
      </c>
      <c r="V18" s="231">
        <f>-PL_Extract!X25</f>
        <v>-798.00000000000011</v>
      </c>
      <c r="W18" s="161"/>
    </row>
    <row r="19" spans="1:23" ht="15.95" customHeight="1" x14ac:dyDescent="0.4">
      <c r="A19" s="218" t="s">
        <v>544</v>
      </c>
      <c r="B19" s="227"/>
      <c r="C19" s="231">
        <f>-PL_Extract!E26</f>
        <v>-310</v>
      </c>
      <c r="D19" s="231">
        <f>-PL_Extract!F26</f>
        <v>-260</v>
      </c>
      <c r="E19" s="231">
        <f>-PL_Extract!G26</f>
        <v>-120</v>
      </c>
      <c r="F19" s="231">
        <f>-PL_Extract!H26</f>
        <v>-120</v>
      </c>
      <c r="G19" s="231">
        <f>-PL_Extract!I26</f>
        <v>-120</v>
      </c>
      <c r="H19" s="231">
        <f>-PL_Extract!J26</f>
        <v>-120</v>
      </c>
      <c r="I19" s="231">
        <f>-PL_Extract!K26</f>
        <v>-120</v>
      </c>
      <c r="J19" s="231">
        <f>-PL_Extract!L26</f>
        <v>-120</v>
      </c>
      <c r="K19" s="231">
        <f>-PL_Extract!M26</f>
        <v>-120</v>
      </c>
      <c r="L19" s="231">
        <f>-PL_Extract!N26</f>
        <v>-120</v>
      </c>
      <c r="M19" s="231">
        <f>-PL_Extract!O26</f>
        <v>-120</v>
      </c>
      <c r="N19" s="231">
        <f>-PL_Extract!P26</f>
        <v>-120</v>
      </c>
      <c r="O19" s="231">
        <f>-PL_Extract!Q26</f>
        <v>-120</v>
      </c>
      <c r="P19" s="231">
        <f>-PL_Extract!R26</f>
        <v>-120</v>
      </c>
      <c r="Q19" s="231">
        <f>-PL_Extract!S26</f>
        <v>-120</v>
      </c>
      <c r="R19" s="231">
        <f>-PL_Extract!T26</f>
        <v>-120</v>
      </c>
      <c r="S19" s="231">
        <f>-PL_Extract!U26</f>
        <v>-120</v>
      </c>
      <c r="T19" s="231">
        <f>-PL_Extract!V26</f>
        <v>-120</v>
      </c>
      <c r="U19" s="231">
        <f>-PL_Extract!W26</f>
        <v>-120</v>
      </c>
      <c r="V19" s="231">
        <f>-PL_Extract!X26</f>
        <v>-120</v>
      </c>
      <c r="W19" s="161"/>
    </row>
    <row r="20" spans="1:23" ht="15.95" customHeight="1" x14ac:dyDescent="0.4">
      <c r="A20" s="218" t="s">
        <v>543</v>
      </c>
      <c r="B20" s="227"/>
      <c r="C20" s="231">
        <f>-PL_Extract!E27</f>
        <v>-1050</v>
      </c>
      <c r="D20" s="231">
        <f>-PL_Extract!F27</f>
        <v>-1050</v>
      </c>
      <c r="E20" s="231">
        <f>-PL_Extract!G27</f>
        <v>-3150</v>
      </c>
      <c r="F20" s="231">
        <f>-PL_Extract!H27</f>
        <v>-3150</v>
      </c>
      <c r="G20" s="231">
        <f>-PL_Extract!I27</f>
        <v>-3150</v>
      </c>
      <c r="H20" s="231">
        <f>-PL_Extract!J27</f>
        <v>-3150</v>
      </c>
      <c r="I20" s="231">
        <f>-PL_Extract!K27</f>
        <v>-4200</v>
      </c>
      <c r="J20" s="231">
        <f>-PL_Extract!L27</f>
        <v>-4273.5</v>
      </c>
      <c r="K20" s="231">
        <f>-PL_Extract!M27</f>
        <v>-4452</v>
      </c>
      <c r="L20" s="231">
        <f>-PL_Extract!N27</f>
        <v>-4578</v>
      </c>
      <c r="M20" s="231">
        <f>-PL_Extract!O27</f>
        <v>-4704.0000000000009</v>
      </c>
      <c r="N20" s="231">
        <f>-PL_Extract!P27</f>
        <v>-4830.0000000000009</v>
      </c>
      <c r="O20" s="231">
        <f>-PL_Extract!Q27</f>
        <v>-4956.0000000000009</v>
      </c>
      <c r="P20" s="231">
        <f>-PL_Extract!R27</f>
        <v>-5082.0000000000009</v>
      </c>
      <c r="Q20" s="231">
        <f>-PL_Extract!S27</f>
        <v>-5208.0000000000009</v>
      </c>
      <c r="R20" s="231">
        <f>-PL_Extract!T27</f>
        <v>-5334.0000000000009</v>
      </c>
      <c r="S20" s="231">
        <f>-PL_Extract!U27</f>
        <v>-5460.0000000000009</v>
      </c>
      <c r="T20" s="231">
        <f>-PL_Extract!V27</f>
        <v>-5586.0000000000009</v>
      </c>
      <c r="U20" s="231">
        <f>-PL_Extract!W27</f>
        <v>-5586.0000000000009</v>
      </c>
      <c r="V20" s="231">
        <f>-PL_Extract!X27</f>
        <v>-5586.0000000000009</v>
      </c>
      <c r="W20" s="161"/>
    </row>
    <row r="21" spans="1:23" ht="15.95" customHeight="1" x14ac:dyDescent="0.4">
      <c r="A21" s="218" t="s">
        <v>542</v>
      </c>
      <c r="B21" s="227"/>
      <c r="C21" s="231">
        <f>-PL_Extract!E28</f>
        <v>-651</v>
      </c>
      <c r="D21" s="231">
        <f>-PL_Extract!F28</f>
        <v>-651</v>
      </c>
      <c r="E21" s="231">
        <f>-PL_Extract!G28</f>
        <v>-1953</v>
      </c>
      <c r="F21" s="231">
        <f>-PL_Extract!H28</f>
        <v>-1953</v>
      </c>
      <c r="G21" s="231">
        <f>-PL_Extract!I28</f>
        <v>-1953</v>
      </c>
      <c r="H21" s="231">
        <f>-PL_Extract!J28</f>
        <v>-1953</v>
      </c>
      <c r="I21" s="231">
        <f>-PL_Extract!K28</f>
        <v>-2604</v>
      </c>
      <c r="J21" s="231">
        <f>-PL_Extract!L28</f>
        <v>-2649.57</v>
      </c>
      <c r="K21" s="231">
        <f>-PL_Extract!M28</f>
        <v>-2760.24</v>
      </c>
      <c r="L21" s="231">
        <f>-PL_Extract!N28</f>
        <v>-2838.3600000000006</v>
      </c>
      <c r="M21" s="231">
        <f>-PL_Extract!O28</f>
        <v>-2916.4800000000005</v>
      </c>
      <c r="N21" s="231">
        <f>-PL_Extract!P28</f>
        <v>-2994.6000000000004</v>
      </c>
      <c r="O21" s="231">
        <f>-PL_Extract!Q28</f>
        <v>-3072.7200000000003</v>
      </c>
      <c r="P21" s="231">
        <f>-PL_Extract!R28</f>
        <v>-3150.8400000000006</v>
      </c>
      <c r="Q21" s="231">
        <f>-PL_Extract!S28</f>
        <v>-3228.9600000000005</v>
      </c>
      <c r="R21" s="231">
        <f>-PL_Extract!T28</f>
        <v>-3307.0800000000004</v>
      </c>
      <c r="S21" s="231">
        <f>-PL_Extract!U28</f>
        <v>-3385.2000000000003</v>
      </c>
      <c r="T21" s="231">
        <f>-PL_Extract!V28</f>
        <v>-3463.3200000000006</v>
      </c>
      <c r="U21" s="231">
        <f>-PL_Extract!W28</f>
        <v>-3463.3200000000006</v>
      </c>
      <c r="V21" s="231">
        <f>-PL_Extract!X28</f>
        <v>-3463.3200000000006</v>
      </c>
      <c r="W21" s="161"/>
    </row>
    <row r="22" spans="1:23" ht="15.95" customHeight="1" x14ac:dyDescent="0.4">
      <c r="A22" s="218" t="s">
        <v>541</v>
      </c>
      <c r="B22" s="227"/>
      <c r="C22" s="231">
        <f>-PL_Extract!E29</f>
        <v>-225</v>
      </c>
      <c r="D22" s="231">
        <f>-PL_Extract!F29</f>
        <v>-225</v>
      </c>
      <c r="E22" s="231">
        <f>-PL_Extract!G29</f>
        <v>-675</v>
      </c>
      <c r="F22" s="231">
        <f>-PL_Extract!H29</f>
        <v>-675</v>
      </c>
      <c r="G22" s="231">
        <f>-PL_Extract!I29</f>
        <v>-675</v>
      </c>
      <c r="H22" s="231">
        <f>-PL_Extract!J29</f>
        <v>-675</v>
      </c>
      <c r="I22" s="231">
        <f>-PL_Extract!K29</f>
        <v>-900</v>
      </c>
      <c r="J22" s="231">
        <f>-PL_Extract!L29</f>
        <v>-915.75</v>
      </c>
      <c r="K22" s="231">
        <f>-PL_Extract!M29</f>
        <v>-954</v>
      </c>
      <c r="L22" s="231">
        <f>-PL_Extract!N29</f>
        <v>-981</v>
      </c>
      <c r="M22" s="231">
        <f>-PL_Extract!O29</f>
        <v>-1008.0000000000001</v>
      </c>
      <c r="N22" s="231">
        <f>-PL_Extract!P29</f>
        <v>-1035.0000000000002</v>
      </c>
      <c r="O22" s="231">
        <f>-PL_Extract!Q29</f>
        <v>-1062.0000000000002</v>
      </c>
      <c r="P22" s="231">
        <f>-PL_Extract!R29</f>
        <v>-1089.0000000000002</v>
      </c>
      <c r="Q22" s="231">
        <f>-PL_Extract!S29</f>
        <v>-1116.0000000000002</v>
      </c>
      <c r="R22" s="231">
        <f>-PL_Extract!T29</f>
        <v>-1143.0000000000002</v>
      </c>
      <c r="S22" s="231">
        <f>-PL_Extract!U29</f>
        <v>-1170.0000000000002</v>
      </c>
      <c r="T22" s="231">
        <f>-PL_Extract!V29</f>
        <v>-1197.0000000000002</v>
      </c>
      <c r="U22" s="231">
        <f>-PL_Extract!W29</f>
        <v>-1197.0000000000002</v>
      </c>
      <c r="V22" s="231">
        <f>-PL_Extract!X29</f>
        <v>-1197.0000000000002</v>
      </c>
      <c r="W22" s="161"/>
    </row>
    <row r="23" spans="1:23" ht="15.95" customHeight="1" x14ac:dyDescent="0.4">
      <c r="A23" s="218" t="s">
        <v>540</v>
      </c>
      <c r="B23" s="227"/>
      <c r="C23" s="231">
        <f>-PL_Extract!E30</f>
        <v>-45</v>
      </c>
      <c r="D23" s="231">
        <f>-PL_Extract!F30</f>
        <v>-45</v>
      </c>
      <c r="E23" s="231">
        <f>-PL_Extract!G30</f>
        <v>-135</v>
      </c>
      <c r="F23" s="231">
        <f>-PL_Extract!H30</f>
        <v>-135</v>
      </c>
      <c r="G23" s="231">
        <f>-PL_Extract!I30</f>
        <v>-135</v>
      </c>
      <c r="H23" s="231">
        <f>-PL_Extract!J30</f>
        <v>-135</v>
      </c>
      <c r="I23" s="231">
        <f>-PL_Extract!K30</f>
        <v>-180</v>
      </c>
      <c r="J23" s="231">
        <f>-PL_Extract!L30</f>
        <v>-183.15</v>
      </c>
      <c r="K23" s="231">
        <f>-PL_Extract!M30</f>
        <v>-190.8</v>
      </c>
      <c r="L23" s="231">
        <f>-PL_Extract!N30</f>
        <v>-196.20000000000002</v>
      </c>
      <c r="M23" s="231">
        <f>-PL_Extract!O30</f>
        <v>-201.6</v>
      </c>
      <c r="N23" s="231">
        <f>-PL_Extract!P30</f>
        <v>-207.00000000000003</v>
      </c>
      <c r="O23" s="231">
        <f>-PL_Extract!Q30</f>
        <v>-212.40000000000003</v>
      </c>
      <c r="P23" s="231">
        <f>-PL_Extract!R30</f>
        <v>-217.80000000000004</v>
      </c>
      <c r="Q23" s="231">
        <f>-PL_Extract!S30</f>
        <v>-223.20000000000002</v>
      </c>
      <c r="R23" s="231">
        <f>-PL_Extract!T30</f>
        <v>-228.60000000000002</v>
      </c>
      <c r="S23" s="231">
        <f>-PL_Extract!U30</f>
        <v>-234.00000000000003</v>
      </c>
      <c r="T23" s="231">
        <f>-PL_Extract!V30</f>
        <v>-239.40000000000003</v>
      </c>
      <c r="U23" s="231">
        <f>-PL_Extract!W30</f>
        <v>-239.40000000000003</v>
      </c>
      <c r="V23" s="231">
        <f>-PL_Extract!X30</f>
        <v>-239.40000000000003</v>
      </c>
      <c r="W23" s="161"/>
    </row>
    <row r="24" spans="1:23" ht="15.95" customHeight="1" x14ac:dyDescent="0.4">
      <c r="A24" s="218" t="s">
        <v>539</v>
      </c>
      <c r="B24" s="227"/>
      <c r="C24" s="231">
        <f>-PL_Extract!E31</f>
        <v>-450</v>
      </c>
      <c r="D24" s="231">
        <f>-PL_Extract!F31</f>
        <v>-450</v>
      </c>
      <c r="E24" s="231">
        <f>-PL_Extract!G31</f>
        <v>-1350</v>
      </c>
      <c r="F24" s="231">
        <f>-PL_Extract!H31</f>
        <v>-1350</v>
      </c>
      <c r="G24" s="231">
        <f>-PL_Extract!I31</f>
        <v>-1350</v>
      </c>
      <c r="H24" s="231">
        <f>-PL_Extract!J31</f>
        <v>-1350</v>
      </c>
      <c r="I24" s="231">
        <f>-PL_Extract!K31</f>
        <v>-1800</v>
      </c>
      <c r="J24" s="231">
        <f>-PL_Extract!L31</f>
        <v>-1831.5</v>
      </c>
      <c r="K24" s="231">
        <f>-PL_Extract!M31</f>
        <v>-1908</v>
      </c>
      <c r="L24" s="231">
        <f>-PL_Extract!N31</f>
        <v>-1962</v>
      </c>
      <c r="M24" s="231">
        <f>-PL_Extract!O31</f>
        <v>-2016.0000000000002</v>
      </c>
      <c r="N24" s="231">
        <f>-PL_Extract!P31</f>
        <v>-2070.0000000000005</v>
      </c>
      <c r="O24" s="231">
        <f>-PL_Extract!Q31</f>
        <v>-2124.0000000000005</v>
      </c>
      <c r="P24" s="231">
        <f>-PL_Extract!R31</f>
        <v>-2178.0000000000005</v>
      </c>
      <c r="Q24" s="231">
        <f>-PL_Extract!S31</f>
        <v>-2232.0000000000005</v>
      </c>
      <c r="R24" s="231">
        <f>-PL_Extract!T31</f>
        <v>-2286.0000000000005</v>
      </c>
      <c r="S24" s="231">
        <f>-PL_Extract!U31</f>
        <v>-2340.0000000000005</v>
      </c>
      <c r="T24" s="231">
        <f>-PL_Extract!V31</f>
        <v>-2394.0000000000005</v>
      </c>
      <c r="U24" s="231">
        <f>-PL_Extract!W31</f>
        <v>-2394.0000000000005</v>
      </c>
      <c r="V24" s="231">
        <f>-PL_Extract!X31</f>
        <v>-2394.0000000000005</v>
      </c>
      <c r="W24" s="161"/>
    </row>
    <row r="25" spans="1:23" ht="15.95" customHeight="1" x14ac:dyDescent="0.4">
      <c r="A25" s="218" t="s">
        <v>538</v>
      </c>
      <c r="B25" s="227"/>
      <c r="C25" s="231">
        <f>-PL_Extract!E32</f>
        <v>-77.026499999999913</v>
      </c>
      <c r="D25" s="231">
        <f>-PL_Extract!F32</f>
        <v>-77.026499999999913</v>
      </c>
      <c r="E25" s="231">
        <f>-PL_Extract!G32</f>
        <v>-231.07949999999968</v>
      </c>
      <c r="F25" s="231">
        <f>-PL_Extract!H32</f>
        <v>-231.07949999999968</v>
      </c>
      <c r="G25" s="231">
        <f>-PL_Extract!I32</f>
        <v>-231.07949999999968</v>
      </c>
      <c r="H25" s="231">
        <f>-PL_Extract!J32</f>
        <v>-231.07949999999968</v>
      </c>
      <c r="I25" s="231">
        <f>-PL_Extract!K32</f>
        <v>-308.10599999999965</v>
      </c>
      <c r="J25" s="231">
        <f>-PL_Extract!L32</f>
        <v>-313.49785499999956</v>
      </c>
      <c r="K25" s="231">
        <f>-PL_Extract!M32</f>
        <v>-326.59235999999964</v>
      </c>
      <c r="L25" s="231">
        <f>-PL_Extract!N32</f>
        <v>-335.83553999999975</v>
      </c>
      <c r="M25" s="231">
        <f>-PL_Extract!O32</f>
        <v>-345.07871999999963</v>
      </c>
      <c r="N25" s="231">
        <f>-PL_Extract!P32</f>
        <v>-354.32189999999963</v>
      </c>
      <c r="O25" s="231">
        <f>-PL_Extract!Q32</f>
        <v>-363.56507999999968</v>
      </c>
      <c r="P25" s="231">
        <f>-PL_Extract!R32</f>
        <v>-372.80825999999973</v>
      </c>
      <c r="Q25" s="231">
        <f>-PL_Extract!S32</f>
        <v>-382.05143999999973</v>
      </c>
      <c r="R25" s="231">
        <f>-PL_Extract!T32</f>
        <v>-391.29461999999961</v>
      </c>
      <c r="S25" s="231">
        <f>-PL_Extract!U32</f>
        <v>-400.53779999999966</v>
      </c>
      <c r="T25" s="231">
        <f>-PL_Extract!V32</f>
        <v>-409.78097999999972</v>
      </c>
      <c r="U25" s="231">
        <f>-PL_Extract!W32</f>
        <v>-409.78097999999972</v>
      </c>
      <c r="V25" s="231">
        <f>-PL_Extract!X32</f>
        <v>-409.78097999999972</v>
      </c>
      <c r="W25" s="161"/>
    </row>
    <row r="26" spans="1:23" ht="15.95" customHeight="1" x14ac:dyDescent="0.4">
      <c r="A26" s="218" t="s">
        <v>537</v>
      </c>
      <c r="B26" s="227"/>
      <c r="C26" s="231">
        <f>-PL_Extract!E33</f>
        <v>-720</v>
      </c>
      <c r="D26" s="231">
        <f>-PL_Extract!F33</f>
        <v>-720</v>
      </c>
      <c r="E26" s="231">
        <f>-PL_Extract!G33</f>
        <v>-2160</v>
      </c>
      <c r="F26" s="231">
        <f>-PL_Extract!H33</f>
        <v>-2160</v>
      </c>
      <c r="G26" s="231">
        <f>-PL_Extract!I33</f>
        <v>-2160</v>
      </c>
      <c r="H26" s="231">
        <f>-PL_Extract!J33</f>
        <v>-2160</v>
      </c>
      <c r="I26" s="231">
        <f>-PL_Extract!K33</f>
        <v>-2880</v>
      </c>
      <c r="J26" s="231">
        <f>-PL_Extract!L33</f>
        <v>-2930.4</v>
      </c>
      <c r="K26" s="231">
        <f>-PL_Extract!M33</f>
        <v>-3052.8</v>
      </c>
      <c r="L26" s="231">
        <f>-PL_Extract!N33</f>
        <v>-3139.2000000000003</v>
      </c>
      <c r="M26" s="231">
        <f>-PL_Extract!O33</f>
        <v>-3225.6</v>
      </c>
      <c r="N26" s="231">
        <f>-PL_Extract!P33</f>
        <v>-3312.0000000000005</v>
      </c>
      <c r="O26" s="231">
        <f>-PL_Extract!Q33</f>
        <v>-3398.4000000000005</v>
      </c>
      <c r="P26" s="231">
        <f>-PL_Extract!R33</f>
        <v>-3484.8000000000006</v>
      </c>
      <c r="Q26" s="231">
        <f>-PL_Extract!S33</f>
        <v>-3571.2000000000003</v>
      </c>
      <c r="R26" s="231">
        <f>-PL_Extract!T33</f>
        <v>-3657.6000000000004</v>
      </c>
      <c r="S26" s="231">
        <f>-PL_Extract!U33</f>
        <v>-3744.0000000000005</v>
      </c>
      <c r="T26" s="231">
        <f>-PL_Extract!V33</f>
        <v>-3830.4000000000005</v>
      </c>
      <c r="U26" s="231">
        <f>-PL_Extract!W33</f>
        <v>-3830.4000000000005</v>
      </c>
      <c r="V26" s="231">
        <f>-PL_Extract!X33</f>
        <v>-3830.4000000000005</v>
      </c>
      <c r="W26" s="161"/>
    </row>
    <row r="27" spans="1:23" ht="15.95" customHeight="1" x14ac:dyDescent="0.4">
      <c r="A27" s="218" t="s">
        <v>536</v>
      </c>
      <c r="B27" s="227"/>
      <c r="C27" s="231">
        <f>-PL_Extract!E34</f>
        <v>-120</v>
      </c>
      <c r="D27" s="231">
        <f>-PL_Extract!F34</f>
        <v>-120</v>
      </c>
      <c r="E27" s="231">
        <f>-PL_Extract!G34</f>
        <v>-360</v>
      </c>
      <c r="F27" s="231">
        <f>-PL_Extract!H34</f>
        <v>-360</v>
      </c>
      <c r="G27" s="231">
        <f>-PL_Extract!I34</f>
        <v>-360</v>
      </c>
      <c r="H27" s="231">
        <f>-PL_Extract!J34</f>
        <v>-360</v>
      </c>
      <c r="I27" s="231">
        <f>-PL_Extract!K34</f>
        <v>-480</v>
      </c>
      <c r="J27" s="231">
        <f>-PL_Extract!L34</f>
        <v>-488.4</v>
      </c>
      <c r="K27" s="231">
        <f>-PL_Extract!M34</f>
        <v>-508.8</v>
      </c>
      <c r="L27" s="231">
        <f>-PL_Extract!N34</f>
        <v>-523.20000000000005</v>
      </c>
      <c r="M27" s="231">
        <f>-PL_Extract!O34</f>
        <v>-537.60000000000014</v>
      </c>
      <c r="N27" s="231">
        <f>-PL_Extract!P34</f>
        <v>-552.00000000000011</v>
      </c>
      <c r="O27" s="231">
        <f>-PL_Extract!Q34</f>
        <v>-566.40000000000009</v>
      </c>
      <c r="P27" s="231">
        <f>-PL_Extract!R34</f>
        <v>-580.80000000000007</v>
      </c>
      <c r="Q27" s="231">
        <f>-PL_Extract!S34</f>
        <v>-595.20000000000016</v>
      </c>
      <c r="R27" s="231">
        <f>-PL_Extract!T34</f>
        <v>-609.60000000000014</v>
      </c>
      <c r="S27" s="231">
        <f>-PL_Extract!U34</f>
        <v>-624.00000000000011</v>
      </c>
      <c r="T27" s="231">
        <f>-PL_Extract!V34</f>
        <v>-638.40000000000009</v>
      </c>
      <c r="U27" s="231">
        <f>-PL_Extract!W34</f>
        <v>-638.40000000000009</v>
      </c>
      <c r="V27" s="231">
        <f>-PL_Extract!X34</f>
        <v>-638.40000000000009</v>
      </c>
      <c r="W27" s="161"/>
    </row>
    <row r="28" spans="1:23" ht="15.95" customHeight="1" x14ac:dyDescent="0.4">
      <c r="A28" s="218" t="s">
        <v>535</v>
      </c>
      <c r="B28" s="227"/>
      <c r="C28" s="231">
        <f>-PL_Extract!E35</f>
        <v>-45</v>
      </c>
      <c r="D28" s="231">
        <f>-PL_Extract!F35</f>
        <v>-45</v>
      </c>
      <c r="E28" s="231">
        <f>-PL_Extract!G35</f>
        <v>-135</v>
      </c>
      <c r="F28" s="231">
        <f>-PL_Extract!H35</f>
        <v>-135</v>
      </c>
      <c r="G28" s="231">
        <f>-PL_Extract!I35</f>
        <v>-135</v>
      </c>
      <c r="H28" s="231">
        <f>-PL_Extract!J35</f>
        <v>-135</v>
      </c>
      <c r="I28" s="231">
        <f>-PL_Extract!K35</f>
        <v>-180</v>
      </c>
      <c r="J28" s="231">
        <f>-PL_Extract!L35</f>
        <v>-183.15</v>
      </c>
      <c r="K28" s="231">
        <f>-PL_Extract!M35</f>
        <v>-190.8</v>
      </c>
      <c r="L28" s="231">
        <f>-PL_Extract!N35</f>
        <v>-196.20000000000002</v>
      </c>
      <c r="M28" s="231">
        <f>-PL_Extract!O35</f>
        <v>-201.6</v>
      </c>
      <c r="N28" s="231">
        <f>-PL_Extract!P35</f>
        <v>-207.00000000000003</v>
      </c>
      <c r="O28" s="231">
        <f>-PL_Extract!Q35</f>
        <v>-212.40000000000003</v>
      </c>
      <c r="P28" s="231">
        <f>-PL_Extract!R35</f>
        <v>-217.80000000000004</v>
      </c>
      <c r="Q28" s="231">
        <f>-PL_Extract!S35</f>
        <v>-223.20000000000002</v>
      </c>
      <c r="R28" s="231">
        <f>-PL_Extract!T35</f>
        <v>-228.60000000000002</v>
      </c>
      <c r="S28" s="231">
        <f>-PL_Extract!U35</f>
        <v>-234.00000000000003</v>
      </c>
      <c r="T28" s="231">
        <f>-PL_Extract!V35</f>
        <v>-239.40000000000003</v>
      </c>
      <c r="U28" s="231">
        <f>-PL_Extract!W35</f>
        <v>-239.40000000000003</v>
      </c>
      <c r="V28" s="231">
        <f>-PL_Extract!X35</f>
        <v>-239.40000000000003</v>
      </c>
      <c r="W28" s="161"/>
    </row>
    <row r="29" spans="1:23" ht="15.95" customHeight="1" x14ac:dyDescent="0.4">
      <c r="A29" s="218" t="s">
        <v>534</v>
      </c>
      <c r="B29" s="227"/>
      <c r="C29" s="231">
        <f>-PL_Extract!E36</f>
        <v>-282.5</v>
      </c>
      <c r="D29" s="231">
        <f>-PL_Extract!F36</f>
        <v>-90</v>
      </c>
      <c r="E29" s="231">
        <f>-PL_Extract!G36</f>
        <v>-270</v>
      </c>
      <c r="F29" s="231">
        <f>-PL_Extract!H36</f>
        <v>-270</v>
      </c>
      <c r="G29" s="231">
        <f>-PL_Extract!I36</f>
        <v>-270</v>
      </c>
      <c r="H29" s="231">
        <f>-PL_Extract!J36</f>
        <v>-270</v>
      </c>
      <c r="I29" s="231">
        <f>-PL_Extract!K36</f>
        <v>-360</v>
      </c>
      <c r="J29" s="231">
        <f>-PL_Extract!L36</f>
        <v>-366.3</v>
      </c>
      <c r="K29" s="231">
        <f>-PL_Extract!M36</f>
        <v>-381.6</v>
      </c>
      <c r="L29" s="231">
        <f>-PL_Extract!N36</f>
        <v>-392.40000000000003</v>
      </c>
      <c r="M29" s="231">
        <f>-PL_Extract!O36</f>
        <v>-403.2</v>
      </c>
      <c r="N29" s="231">
        <f>-PL_Extract!P36</f>
        <v>-414.00000000000006</v>
      </c>
      <c r="O29" s="231">
        <f>-PL_Extract!Q36</f>
        <v>-424.80000000000007</v>
      </c>
      <c r="P29" s="231">
        <f>-PL_Extract!R36</f>
        <v>-435.60000000000008</v>
      </c>
      <c r="Q29" s="231">
        <f>-PL_Extract!S36</f>
        <v>-446.40000000000003</v>
      </c>
      <c r="R29" s="231">
        <f>-PL_Extract!T36</f>
        <v>-457.20000000000005</v>
      </c>
      <c r="S29" s="231">
        <f>-PL_Extract!U36</f>
        <v>-468.00000000000006</v>
      </c>
      <c r="T29" s="231">
        <f>-PL_Extract!V36</f>
        <v>-478.80000000000007</v>
      </c>
      <c r="U29" s="231">
        <f>-PL_Extract!W36</f>
        <v>-478.80000000000007</v>
      </c>
      <c r="V29" s="231">
        <f>-PL_Extract!X36</f>
        <v>-478.80000000000007</v>
      </c>
      <c r="W29" s="161"/>
    </row>
    <row r="30" spans="1:23" ht="15.95" customHeight="1" x14ac:dyDescent="0.4">
      <c r="A30" s="218" t="s">
        <v>533</v>
      </c>
      <c r="B30" s="227"/>
      <c r="C30" s="231">
        <f>-PL_Extract!E37</f>
        <v>0</v>
      </c>
      <c r="D30" s="231">
        <f>-PL_Extract!F37</f>
        <v>0</v>
      </c>
      <c r="E30" s="231">
        <f>-PL_Extract!G37</f>
        <v>0</v>
      </c>
      <c r="F30" s="231">
        <f>-PL_Extract!H37</f>
        <v>0</v>
      </c>
      <c r="G30" s="231">
        <f>-PL_Extract!I37</f>
        <v>0</v>
      </c>
      <c r="H30" s="231">
        <f>-PL_Extract!J37</f>
        <v>0</v>
      </c>
      <c r="I30" s="231">
        <f>-PL_Extract!K37</f>
        <v>0</v>
      </c>
      <c r="J30" s="231">
        <f>-PL_Extract!L37</f>
        <v>0</v>
      </c>
      <c r="K30" s="231">
        <f>-PL_Extract!M37</f>
        <v>0</v>
      </c>
      <c r="L30" s="231">
        <f>-PL_Extract!N37</f>
        <v>0</v>
      </c>
      <c r="M30" s="231">
        <f>-PL_Extract!O37</f>
        <v>0</v>
      </c>
      <c r="N30" s="231">
        <f>-PL_Extract!P37</f>
        <v>0</v>
      </c>
      <c r="O30" s="231">
        <f>-PL_Extract!Q37</f>
        <v>0</v>
      </c>
      <c r="P30" s="231">
        <f>-PL_Extract!R37</f>
        <v>0</v>
      </c>
      <c r="Q30" s="231">
        <f>-PL_Extract!S37</f>
        <v>0</v>
      </c>
      <c r="R30" s="231">
        <f>-PL_Extract!T37</f>
        <v>0</v>
      </c>
      <c r="S30" s="231">
        <f>-PL_Extract!U37</f>
        <v>0</v>
      </c>
      <c r="T30" s="231">
        <f>-PL_Extract!V37</f>
        <v>0</v>
      </c>
      <c r="U30" s="231">
        <f>-PL_Extract!W37</f>
        <v>0</v>
      </c>
      <c r="V30" s="231">
        <f>-PL_Extract!X37</f>
        <v>0</v>
      </c>
      <c r="W30" s="161"/>
    </row>
    <row r="31" spans="1:23" s="223" customFormat="1" ht="15.95" customHeight="1" x14ac:dyDescent="0.35">
      <c r="A31" s="212" t="s">
        <v>532</v>
      </c>
      <c r="B31" s="230"/>
      <c r="C31" s="214">
        <f t="shared" ref="C31:V31" si="2">SUM(C11:C30)</f>
        <v>-6131.7143933996877</v>
      </c>
      <c r="D31" s="214">
        <f t="shared" si="2"/>
        <v>-5889.2143933996877</v>
      </c>
      <c r="E31" s="214">
        <f t="shared" si="2"/>
        <v>-14307.643180199062</v>
      </c>
      <c r="F31" s="214">
        <f t="shared" si="2"/>
        <v>-14307.643180199062</v>
      </c>
      <c r="G31" s="214">
        <f t="shared" si="2"/>
        <v>-14307.643180199062</v>
      </c>
      <c r="H31" s="214">
        <f t="shared" si="2"/>
        <v>-14307.643180199062</v>
      </c>
      <c r="I31" s="214">
        <f t="shared" si="2"/>
        <v>-19036.857573598751</v>
      </c>
      <c r="J31" s="214">
        <f t="shared" si="2"/>
        <v>-19367.902581136732</v>
      </c>
      <c r="K31" s="214">
        <f t="shared" si="2"/>
        <v>-20171.869028014673</v>
      </c>
      <c r="L31" s="214">
        <f t="shared" si="2"/>
        <v>-20739.374755222645</v>
      </c>
      <c r="M31" s="214">
        <f t="shared" si="2"/>
        <v>-21306.880482430603</v>
      </c>
      <c r="N31" s="214">
        <f t="shared" si="2"/>
        <v>-21874.386209638567</v>
      </c>
      <c r="O31" s="214">
        <f t="shared" si="2"/>
        <v>-22441.891936846532</v>
      </c>
      <c r="P31" s="214">
        <f t="shared" si="2"/>
        <v>-23009.397664054486</v>
      </c>
      <c r="Q31" s="214">
        <f t="shared" si="2"/>
        <v>-23576.903391262462</v>
      </c>
      <c r="R31" s="214">
        <f t="shared" si="2"/>
        <v>-24144.409118470412</v>
      </c>
      <c r="S31" s="214">
        <f t="shared" si="2"/>
        <v>-24711.914845678377</v>
      </c>
      <c r="T31" s="214">
        <f t="shared" si="2"/>
        <v>-25279.420572886345</v>
      </c>
      <c r="U31" s="214">
        <f t="shared" si="2"/>
        <v>-25279.420572886345</v>
      </c>
      <c r="V31" s="214">
        <f t="shared" si="2"/>
        <v>-25279.420572886345</v>
      </c>
      <c r="W31" s="224"/>
    </row>
    <row r="32" spans="1:23" s="223" customFormat="1" ht="15.95" customHeight="1" x14ac:dyDescent="0.4">
      <c r="A32" s="225" t="s">
        <v>531</v>
      </c>
      <c r="B32" s="228"/>
      <c r="C32" s="225">
        <f t="shared" ref="C32:V32" si="3">+C31+C10</f>
        <v>-6131.7143933996877</v>
      </c>
      <c r="D32" s="225">
        <f t="shared" si="3"/>
        <v>-6406.5903933996879</v>
      </c>
      <c r="E32" s="225">
        <f t="shared" si="3"/>
        <v>51239.449421333898</v>
      </c>
      <c r="F32" s="225">
        <f t="shared" si="3"/>
        <v>94646.252489022503</v>
      </c>
      <c r="G32" s="225">
        <f t="shared" si="3"/>
        <v>145708.95929355675</v>
      </c>
      <c r="H32" s="225">
        <f t="shared" si="3"/>
        <v>179891.81670936153</v>
      </c>
      <c r="I32" s="225">
        <f t="shared" si="3"/>
        <v>184446.26116784581</v>
      </c>
      <c r="J32" s="225">
        <f t="shared" si="3"/>
        <v>184115.21616030781</v>
      </c>
      <c r="K32" s="225">
        <f t="shared" si="3"/>
        <v>192594.90856531376</v>
      </c>
      <c r="L32" s="225">
        <f t="shared" si="3"/>
        <v>192027.4028381058</v>
      </c>
      <c r="M32" s="225">
        <f t="shared" si="3"/>
        <v>200743.55596278157</v>
      </c>
      <c r="N32" s="225">
        <f t="shared" si="3"/>
        <v>200176.05023557361</v>
      </c>
      <c r="O32" s="225">
        <f t="shared" si="3"/>
        <v>208892.20336024955</v>
      </c>
      <c r="P32" s="225">
        <f t="shared" si="3"/>
        <v>208324.69763304159</v>
      </c>
      <c r="Q32" s="225">
        <f t="shared" si="3"/>
        <v>217040.85075771739</v>
      </c>
      <c r="R32" s="225">
        <f t="shared" si="3"/>
        <v>216473.34503050943</v>
      </c>
      <c r="S32" s="225">
        <f t="shared" si="3"/>
        <v>225189.49815518534</v>
      </c>
      <c r="T32" s="225">
        <f t="shared" si="3"/>
        <v>224621.99242797738</v>
      </c>
      <c r="U32" s="225">
        <f t="shared" si="3"/>
        <v>233905.65127986122</v>
      </c>
      <c r="V32" s="225">
        <f t="shared" si="3"/>
        <v>233905.65127986122</v>
      </c>
      <c r="W32" s="224"/>
    </row>
    <row r="33" spans="1:23" ht="15.95" customHeight="1" x14ac:dyDescent="0.4">
      <c r="A33" s="207" t="s">
        <v>530</v>
      </c>
      <c r="B33" s="227"/>
      <c r="C33" s="229">
        <f t="shared" ref="C33:V33" si="4">-C79</f>
        <v>0</v>
      </c>
      <c r="D33" s="229">
        <f t="shared" si="4"/>
        <v>0</v>
      </c>
      <c r="E33" s="229">
        <f t="shared" si="4"/>
        <v>-65012.25783509219</v>
      </c>
      <c r="F33" s="229">
        <f t="shared" si="4"/>
        <v>-65012.25783509219</v>
      </c>
      <c r="G33" s="229">
        <f t="shared" si="4"/>
        <v>-65012.25783509219</v>
      </c>
      <c r="H33" s="229">
        <f t="shared" si="4"/>
        <v>-69012.257835092198</v>
      </c>
      <c r="I33" s="229">
        <f t="shared" si="4"/>
        <v>-69012.257835092198</v>
      </c>
      <c r="J33" s="229">
        <f t="shared" si="4"/>
        <v>-69012.257835092198</v>
      </c>
      <c r="K33" s="229">
        <f t="shared" si="4"/>
        <v>-69012.257835092198</v>
      </c>
      <c r="L33" s="229">
        <f t="shared" si="4"/>
        <v>-69012.257835092198</v>
      </c>
      <c r="M33" s="229">
        <f t="shared" si="4"/>
        <v>-72012.257835092198</v>
      </c>
      <c r="N33" s="229">
        <f t="shared" si="4"/>
        <v>-75012.257835092198</v>
      </c>
      <c r="O33" s="229">
        <f t="shared" si="4"/>
        <v>-76012.257835092198</v>
      </c>
      <c r="P33" s="229">
        <f t="shared" si="4"/>
        <v>-78012.257835092198</v>
      </c>
      <c r="Q33" s="229">
        <f t="shared" si="4"/>
        <v>-78012.257835092198</v>
      </c>
      <c r="R33" s="229">
        <f t="shared" si="4"/>
        <v>-80326.209835092188</v>
      </c>
      <c r="S33" s="229">
        <f t="shared" si="4"/>
        <v>-77326.209835092188</v>
      </c>
      <c r="T33" s="229">
        <f t="shared" si="4"/>
        <v>-11313.951999999999</v>
      </c>
      <c r="U33" s="229">
        <f t="shared" si="4"/>
        <v>-9313.9519999999993</v>
      </c>
      <c r="V33" s="229">
        <f t="shared" si="4"/>
        <v>-9313.9519999999993</v>
      </c>
      <c r="W33" s="224"/>
    </row>
    <row r="34" spans="1:23" s="223" customFormat="1" ht="15.95" customHeight="1" x14ac:dyDescent="0.4">
      <c r="A34" s="225" t="s">
        <v>529</v>
      </c>
      <c r="B34" s="228"/>
      <c r="C34" s="225">
        <f t="shared" ref="C34:V34" si="5">+C32+C33</f>
        <v>-6131.7143933996877</v>
      </c>
      <c r="D34" s="225">
        <f t="shared" si="5"/>
        <v>-6406.5903933996879</v>
      </c>
      <c r="E34" s="225">
        <f t="shared" si="5"/>
        <v>-13772.808413758292</v>
      </c>
      <c r="F34" s="225">
        <f t="shared" si="5"/>
        <v>29633.994653930313</v>
      </c>
      <c r="G34" s="225">
        <f t="shared" si="5"/>
        <v>80696.701458464551</v>
      </c>
      <c r="H34" s="225">
        <f t="shared" si="5"/>
        <v>110879.55887426934</v>
      </c>
      <c r="I34" s="225">
        <f t="shared" si="5"/>
        <v>115434.00333275361</v>
      </c>
      <c r="J34" s="225">
        <f t="shared" si="5"/>
        <v>115102.95832521562</v>
      </c>
      <c r="K34" s="225">
        <f t="shared" si="5"/>
        <v>123582.65073022156</v>
      </c>
      <c r="L34" s="225">
        <f t="shared" si="5"/>
        <v>123015.1450030136</v>
      </c>
      <c r="M34" s="225">
        <f t="shared" si="5"/>
        <v>128731.29812768937</v>
      </c>
      <c r="N34" s="225">
        <f t="shared" si="5"/>
        <v>125163.79240048141</v>
      </c>
      <c r="O34" s="225">
        <f t="shared" si="5"/>
        <v>132879.94552515735</v>
      </c>
      <c r="P34" s="225">
        <f t="shared" si="5"/>
        <v>130312.4397979494</v>
      </c>
      <c r="Q34" s="225">
        <f t="shared" si="5"/>
        <v>139028.59292262519</v>
      </c>
      <c r="R34" s="225">
        <f t="shared" si="5"/>
        <v>136147.13519541724</v>
      </c>
      <c r="S34" s="225">
        <f t="shared" si="5"/>
        <v>147863.28832009315</v>
      </c>
      <c r="T34" s="225">
        <f t="shared" si="5"/>
        <v>213308.04042797739</v>
      </c>
      <c r="U34" s="225">
        <f t="shared" si="5"/>
        <v>224591.69927986123</v>
      </c>
      <c r="V34" s="225">
        <f t="shared" si="5"/>
        <v>224591.69927986123</v>
      </c>
      <c r="W34" s="224"/>
    </row>
    <row r="35" spans="1:23" ht="15.95" customHeight="1" x14ac:dyDescent="0.4">
      <c r="A35" s="207" t="s">
        <v>528</v>
      </c>
      <c r="B35" s="227"/>
      <c r="C35" s="229">
        <f>-PL_Extract!E41</f>
        <v>0</v>
      </c>
      <c r="D35" s="229">
        <f>-PL_Extract!F41</f>
        <v>0</v>
      </c>
      <c r="E35" s="229">
        <f>-PL_Extract!G41</f>
        <v>0</v>
      </c>
      <c r="F35" s="229">
        <f>-PL_Extract!H41</f>
        <v>0</v>
      </c>
      <c r="G35" s="229">
        <f>-PL_Extract!I41</f>
        <v>0</v>
      </c>
      <c r="H35" s="229">
        <f>-PL_Extract!J41</f>
        <v>0</v>
      </c>
      <c r="I35" s="229">
        <f>-PL_Extract!K41</f>
        <v>0</v>
      </c>
      <c r="J35" s="229">
        <f>-PL_Extract!L41</f>
        <v>0</v>
      </c>
      <c r="K35" s="229">
        <f>-PL_Extract!M41</f>
        <v>0</v>
      </c>
      <c r="L35" s="229">
        <f>-PL_Extract!N41</f>
        <v>0</v>
      </c>
      <c r="M35" s="229">
        <f>-PL_Extract!O41</f>
        <v>0</v>
      </c>
      <c r="N35" s="229">
        <f>-PL_Extract!P41</f>
        <v>0</v>
      </c>
      <c r="O35" s="229">
        <f>-PL_Extract!Q41</f>
        <v>0</v>
      </c>
      <c r="P35" s="229">
        <f>-PL_Extract!R41</f>
        <v>0</v>
      </c>
      <c r="Q35" s="229">
        <f>-PL_Extract!S41</f>
        <v>0</v>
      </c>
      <c r="R35" s="229">
        <f>-PL_Extract!T41</f>
        <v>0</v>
      </c>
      <c r="S35" s="229">
        <f>-PL_Extract!U41</f>
        <v>0</v>
      </c>
      <c r="T35" s="229">
        <f>-PL_Extract!V41</f>
        <v>0</v>
      </c>
      <c r="U35" s="229">
        <f>-PL_Extract!W41</f>
        <v>0</v>
      </c>
      <c r="V35" s="229">
        <f>-PL_Extract!X41</f>
        <v>0</v>
      </c>
      <c r="W35" s="224"/>
    </row>
    <row r="36" spans="1:23" s="223" customFormat="1" ht="15.95" customHeight="1" x14ac:dyDescent="0.4">
      <c r="A36" s="225" t="s">
        <v>527</v>
      </c>
      <c r="B36" s="228"/>
      <c r="C36" s="225">
        <f t="shared" ref="C36:V36" si="6">+C34+C35</f>
        <v>-6131.7143933996877</v>
      </c>
      <c r="D36" s="225">
        <f t="shared" si="6"/>
        <v>-6406.5903933996879</v>
      </c>
      <c r="E36" s="225">
        <f t="shared" si="6"/>
        <v>-13772.808413758292</v>
      </c>
      <c r="F36" s="225">
        <f t="shared" si="6"/>
        <v>29633.994653930313</v>
      </c>
      <c r="G36" s="225">
        <f t="shared" si="6"/>
        <v>80696.701458464551</v>
      </c>
      <c r="H36" s="225">
        <f t="shared" si="6"/>
        <v>110879.55887426934</v>
      </c>
      <c r="I36" s="225">
        <f t="shared" si="6"/>
        <v>115434.00333275361</v>
      </c>
      <c r="J36" s="225">
        <f t="shared" si="6"/>
        <v>115102.95832521562</v>
      </c>
      <c r="K36" s="225">
        <f t="shared" si="6"/>
        <v>123582.65073022156</v>
      </c>
      <c r="L36" s="225">
        <f t="shared" si="6"/>
        <v>123015.1450030136</v>
      </c>
      <c r="M36" s="225">
        <f t="shared" si="6"/>
        <v>128731.29812768937</v>
      </c>
      <c r="N36" s="225">
        <f t="shared" si="6"/>
        <v>125163.79240048141</v>
      </c>
      <c r="O36" s="225">
        <f t="shared" si="6"/>
        <v>132879.94552515735</v>
      </c>
      <c r="P36" s="225">
        <f t="shared" si="6"/>
        <v>130312.4397979494</v>
      </c>
      <c r="Q36" s="225">
        <f t="shared" si="6"/>
        <v>139028.59292262519</v>
      </c>
      <c r="R36" s="225">
        <f t="shared" si="6"/>
        <v>136147.13519541724</v>
      </c>
      <c r="S36" s="225">
        <f t="shared" si="6"/>
        <v>147863.28832009315</v>
      </c>
      <c r="T36" s="225">
        <f t="shared" si="6"/>
        <v>213308.04042797739</v>
      </c>
      <c r="U36" s="225">
        <f t="shared" si="6"/>
        <v>224591.69927986123</v>
      </c>
      <c r="V36" s="225">
        <f t="shared" si="6"/>
        <v>224591.69927986123</v>
      </c>
      <c r="W36" s="224"/>
    </row>
    <row r="37" spans="1:23" ht="15.95" customHeight="1" x14ac:dyDescent="0.4">
      <c r="A37" s="207" t="s">
        <v>526</v>
      </c>
      <c r="B37" s="227"/>
      <c r="C37" s="226"/>
      <c r="D37" s="226"/>
      <c r="E37" s="226">
        <f ca="1">SUM(BS!D37:D38)</f>
        <v>-51721.121039141595</v>
      </c>
      <c r="F37" s="226">
        <f ca="1">SUM(BS!E37:E38)</f>
        <v>-50716.35709153839</v>
      </c>
      <c r="G37" s="226">
        <f ca="1">SUM(BS!F37:F38)</f>
        <v>-46473.142592608616</v>
      </c>
      <c r="H37" s="226">
        <f ca="1">SUM(BS!G37:G38)</f>
        <v>-39637.649265591084</v>
      </c>
      <c r="I37" s="226">
        <f ca="1">SUM(BS!H37:H38)</f>
        <v>-30953.554579680389</v>
      </c>
      <c r="J37" s="226">
        <f ca="1">SUM(BS!I37:I38)</f>
        <v>-20399.405417604212</v>
      </c>
      <c r="K37" s="226">
        <f ca="1">SUM(BS!J37:J38)</f>
        <v>-9572.0234858446438</v>
      </c>
      <c r="L37" s="226">
        <f ca="1">SUM(BS!K37:K38)</f>
        <v>-516.74734605179549</v>
      </c>
      <c r="M37" s="226">
        <f ca="1">SUM(BS!L37:L38)</f>
        <v>0</v>
      </c>
      <c r="N37" s="226">
        <f ca="1">SUM(BS!M37:M38)</f>
        <v>0</v>
      </c>
      <c r="O37" s="226">
        <f ca="1">SUM(BS!N37:N38)</f>
        <v>0</v>
      </c>
      <c r="P37" s="226">
        <f ca="1">SUM(BS!O37:O38)</f>
        <v>0</v>
      </c>
      <c r="Q37" s="226">
        <f ca="1">SUM(BS!P37:P38)</f>
        <v>0</v>
      </c>
      <c r="R37" s="226">
        <f ca="1">SUM(BS!Q37:Q38)</f>
        <v>0</v>
      </c>
      <c r="S37" s="226">
        <f ca="1">SUM(BS!R37:R38)</f>
        <v>0</v>
      </c>
      <c r="T37" s="226">
        <f ca="1">SUM(BS!S37:S38)</f>
        <v>0</v>
      </c>
      <c r="U37" s="226">
        <f>SUM(BS!T37:T38)</f>
        <v>0</v>
      </c>
      <c r="V37" s="226">
        <f>SUM(BS!U37:U38)</f>
        <v>0</v>
      </c>
      <c r="W37" s="224"/>
    </row>
    <row r="38" spans="1:23" s="223" customFormat="1" ht="15.95" customHeight="1" x14ac:dyDescent="0.35">
      <c r="A38" s="225" t="s">
        <v>525</v>
      </c>
      <c r="B38" s="225"/>
      <c r="C38" s="225">
        <f t="shared" ref="C38:V38" si="7">+C36+C37</f>
        <v>-6131.7143933996877</v>
      </c>
      <c r="D38" s="225">
        <f t="shared" si="7"/>
        <v>-6406.5903933996879</v>
      </c>
      <c r="E38" s="225">
        <f t="shared" ca="1" si="7"/>
        <v>-65493.929452899887</v>
      </c>
      <c r="F38" s="225">
        <f t="shared" ca="1" si="7"/>
        <v>-21082.362437608077</v>
      </c>
      <c r="G38" s="225">
        <f t="shared" ca="1" si="7"/>
        <v>34223.558865855935</v>
      </c>
      <c r="H38" s="225">
        <f t="shared" ca="1" si="7"/>
        <v>71241.909608678252</v>
      </c>
      <c r="I38" s="225">
        <f t="shared" ca="1" si="7"/>
        <v>84480.448753073215</v>
      </c>
      <c r="J38" s="225">
        <f t="shared" ca="1" si="7"/>
        <v>94703.552907611403</v>
      </c>
      <c r="K38" s="225">
        <f t="shared" ca="1" si="7"/>
        <v>114010.62724437691</v>
      </c>
      <c r="L38" s="225">
        <f t="shared" ca="1" si="7"/>
        <v>122498.39765696181</v>
      </c>
      <c r="M38" s="225">
        <f t="shared" ca="1" si="7"/>
        <v>128731.29812768937</v>
      </c>
      <c r="N38" s="225">
        <f t="shared" ca="1" si="7"/>
        <v>125163.79240048141</v>
      </c>
      <c r="O38" s="225">
        <f t="shared" ca="1" si="7"/>
        <v>132879.94552515735</v>
      </c>
      <c r="P38" s="225">
        <f t="shared" ca="1" si="7"/>
        <v>130312.4397979494</v>
      </c>
      <c r="Q38" s="225">
        <f t="shared" ca="1" si="7"/>
        <v>139028.59292262519</v>
      </c>
      <c r="R38" s="225">
        <f t="shared" ca="1" si="7"/>
        <v>136147.13519541724</v>
      </c>
      <c r="S38" s="225">
        <f t="shared" ca="1" si="7"/>
        <v>147863.28832009315</v>
      </c>
      <c r="T38" s="225">
        <f t="shared" ca="1" si="7"/>
        <v>213308.04042797739</v>
      </c>
      <c r="U38" s="225">
        <f t="shared" si="7"/>
        <v>224591.69927986123</v>
      </c>
      <c r="V38" s="225">
        <f t="shared" si="7"/>
        <v>224591.69927986123</v>
      </c>
      <c r="W38" s="224"/>
    </row>
    <row r="39" spans="1:23" ht="15.95" customHeight="1" x14ac:dyDescent="0.4">
      <c r="A39" s="220" t="s">
        <v>524</v>
      </c>
      <c r="B39" s="220"/>
      <c r="C39" s="219">
        <f t="shared" ref="C39:V39" si="8">IF(C5=0,0,+C10/C5)</f>
        <v>0</v>
      </c>
      <c r="D39" s="219">
        <f t="shared" si="8"/>
        <v>0</v>
      </c>
      <c r="E39" s="219">
        <f t="shared" si="8"/>
        <v>0.95891998178260007</v>
      </c>
      <c r="F39" s="219">
        <f t="shared" si="8"/>
        <v>0.96330374437537292</v>
      </c>
      <c r="G39" s="219">
        <f t="shared" si="8"/>
        <v>0.96543051228206112</v>
      </c>
      <c r="H39" s="219">
        <f t="shared" si="8"/>
        <v>0.96623170576888029</v>
      </c>
      <c r="I39" s="219">
        <f t="shared" si="8"/>
        <v>0.96640299187029488</v>
      </c>
      <c r="J39" s="219">
        <f t="shared" si="8"/>
        <v>0.96640299187029488</v>
      </c>
      <c r="K39" s="219">
        <f t="shared" si="8"/>
        <v>0.96655938352810811</v>
      </c>
      <c r="L39" s="219">
        <f t="shared" si="8"/>
        <v>0.96655938352810811</v>
      </c>
      <c r="M39" s="219">
        <f t="shared" si="8"/>
        <v>0.96670274254777022</v>
      </c>
      <c r="N39" s="219">
        <f t="shared" si="8"/>
        <v>0.96670274254777022</v>
      </c>
      <c r="O39" s="219">
        <f t="shared" si="8"/>
        <v>0.96683463284585947</v>
      </c>
      <c r="P39" s="219">
        <f t="shared" si="8"/>
        <v>0.96683463284585947</v>
      </c>
      <c r="Q39" s="219">
        <f t="shared" si="8"/>
        <v>0.96695637773640331</v>
      </c>
      <c r="R39" s="219">
        <f t="shared" si="8"/>
        <v>0.96695637773640331</v>
      </c>
      <c r="S39" s="219">
        <f t="shared" si="8"/>
        <v>0.96706910448690686</v>
      </c>
      <c r="T39" s="219">
        <f t="shared" si="8"/>
        <v>0.96706910448690686</v>
      </c>
      <c r="U39" s="219">
        <f t="shared" si="8"/>
        <v>0.96717377932666015</v>
      </c>
      <c r="V39" s="219">
        <f t="shared" si="8"/>
        <v>0.96717377932666015</v>
      </c>
      <c r="W39" s="161"/>
    </row>
    <row r="40" spans="1:23" ht="15.95" customHeight="1" x14ac:dyDescent="0.4">
      <c r="A40" s="207" t="s">
        <v>523</v>
      </c>
      <c r="B40" s="207"/>
      <c r="C40" s="222">
        <f t="shared" ref="C40:V40" si="9">IF(C$5=0,0,C11/C$5)</f>
        <v>0</v>
      </c>
      <c r="D40" s="222">
        <f t="shared" si="9"/>
        <v>0</v>
      </c>
      <c r="E40" s="222">
        <f t="shared" si="9"/>
        <v>0</v>
      </c>
      <c r="F40" s="222">
        <f t="shared" si="9"/>
        <v>0</v>
      </c>
      <c r="G40" s="222">
        <f t="shared" si="9"/>
        <v>0</v>
      </c>
      <c r="H40" s="222">
        <f t="shared" si="9"/>
        <v>0</v>
      </c>
      <c r="I40" s="222">
        <f t="shared" si="9"/>
        <v>0</v>
      </c>
      <c r="J40" s="222">
        <f t="shared" si="9"/>
        <v>0</v>
      </c>
      <c r="K40" s="222">
        <f t="shared" si="9"/>
        <v>0</v>
      </c>
      <c r="L40" s="222">
        <f t="shared" si="9"/>
        <v>0</v>
      </c>
      <c r="M40" s="222">
        <f t="shared" si="9"/>
        <v>0</v>
      </c>
      <c r="N40" s="222">
        <f t="shared" si="9"/>
        <v>0</v>
      </c>
      <c r="O40" s="222">
        <f t="shared" si="9"/>
        <v>0</v>
      </c>
      <c r="P40" s="222">
        <f t="shared" si="9"/>
        <v>0</v>
      </c>
      <c r="Q40" s="222">
        <f t="shared" si="9"/>
        <v>0</v>
      </c>
      <c r="R40" s="222">
        <f t="shared" si="9"/>
        <v>0</v>
      </c>
      <c r="S40" s="222">
        <f t="shared" si="9"/>
        <v>0</v>
      </c>
      <c r="T40" s="222">
        <f t="shared" si="9"/>
        <v>0</v>
      </c>
      <c r="U40" s="222">
        <f t="shared" si="9"/>
        <v>0</v>
      </c>
      <c r="V40" s="222">
        <f t="shared" si="9"/>
        <v>0</v>
      </c>
      <c r="W40" s="161"/>
    </row>
    <row r="41" spans="1:23" ht="15.95" customHeight="1" x14ac:dyDescent="0.4">
      <c r="A41" s="207" t="s">
        <v>522</v>
      </c>
      <c r="B41" s="207"/>
      <c r="C41" s="221"/>
      <c r="D41" s="221">
        <f t="shared" ref="D41:V41" si="10">IF(D$5=0,0,D12/D$5)</f>
        <v>0</v>
      </c>
      <c r="E41" s="221">
        <f t="shared" si="10"/>
        <v>0</v>
      </c>
      <c r="F41" s="221">
        <f t="shared" si="10"/>
        <v>0</v>
      </c>
      <c r="G41" s="221">
        <f t="shared" si="10"/>
        <v>0</v>
      </c>
      <c r="H41" s="221">
        <f t="shared" si="10"/>
        <v>0</v>
      </c>
      <c r="I41" s="221">
        <f t="shared" si="10"/>
        <v>0</v>
      </c>
      <c r="J41" s="221">
        <f t="shared" si="10"/>
        <v>0</v>
      </c>
      <c r="K41" s="221">
        <f t="shared" si="10"/>
        <v>0</v>
      </c>
      <c r="L41" s="221">
        <f t="shared" si="10"/>
        <v>0</v>
      </c>
      <c r="M41" s="221">
        <f t="shared" si="10"/>
        <v>0</v>
      </c>
      <c r="N41" s="221">
        <f t="shared" si="10"/>
        <v>0</v>
      </c>
      <c r="O41" s="221">
        <f t="shared" si="10"/>
        <v>0</v>
      </c>
      <c r="P41" s="221">
        <f t="shared" si="10"/>
        <v>0</v>
      </c>
      <c r="Q41" s="221">
        <f t="shared" si="10"/>
        <v>0</v>
      </c>
      <c r="R41" s="221">
        <f t="shared" si="10"/>
        <v>0</v>
      </c>
      <c r="S41" s="221">
        <f t="shared" si="10"/>
        <v>0</v>
      </c>
      <c r="T41" s="221">
        <f t="shared" si="10"/>
        <v>0</v>
      </c>
      <c r="U41" s="221">
        <f t="shared" si="10"/>
        <v>0</v>
      </c>
      <c r="V41" s="221">
        <f t="shared" si="10"/>
        <v>0</v>
      </c>
      <c r="W41" s="161"/>
    </row>
    <row r="42" spans="1:23" ht="15.95" customHeight="1" x14ac:dyDescent="0.4">
      <c r="A42" s="207" t="s">
        <v>521</v>
      </c>
      <c r="B42" s="207"/>
      <c r="C42" s="221"/>
      <c r="D42" s="221">
        <f t="shared" ref="D42:V42" si="11">IF(D$5=0,0,D13/D$5)</f>
        <v>0</v>
      </c>
      <c r="E42" s="221">
        <f t="shared" si="11"/>
        <v>-1.3166533393796269E-3</v>
      </c>
      <c r="F42" s="221">
        <f t="shared" si="11"/>
        <v>-7.9572498496971802E-4</v>
      </c>
      <c r="G42" s="221">
        <f t="shared" si="11"/>
        <v>-5.4299831868781273E-4</v>
      </c>
      <c r="H42" s="221">
        <f t="shared" si="11"/>
        <v>-4.4779142830084619E-4</v>
      </c>
      <c r="I42" s="221">
        <f t="shared" si="11"/>
        <v>-5.6991636329198575E-4</v>
      </c>
      <c r="J42" s="221">
        <f t="shared" si="11"/>
        <v>-5.7988989964959548E-4</v>
      </c>
      <c r="K42" s="221">
        <f t="shared" si="11"/>
        <v>-5.7784563443343928E-4</v>
      </c>
      <c r="L42" s="221">
        <f t="shared" si="11"/>
        <v>-5.941997561626877E-4</v>
      </c>
      <c r="M42" s="221">
        <f t="shared" si="11"/>
        <v>-5.8511413297977224E-4</v>
      </c>
      <c r="N42" s="221">
        <f t="shared" si="11"/>
        <v>-6.0078683297030186E-4</v>
      </c>
      <c r="O42" s="221">
        <f t="shared" si="11"/>
        <v>-5.9180115164239805E-4</v>
      </c>
      <c r="P42" s="221">
        <f t="shared" si="11"/>
        <v>-6.0684694363330645E-4</v>
      </c>
      <c r="Q42" s="221">
        <f t="shared" si="11"/>
        <v>-5.9797378425405299E-4</v>
      </c>
      <c r="R42" s="221">
        <f t="shared" si="11"/>
        <v>-6.1244089193761883E-4</v>
      </c>
      <c r="S42" s="221">
        <f t="shared" si="11"/>
        <v>-6.036891848203999E-4</v>
      </c>
      <c r="T42" s="221">
        <f t="shared" si="11"/>
        <v>-6.1762047370087067E-4</v>
      </c>
      <c r="U42" s="221">
        <f t="shared" si="11"/>
        <v>-5.9556259964012521E-4</v>
      </c>
      <c r="V42" s="221">
        <f t="shared" si="11"/>
        <v>-5.9556259964012521E-4</v>
      </c>
      <c r="W42" s="161"/>
    </row>
    <row r="43" spans="1:23" ht="15.95" customHeight="1" x14ac:dyDescent="0.4">
      <c r="A43" s="207" t="s">
        <v>520</v>
      </c>
      <c r="B43" s="207"/>
      <c r="C43" s="221"/>
      <c r="D43" s="221">
        <f t="shared" ref="D43:V43" si="12">IF(D$5=0,0,D14/D$5)</f>
        <v>0</v>
      </c>
      <c r="E43" s="221">
        <f t="shared" si="12"/>
        <v>-1.3166533393796269E-3</v>
      </c>
      <c r="F43" s="221">
        <f t="shared" si="12"/>
        <v>-7.9572498496971802E-4</v>
      </c>
      <c r="G43" s="221">
        <f t="shared" si="12"/>
        <v>-5.4299831868781273E-4</v>
      </c>
      <c r="H43" s="221">
        <f t="shared" si="12"/>
        <v>-4.4779142830084619E-4</v>
      </c>
      <c r="I43" s="221">
        <f t="shared" si="12"/>
        <v>-5.6991636329198575E-4</v>
      </c>
      <c r="J43" s="221">
        <f t="shared" si="12"/>
        <v>-5.7988989964959548E-4</v>
      </c>
      <c r="K43" s="221">
        <f t="shared" si="12"/>
        <v>-5.7784563443343928E-4</v>
      </c>
      <c r="L43" s="221">
        <f t="shared" si="12"/>
        <v>-5.941997561626877E-4</v>
      </c>
      <c r="M43" s="221">
        <f t="shared" si="12"/>
        <v>-5.8511413297977224E-4</v>
      </c>
      <c r="N43" s="221">
        <f t="shared" si="12"/>
        <v>-6.0078683297030186E-4</v>
      </c>
      <c r="O43" s="221">
        <f t="shared" si="12"/>
        <v>-5.9180115164239805E-4</v>
      </c>
      <c r="P43" s="221">
        <f t="shared" si="12"/>
        <v>-6.0684694363330645E-4</v>
      </c>
      <c r="Q43" s="221">
        <f t="shared" si="12"/>
        <v>-5.9797378425405299E-4</v>
      </c>
      <c r="R43" s="221">
        <f t="shared" si="12"/>
        <v>-6.1244089193761883E-4</v>
      </c>
      <c r="S43" s="221">
        <f t="shared" si="12"/>
        <v>-6.036891848203999E-4</v>
      </c>
      <c r="T43" s="221">
        <f t="shared" si="12"/>
        <v>-6.1762047370087067E-4</v>
      </c>
      <c r="U43" s="221">
        <f t="shared" si="12"/>
        <v>-5.9556259964012521E-4</v>
      </c>
      <c r="V43" s="221">
        <f t="shared" si="12"/>
        <v>-5.9556259964012521E-4</v>
      </c>
      <c r="W43" s="161"/>
    </row>
    <row r="44" spans="1:23" ht="15.95" customHeight="1" x14ac:dyDescent="0.4">
      <c r="A44" s="207" t="s">
        <v>519</v>
      </c>
      <c r="B44" s="207"/>
      <c r="C44" s="221"/>
      <c r="D44" s="221">
        <f t="shared" ref="D44:V44" si="13">IF(D$5=0,0,D15/D$5)</f>
        <v>0</v>
      </c>
      <c r="E44" s="221">
        <f t="shared" si="13"/>
        <v>-5.9249400272083207E-3</v>
      </c>
      <c r="F44" s="221">
        <f t="shared" si="13"/>
        <v>-3.5807624323637315E-3</v>
      </c>
      <c r="G44" s="221">
        <f t="shared" si="13"/>
        <v>-2.4434924340951576E-3</v>
      </c>
      <c r="H44" s="221">
        <f t="shared" si="13"/>
        <v>-2.0150614273538076E-3</v>
      </c>
      <c r="I44" s="221">
        <f t="shared" si="13"/>
        <v>-2.5646236348139356E-3</v>
      </c>
      <c r="J44" s="221">
        <f t="shared" si="13"/>
        <v>-2.60950454842318E-3</v>
      </c>
      <c r="K44" s="221">
        <f t="shared" si="13"/>
        <v>-2.6003053549504768E-3</v>
      </c>
      <c r="L44" s="221">
        <f t="shared" si="13"/>
        <v>-2.6738989027320944E-3</v>
      </c>
      <c r="M44" s="221">
        <f t="shared" si="13"/>
        <v>-2.6330135984089747E-3</v>
      </c>
      <c r="N44" s="221">
        <f t="shared" si="13"/>
        <v>-2.7035407483663584E-3</v>
      </c>
      <c r="O44" s="221">
        <f t="shared" si="13"/>
        <v>-2.6631051823907911E-3</v>
      </c>
      <c r="P44" s="221">
        <f t="shared" si="13"/>
        <v>-2.730811246349879E-3</v>
      </c>
      <c r="Q44" s="221">
        <f t="shared" si="13"/>
        <v>-2.6908820291432385E-3</v>
      </c>
      <c r="R44" s="221">
        <f t="shared" si="13"/>
        <v>-2.7559840137192843E-3</v>
      </c>
      <c r="S44" s="221">
        <f t="shared" si="13"/>
        <v>-2.7166013316917994E-3</v>
      </c>
      <c r="T44" s="221">
        <f t="shared" si="13"/>
        <v>-2.7792921316539183E-3</v>
      </c>
      <c r="U44" s="221">
        <f t="shared" si="13"/>
        <v>-2.6800316983805637E-3</v>
      </c>
      <c r="V44" s="221">
        <f t="shared" si="13"/>
        <v>-2.6800316983805637E-3</v>
      </c>
      <c r="W44" s="161"/>
    </row>
    <row r="45" spans="1:23" ht="15.95" customHeight="1" x14ac:dyDescent="0.4">
      <c r="A45" s="207" t="s">
        <v>518</v>
      </c>
      <c r="B45" s="207"/>
      <c r="C45" s="221"/>
      <c r="D45" s="221">
        <f t="shared" ref="D45:V45" si="14">IF(D$5=0,0,D16/D$5)</f>
        <v>0</v>
      </c>
      <c r="E45" s="221">
        <f t="shared" si="14"/>
        <v>-3.7357312742806958E-2</v>
      </c>
      <c r="F45" s="221">
        <f t="shared" si="14"/>
        <v>-2.2577049122729082E-2</v>
      </c>
      <c r="G45" s="221">
        <f t="shared" si="14"/>
        <v>-1.5406453166781721E-2</v>
      </c>
      <c r="H45" s="221">
        <f t="shared" si="14"/>
        <v>-1.2705154751261152E-2</v>
      </c>
      <c r="I45" s="221">
        <f t="shared" si="14"/>
        <v>-1.6170196956150549E-2</v>
      </c>
      <c r="J45" s="221">
        <f t="shared" si="14"/>
        <v>-1.6453175402883186E-2</v>
      </c>
      <c r="K45" s="221">
        <f t="shared" si="14"/>
        <v>-1.6395173609453511E-2</v>
      </c>
      <c r="L45" s="221">
        <f t="shared" si="14"/>
        <v>-1.6859187956890873E-2</v>
      </c>
      <c r="M45" s="221">
        <f t="shared" si="14"/>
        <v>-1.6601402208314568E-2</v>
      </c>
      <c r="N45" s="221">
        <f t="shared" si="14"/>
        <v>-1.7046082624608709E-2</v>
      </c>
      <c r="O45" s="221">
        <f t="shared" si="14"/>
        <v>-1.6791132519266731E-2</v>
      </c>
      <c r="P45" s="221">
        <f t="shared" si="14"/>
        <v>-1.7218025718909107E-2</v>
      </c>
      <c r="Q45" s="221">
        <f t="shared" si="14"/>
        <v>-1.6966268190914895E-2</v>
      </c>
      <c r="R45" s="221">
        <f t="shared" si="14"/>
        <v>-1.7376742421340245E-2</v>
      </c>
      <c r="S45" s="221">
        <f t="shared" si="14"/>
        <v>-1.7128430849848358E-2</v>
      </c>
      <c r="T45" s="221">
        <f t="shared" si="14"/>
        <v>-1.7523702330998706E-2</v>
      </c>
      <c r="U45" s="221">
        <f t="shared" si="14"/>
        <v>-1.6897855819177323E-2</v>
      </c>
      <c r="V45" s="221">
        <f t="shared" si="14"/>
        <v>-1.6897855819177323E-2</v>
      </c>
      <c r="W45" s="161"/>
    </row>
    <row r="46" spans="1:23" ht="15.95" customHeight="1" x14ac:dyDescent="0.4">
      <c r="A46" s="207" t="s">
        <v>517</v>
      </c>
      <c r="B46" s="207"/>
      <c r="C46" s="221"/>
      <c r="D46" s="221">
        <f t="shared" ref="D46:V46" si="15">IF(D$5=0,0,D17/D$5)</f>
        <v>0</v>
      </c>
      <c r="E46" s="221">
        <f t="shared" si="15"/>
        <v>-2.6333066787592539E-3</v>
      </c>
      <c r="F46" s="221">
        <f t="shared" si="15"/>
        <v>-1.591449969939436E-3</v>
      </c>
      <c r="G46" s="221">
        <f t="shared" si="15"/>
        <v>-1.0859966373756255E-3</v>
      </c>
      <c r="H46" s="221">
        <f t="shared" si="15"/>
        <v>-8.9558285660169237E-4</v>
      </c>
      <c r="I46" s="221">
        <f t="shared" si="15"/>
        <v>-1.1398327265839715E-3</v>
      </c>
      <c r="J46" s="221">
        <f t="shared" si="15"/>
        <v>-1.159779799299191E-3</v>
      </c>
      <c r="K46" s="221">
        <f t="shared" si="15"/>
        <v>-1.1556912688668786E-3</v>
      </c>
      <c r="L46" s="221">
        <f t="shared" si="15"/>
        <v>-1.1883995123253754E-3</v>
      </c>
      <c r="M46" s="221">
        <f t="shared" si="15"/>
        <v>-1.1702282659595445E-3</v>
      </c>
      <c r="N46" s="221">
        <f t="shared" si="15"/>
        <v>-1.2015736659406037E-3</v>
      </c>
      <c r="O46" s="221">
        <f t="shared" si="15"/>
        <v>-1.1836023032847961E-3</v>
      </c>
      <c r="P46" s="221">
        <f t="shared" si="15"/>
        <v>-1.2136938872666129E-3</v>
      </c>
      <c r="Q46" s="221">
        <f t="shared" si="15"/>
        <v>-1.195947568508106E-3</v>
      </c>
      <c r="R46" s="221">
        <f t="shared" si="15"/>
        <v>-1.2248817838752377E-3</v>
      </c>
      <c r="S46" s="221">
        <f t="shared" si="15"/>
        <v>-1.2073783696407998E-3</v>
      </c>
      <c r="T46" s="221">
        <f t="shared" si="15"/>
        <v>-1.2352409474017413E-3</v>
      </c>
      <c r="U46" s="221">
        <f t="shared" si="15"/>
        <v>-1.1911251992802504E-3</v>
      </c>
      <c r="V46" s="221">
        <f t="shared" si="15"/>
        <v>-1.1911251992802504E-3</v>
      </c>
      <c r="W46" s="161"/>
    </row>
    <row r="47" spans="1:23" ht="15.95" customHeight="1" x14ac:dyDescent="0.4">
      <c r="A47" s="207" t="s">
        <v>516</v>
      </c>
      <c r="B47" s="207"/>
      <c r="C47" s="221"/>
      <c r="D47" s="221">
        <f t="shared" ref="D47:V47" si="16">IF(D$5=0,0,D18/D$5)</f>
        <v>0</v>
      </c>
      <c r="E47" s="221">
        <f t="shared" si="16"/>
        <v>-6.5832666968981346E-3</v>
      </c>
      <c r="F47" s="221">
        <f t="shared" si="16"/>
        <v>-3.9786249248485901E-3</v>
      </c>
      <c r="G47" s="221">
        <f t="shared" si="16"/>
        <v>-2.7149915934390639E-3</v>
      </c>
      <c r="H47" s="221">
        <f t="shared" si="16"/>
        <v>-2.2389571415042308E-3</v>
      </c>
      <c r="I47" s="221">
        <f t="shared" si="16"/>
        <v>-2.8495818164599286E-3</v>
      </c>
      <c r="J47" s="221">
        <f t="shared" si="16"/>
        <v>-2.8994494982479773E-3</v>
      </c>
      <c r="K47" s="221">
        <f t="shared" si="16"/>
        <v>-2.8892281721671965E-3</v>
      </c>
      <c r="L47" s="221">
        <f t="shared" si="16"/>
        <v>-2.9709987808134385E-3</v>
      </c>
      <c r="M47" s="221">
        <f t="shared" si="16"/>
        <v>-2.9255706648988614E-3</v>
      </c>
      <c r="N47" s="221">
        <f t="shared" si="16"/>
        <v>-3.0039341648515094E-3</v>
      </c>
      <c r="O47" s="221">
        <f t="shared" si="16"/>
        <v>-2.9590057582119899E-3</v>
      </c>
      <c r="P47" s="221">
        <f t="shared" si="16"/>
        <v>-3.0342347181665321E-3</v>
      </c>
      <c r="Q47" s="221">
        <f t="shared" si="16"/>
        <v>-2.9898689212702651E-3</v>
      </c>
      <c r="R47" s="221">
        <f t="shared" si="16"/>
        <v>-3.0622044596880938E-3</v>
      </c>
      <c r="S47" s="221">
        <f t="shared" si="16"/>
        <v>-3.0184459241019996E-3</v>
      </c>
      <c r="T47" s="221">
        <f t="shared" si="16"/>
        <v>-3.0881023685043535E-3</v>
      </c>
      <c r="U47" s="221">
        <f t="shared" si="16"/>
        <v>-2.9778129982006261E-3</v>
      </c>
      <c r="V47" s="221">
        <f t="shared" si="16"/>
        <v>-2.9778129982006261E-3</v>
      </c>
      <c r="W47" s="161"/>
    </row>
    <row r="48" spans="1:23" ht="15.95" customHeight="1" x14ac:dyDescent="0.4">
      <c r="A48" s="207" t="s">
        <v>515</v>
      </c>
      <c r="B48" s="207"/>
      <c r="C48" s="221"/>
      <c r="D48" s="221">
        <f t="shared" ref="D48:V48" si="17">IF(D$5=0,0,D19/D$5)</f>
        <v>0</v>
      </c>
      <c r="E48" s="221">
        <f t="shared" si="17"/>
        <v>-1.7555377858395026E-3</v>
      </c>
      <c r="F48" s="221">
        <f t="shared" si="17"/>
        <v>-1.0609666466262907E-3</v>
      </c>
      <c r="G48" s="221">
        <f t="shared" si="17"/>
        <v>-7.2399775825041698E-4</v>
      </c>
      <c r="H48" s="221">
        <f t="shared" si="17"/>
        <v>-5.9705523773446155E-4</v>
      </c>
      <c r="I48" s="221">
        <f t="shared" si="17"/>
        <v>-5.6991636329198575E-4</v>
      </c>
      <c r="J48" s="221">
        <f t="shared" si="17"/>
        <v>-5.6991636329198575E-4</v>
      </c>
      <c r="K48" s="221">
        <f t="shared" si="17"/>
        <v>-5.4513739097494275E-4</v>
      </c>
      <c r="L48" s="221">
        <f t="shared" si="17"/>
        <v>-5.4513739097494275E-4</v>
      </c>
      <c r="M48" s="221">
        <f t="shared" si="17"/>
        <v>-5.2242333301765365E-4</v>
      </c>
      <c r="N48" s="221">
        <f t="shared" si="17"/>
        <v>-5.2242333301765365E-4</v>
      </c>
      <c r="O48" s="221">
        <f t="shared" si="17"/>
        <v>-5.0152639969694738E-4</v>
      </c>
      <c r="P48" s="221">
        <f t="shared" si="17"/>
        <v>-5.0152639969694738E-4</v>
      </c>
      <c r="Q48" s="221">
        <f t="shared" si="17"/>
        <v>-4.8223692278552652E-4</v>
      </c>
      <c r="R48" s="221">
        <f t="shared" si="17"/>
        <v>-4.8223692278552652E-4</v>
      </c>
      <c r="S48" s="221">
        <f t="shared" si="17"/>
        <v>-4.6437629601569217E-4</v>
      </c>
      <c r="T48" s="221">
        <f t="shared" si="17"/>
        <v>-4.6437629601569217E-4</v>
      </c>
      <c r="U48" s="221">
        <f t="shared" si="17"/>
        <v>-4.4779142830084597E-4</v>
      </c>
      <c r="V48" s="221">
        <f t="shared" si="17"/>
        <v>-4.4779142830084597E-4</v>
      </c>
      <c r="W48" s="161"/>
    </row>
    <row r="49" spans="1:23" ht="15.95" customHeight="1" x14ac:dyDescent="0.4">
      <c r="A49" s="207" t="s">
        <v>514</v>
      </c>
      <c r="B49" s="207"/>
      <c r="C49" s="221"/>
      <c r="D49" s="221">
        <f t="shared" ref="D49:V49" si="18">IF(D$5=0,0,D20/D$5)</f>
        <v>0</v>
      </c>
      <c r="E49" s="221">
        <f t="shared" si="18"/>
        <v>-4.6082866878286943E-2</v>
      </c>
      <c r="F49" s="221">
        <f t="shared" si="18"/>
        <v>-2.7850374473940131E-2</v>
      </c>
      <c r="G49" s="221">
        <f t="shared" si="18"/>
        <v>-1.9004941154073446E-2</v>
      </c>
      <c r="H49" s="221">
        <f t="shared" si="18"/>
        <v>-1.5672699990529615E-2</v>
      </c>
      <c r="I49" s="221">
        <f t="shared" si="18"/>
        <v>-1.9947072715219501E-2</v>
      </c>
      <c r="J49" s="221">
        <f t="shared" si="18"/>
        <v>-2.0296146487735842E-2</v>
      </c>
      <c r="K49" s="221">
        <f t="shared" si="18"/>
        <v>-2.0224597205170378E-2</v>
      </c>
      <c r="L49" s="221">
        <f t="shared" si="18"/>
        <v>-2.0796991465694067E-2</v>
      </c>
      <c r="M49" s="221">
        <f t="shared" si="18"/>
        <v>-2.0478994654292027E-2</v>
      </c>
      <c r="N49" s="221">
        <f t="shared" si="18"/>
        <v>-2.1027539153960564E-2</v>
      </c>
      <c r="O49" s="221">
        <f t="shared" si="18"/>
        <v>-2.0713040307483929E-2</v>
      </c>
      <c r="P49" s="221">
        <f t="shared" si="18"/>
        <v>-2.1239643027165727E-2</v>
      </c>
      <c r="Q49" s="221">
        <f t="shared" si="18"/>
        <v>-2.0929082448891856E-2</v>
      </c>
      <c r="R49" s="221">
        <f t="shared" si="18"/>
        <v>-2.1435431217816658E-2</v>
      </c>
      <c r="S49" s="221">
        <f t="shared" si="18"/>
        <v>-2.1129121468713995E-2</v>
      </c>
      <c r="T49" s="221">
        <f t="shared" si="18"/>
        <v>-2.1616716579530473E-2</v>
      </c>
      <c r="U49" s="221">
        <f t="shared" si="18"/>
        <v>-2.0844690987404383E-2</v>
      </c>
      <c r="V49" s="221">
        <f t="shared" si="18"/>
        <v>-2.0844690987404383E-2</v>
      </c>
      <c r="W49" s="161"/>
    </row>
    <row r="50" spans="1:23" ht="15.95" customHeight="1" x14ac:dyDescent="0.4">
      <c r="A50" s="207" t="s">
        <v>513</v>
      </c>
      <c r="B50" s="207"/>
      <c r="C50" s="221"/>
      <c r="D50" s="221">
        <f t="shared" ref="D50:V50" si="19">IF(D$5=0,0,D21/D$5)</f>
        <v>0</v>
      </c>
      <c r="E50" s="221">
        <f t="shared" si="19"/>
        <v>-2.8571377464537903E-2</v>
      </c>
      <c r="F50" s="221">
        <f t="shared" si="19"/>
        <v>-1.7267232173842881E-2</v>
      </c>
      <c r="G50" s="221">
        <f t="shared" si="19"/>
        <v>-1.1783063515525537E-2</v>
      </c>
      <c r="H50" s="221">
        <f t="shared" si="19"/>
        <v>-9.7170739941283626E-3</v>
      </c>
      <c r="I50" s="221">
        <f t="shared" si="19"/>
        <v>-1.2367185083436091E-2</v>
      </c>
      <c r="J50" s="221">
        <f t="shared" si="19"/>
        <v>-1.2583610822396223E-2</v>
      </c>
      <c r="K50" s="221">
        <f t="shared" si="19"/>
        <v>-1.2539250267205633E-2</v>
      </c>
      <c r="L50" s="221">
        <f t="shared" si="19"/>
        <v>-1.2894134708730324E-2</v>
      </c>
      <c r="M50" s="221">
        <f t="shared" si="19"/>
        <v>-1.2696976685661058E-2</v>
      </c>
      <c r="N50" s="221">
        <f t="shared" si="19"/>
        <v>-1.303707427545555E-2</v>
      </c>
      <c r="O50" s="221">
        <f t="shared" si="19"/>
        <v>-1.2842084990640035E-2</v>
      </c>
      <c r="P50" s="221">
        <f t="shared" si="19"/>
        <v>-1.316857867684275E-2</v>
      </c>
      <c r="Q50" s="221">
        <f t="shared" si="19"/>
        <v>-1.2976031118312949E-2</v>
      </c>
      <c r="R50" s="221">
        <f t="shared" si="19"/>
        <v>-1.3289967355046327E-2</v>
      </c>
      <c r="S50" s="221">
        <f t="shared" si="19"/>
        <v>-1.3100055310602677E-2</v>
      </c>
      <c r="T50" s="221">
        <f t="shared" si="19"/>
        <v>-1.3402364279308894E-2</v>
      </c>
      <c r="U50" s="221">
        <f t="shared" si="19"/>
        <v>-1.2923708412190718E-2</v>
      </c>
      <c r="V50" s="221">
        <f t="shared" si="19"/>
        <v>-1.2923708412190718E-2</v>
      </c>
      <c r="W50" s="161"/>
    </row>
    <row r="51" spans="1:23" ht="15.95" customHeight="1" x14ac:dyDescent="0.4">
      <c r="A51" s="207" t="s">
        <v>512</v>
      </c>
      <c r="B51" s="207"/>
      <c r="C51" s="221"/>
      <c r="D51" s="221">
        <f t="shared" ref="D51:V51" si="20">IF(D$5=0,0,D22/D$5)</f>
        <v>0</v>
      </c>
      <c r="E51" s="221">
        <f t="shared" si="20"/>
        <v>-9.8749000453472024E-3</v>
      </c>
      <c r="F51" s="221">
        <f t="shared" si="20"/>
        <v>-5.9679373872728852E-3</v>
      </c>
      <c r="G51" s="221">
        <f t="shared" si="20"/>
        <v>-4.072487390158596E-3</v>
      </c>
      <c r="H51" s="221">
        <f t="shared" si="20"/>
        <v>-3.3584357122563462E-3</v>
      </c>
      <c r="I51" s="221">
        <f t="shared" si="20"/>
        <v>-4.2743727246898934E-3</v>
      </c>
      <c r="J51" s="221">
        <f t="shared" si="20"/>
        <v>-4.3491742473719657E-3</v>
      </c>
      <c r="K51" s="221">
        <f t="shared" si="20"/>
        <v>-4.333842258250795E-3</v>
      </c>
      <c r="L51" s="221">
        <f t="shared" si="20"/>
        <v>-4.4564981712201567E-3</v>
      </c>
      <c r="M51" s="221">
        <f t="shared" si="20"/>
        <v>-4.3883559973482917E-3</v>
      </c>
      <c r="N51" s="221">
        <f t="shared" si="20"/>
        <v>-4.5059012472772643E-3</v>
      </c>
      <c r="O51" s="221">
        <f t="shared" si="20"/>
        <v>-4.4385086373179856E-3</v>
      </c>
      <c r="P51" s="221">
        <f t="shared" si="20"/>
        <v>-4.5513520772497984E-3</v>
      </c>
      <c r="Q51" s="221">
        <f t="shared" si="20"/>
        <v>-4.4848033819053978E-3</v>
      </c>
      <c r="R51" s="221">
        <f t="shared" si="20"/>
        <v>-4.5933066895321407E-3</v>
      </c>
      <c r="S51" s="221">
        <f t="shared" si="20"/>
        <v>-4.5276688861529994E-3</v>
      </c>
      <c r="T51" s="221">
        <f t="shared" si="20"/>
        <v>-4.6321535527565297E-3</v>
      </c>
      <c r="U51" s="221">
        <f t="shared" si="20"/>
        <v>-4.4667194973009392E-3</v>
      </c>
      <c r="V51" s="221">
        <f t="shared" si="20"/>
        <v>-4.4667194973009392E-3</v>
      </c>
      <c r="W51" s="161"/>
    </row>
    <row r="52" spans="1:23" ht="15.95" customHeight="1" x14ac:dyDescent="0.4">
      <c r="A52" s="207" t="s">
        <v>511</v>
      </c>
      <c r="B52" s="207"/>
      <c r="C52" s="221"/>
      <c r="D52" s="221">
        <f t="shared" ref="D52:V52" si="21">IF(D$5=0,0,D23/D$5)</f>
        <v>0</v>
      </c>
      <c r="E52" s="221">
        <f t="shared" si="21"/>
        <v>-1.9749800090694404E-3</v>
      </c>
      <c r="F52" s="221">
        <f t="shared" si="21"/>
        <v>-1.193587477454577E-3</v>
      </c>
      <c r="G52" s="221">
        <f t="shared" si="21"/>
        <v>-8.144974780317191E-4</v>
      </c>
      <c r="H52" s="221">
        <f t="shared" si="21"/>
        <v>-6.7168714245126923E-4</v>
      </c>
      <c r="I52" s="221">
        <f t="shared" si="21"/>
        <v>-8.5487454493797857E-4</v>
      </c>
      <c r="J52" s="221">
        <f t="shared" si="21"/>
        <v>-8.6983484947439327E-4</v>
      </c>
      <c r="K52" s="221">
        <f t="shared" si="21"/>
        <v>-8.6676845165015908E-4</v>
      </c>
      <c r="L52" s="221">
        <f t="shared" si="21"/>
        <v>-8.9129963424403145E-4</v>
      </c>
      <c r="M52" s="221">
        <f t="shared" si="21"/>
        <v>-8.7767119946965814E-4</v>
      </c>
      <c r="N52" s="221">
        <f t="shared" si="21"/>
        <v>-9.0118024945545273E-4</v>
      </c>
      <c r="O52" s="221">
        <f t="shared" si="21"/>
        <v>-8.8770172746359703E-4</v>
      </c>
      <c r="P52" s="221">
        <f t="shared" si="21"/>
        <v>-9.1027041544995961E-4</v>
      </c>
      <c r="Q52" s="221">
        <f t="shared" si="21"/>
        <v>-8.9696067638107943E-4</v>
      </c>
      <c r="R52" s="221">
        <f t="shared" si="21"/>
        <v>-9.1866133790642808E-4</v>
      </c>
      <c r="S52" s="221">
        <f t="shared" si="21"/>
        <v>-9.0553377723059979E-4</v>
      </c>
      <c r="T52" s="221">
        <f t="shared" si="21"/>
        <v>-9.2643071055130595E-4</v>
      </c>
      <c r="U52" s="221">
        <f t="shared" si="21"/>
        <v>-8.9334389946018786E-4</v>
      </c>
      <c r="V52" s="221">
        <f t="shared" si="21"/>
        <v>-8.9334389946018786E-4</v>
      </c>
      <c r="W52" s="161"/>
    </row>
    <row r="53" spans="1:23" ht="15.95" customHeight="1" x14ac:dyDescent="0.4">
      <c r="A53" s="207" t="s">
        <v>510</v>
      </c>
      <c r="B53" s="207"/>
      <c r="C53" s="221"/>
      <c r="D53" s="221">
        <f t="shared" ref="D53:V53" si="22">IF(D$5=0,0,D24/D$5)</f>
        <v>0</v>
      </c>
      <c r="E53" s="221">
        <f t="shared" si="22"/>
        <v>-1.9749800090694405E-2</v>
      </c>
      <c r="F53" s="221">
        <f t="shared" si="22"/>
        <v>-1.193587477454577E-2</v>
      </c>
      <c r="G53" s="221">
        <f t="shared" si="22"/>
        <v>-8.1449747803171921E-3</v>
      </c>
      <c r="H53" s="221">
        <f t="shared" si="22"/>
        <v>-6.7168714245126925E-3</v>
      </c>
      <c r="I53" s="221">
        <f t="shared" si="22"/>
        <v>-8.5487454493797868E-3</v>
      </c>
      <c r="J53" s="221">
        <f t="shared" si="22"/>
        <v>-8.6983484947439314E-3</v>
      </c>
      <c r="K53" s="221">
        <f t="shared" si="22"/>
        <v>-8.6676845165015899E-3</v>
      </c>
      <c r="L53" s="221">
        <f t="shared" si="22"/>
        <v>-8.9129963424403134E-3</v>
      </c>
      <c r="M53" s="221">
        <f t="shared" si="22"/>
        <v>-8.7767119946965833E-3</v>
      </c>
      <c r="N53" s="221">
        <f t="shared" si="22"/>
        <v>-9.0118024945545286E-3</v>
      </c>
      <c r="O53" s="221">
        <f t="shared" si="22"/>
        <v>-8.8770172746359712E-3</v>
      </c>
      <c r="P53" s="221">
        <f t="shared" si="22"/>
        <v>-9.1027041544995968E-3</v>
      </c>
      <c r="Q53" s="221">
        <f t="shared" si="22"/>
        <v>-8.9696067638107956E-3</v>
      </c>
      <c r="R53" s="221">
        <f t="shared" si="22"/>
        <v>-9.1866133790642814E-3</v>
      </c>
      <c r="S53" s="221">
        <f t="shared" si="22"/>
        <v>-9.0553377723059988E-3</v>
      </c>
      <c r="T53" s="221">
        <f t="shared" si="22"/>
        <v>-9.2643071055130595E-3</v>
      </c>
      <c r="U53" s="221">
        <f t="shared" si="22"/>
        <v>-8.9334389946018784E-3</v>
      </c>
      <c r="V53" s="221">
        <f t="shared" si="22"/>
        <v>-8.9334389946018784E-3</v>
      </c>
      <c r="W53" s="161"/>
    </row>
    <row r="54" spans="1:23" ht="15.95" customHeight="1" x14ac:dyDescent="0.4">
      <c r="A54" s="207" t="s">
        <v>509</v>
      </c>
      <c r="B54" s="207"/>
      <c r="C54" s="221"/>
      <c r="D54" s="221">
        <f t="shared" ref="D54:V54" si="23">IF(D$5=0,0,D25/D$5)</f>
        <v>0</v>
      </c>
      <c r="E54" s="221">
        <f t="shared" si="23"/>
        <v>-3.3805732815241564E-3</v>
      </c>
      <c r="F54" s="221">
        <f t="shared" si="23"/>
        <v>-2.0430636851589967E-3</v>
      </c>
      <c r="G54" s="221">
        <f t="shared" si="23"/>
        <v>-1.3941753331468917E-3</v>
      </c>
      <c r="H54" s="221">
        <f t="shared" si="23"/>
        <v>-1.1497268817338359E-3</v>
      </c>
      <c r="I54" s="221">
        <f t="shared" si="23"/>
        <v>-1.4632887585703364E-3</v>
      </c>
      <c r="J54" s="221">
        <f t="shared" si="23"/>
        <v>-1.4888963118453169E-3</v>
      </c>
      <c r="K54" s="221">
        <f t="shared" si="23"/>
        <v>-1.4836475586895756E-3</v>
      </c>
      <c r="L54" s="221">
        <f t="shared" si="23"/>
        <v>-1.5256375839355074E-3</v>
      </c>
      <c r="M54" s="221">
        <f t="shared" si="23"/>
        <v>-1.5023097921322123E-3</v>
      </c>
      <c r="N54" s="221">
        <f t="shared" si="23"/>
        <v>-1.5425502329928966E-3</v>
      </c>
      <c r="O54" s="221">
        <f t="shared" si="23"/>
        <v>-1.5194790468994375E-3</v>
      </c>
      <c r="P54" s="221">
        <f t="shared" si="23"/>
        <v>-1.5581098701256946E-3</v>
      </c>
      <c r="Q54" s="221">
        <f t="shared" si="23"/>
        <v>-1.5353275897614924E-3</v>
      </c>
      <c r="R54" s="221">
        <f t="shared" si="23"/>
        <v>-1.5724726120944312E-3</v>
      </c>
      <c r="S54" s="221">
        <f t="shared" si="23"/>
        <v>-1.5500021664856163E-3</v>
      </c>
      <c r="T54" s="221">
        <f t="shared" si="23"/>
        <v>-1.5857714472506692E-3</v>
      </c>
      <c r="U54" s="221">
        <f t="shared" si="23"/>
        <v>-1.5291367527060023E-3</v>
      </c>
      <c r="V54" s="221">
        <f t="shared" si="23"/>
        <v>-1.5291367527060023E-3</v>
      </c>
      <c r="W54" s="161"/>
    </row>
    <row r="55" spans="1:23" ht="15.95" customHeight="1" x14ac:dyDescent="0.4">
      <c r="A55" s="207" t="s">
        <v>508</v>
      </c>
      <c r="B55" s="207"/>
      <c r="C55" s="221"/>
      <c r="D55" s="221">
        <f t="shared" ref="D55:V55" si="24">IF(D$5=0,0,D26/D$5)</f>
        <v>0</v>
      </c>
      <c r="E55" s="221">
        <f t="shared" si="24"/>
        <v>-3.1599680145111046E-2</v>
      </c>
      <c r="F55" s="221">
        <f t="shared" si="24"/>
        <v>-1.9097399639273233E-2</v>
      </c>
      <c r="G55" s="221">
        <f t="shared" si="24"/>
        <v>-1.3031959648507506E-2</v>
      </c>
      <c r="H55" s="221">
        <f t="shared" si="24"/>
        <v>-1.0746994279220308E-2</v>
      </c>
      <c r="I55" s="221">
        <f t="shared" si="24"/>
        <v>-1.3677992719007657E-2</v>
      </c>
      <c r="J55" s="221">
        <f t="shared" si="24"/>
        <v>-1.3917357591590292E-2</v>
      </c>
      <c r="K55" s="221">
        <f t="shared" si="24"/>
        <v>-1.3868295226402545E-2</v>
      </c>
      <c r="L55" s="221">
        <f t="shared" si="24"/>
        <v>-1.4260794147904503E-2</v>
      </c>
      <c r="M55" s="221">
        <f t="shared" si="24"/>
        <v>-1.404273919151453E-2</v>
      </c>
      <c r="N55" s="221">
        <f t="shared" si="24"/>
        <v>-1.4418883991287244E-2</v>
      </c>
      <c r="O55" s="221">
        <f t="shared" si="24"/>
        <v>-1.4203227639417552E-2</v>
      </c>
      <c r="P55" s="221">
        <f t="shared" si="24"/>
        <v>-1.4564326647199354E-2</v>
      </c>
      <c r="Q55" s="221">
        <f t="shared" si="24"/>
        <v>-1.4351370822097271E-2</v>
      </c>
      <c r="R55" s="221">
        <f t="shared" si="24"/>
        <v>-1.4698581406502849E-2</v>
      </c>
      <c r="S55" s="221">
        <f t="shared" si="24"/>
        <v>-1.4488540435689597E-2</v>
      </c>
      <c r="T55" s="221">
        <f t="shared" si="24"/>
        <v>-1.4822891368820895E-2</v>
      </c>
      <c r="U55" s="221">
        <f t="shared" si="24"/>
        <v>-1.4293502391363006E-2</v>
      </c>
      <c r="V55" s="221">
        <f t="shared" si="24"/>
        <v>-1.4293502391363006E-2</v>
      </c>
      <c r="W55" s="161"/>
    </row>
    <row r="56" spans="1:23" ht="15.95" customHeight="1" x14ac:dyDescent="0.4">
      <c r="A56" s="207" t="s">
        <v>507</v>
      </c>
      <c r="B56" s="207"/>
      <c r="C56" s="221"/>
      <c r="D56" s="221">
        <f t="shared" ref="D56:V56" si="25">IF(D$5=0,0,D27/D$5)</f>
        <v>0</v>
      </c>
      <c r="E56" s="221">
        <f t="shared" si="25"/>
        <v>-5.2666133575185077E-3</v>
      </c>
      <c r="F56" s="221">
        <f t="shared" si="25"/>
        <v>-3.1828999398788721E-3</v>
      </c>
      <c r="G56" s="221">
        <f t="shared" si="25"/>
        <v>-2.1719932747512509E-3</v>
      </c>
      <c r="H56" s="221">
        <f t="shared" si="25"/>
        <v>-1.7911657132033847E-3</v>
      </c>
      <c r="I56" s="221">
        <f t="shared" si="25"/>
        <v>-2.279665453167943E-3</v>
      </c>
      <c r="J56" s="221">
        <f t="shared" si="25"/>
        <v>-2.3195595985983819E-3</v>
      </c>
      <c r="K56" s="221">
        <f t="shared" si="25"/>
        <v>-2.3113825377337571E-3</v>
      </c>
      <c r="L56" s="221">
        <f t="shared" si="25"/>
        <v>-2.3767990246507508E-3</v>
      </c>
      <c r="M56" s="221">
        <f t="shared" si="25"/>
        <v>-2.3404565319190889E-3</v>
      </c>
      <c r="N56" s="221">
        <f t="shared" si="25"/>
        <v>-2.4031473318812074E-3</v>
      </c>
      <c r="O56" s="221">
        <f t="shared" si="25"/>
        <v>-2.3672046065695922E-3</v>
      </c>
      <c r="P56" s="221">
        <f t="shared" si="25"/>
        <v>-2.4273877745332258E-3</v>
      </c>
      <c r="Q56" s="221">
        <f t="shared" si="25"/>
        <v>-2.391895137016212E-3</v>
      </c>
      <c r="R56" s="221">
        <f t="shared" si="25"/>
        <v>-2.4497635677504753E-3</v>
      </c>
      <c r="S56" s="221">
        <f t="shared" si="25"/>
        <v>-2.4147567392815996E-3</v>
      </c>
      <c r="T56" s="221">
        <f t="shared" si="25"/>
        <v>-2.4704818948034827E-3</v>
      </c>
      <c r="U56" s="221">
        <f t="shared" si="25"/>
        <v>-2.3822503985605008E-3</v>
      </c>
      <c r="V56" s="221">
        <f t="shared" si="25"/>
        <v>-2.3822503985605008E-3</v>
      </c>
      <c r="W56" s="161"/>
    </row>
    <row r="57" spans="1:23" ht="15.95" customHeight="1" x14ac:dyDescent="0.4">
      <c r="A57" s="207" t="s">
        <v>506</v>
      </c>
      <c r="B57" s="207"/>
      <c r="C57" s="221"/>
      <c r="D57" s="221">
        <f t="shared" ref="D57:V57" si="26">IF(D$5=0,0,D28/D$5)</f>
        <v>0</v>
      </c>
      <c r="E57" s="221">
        <f t="shared" si="26"/>
        <v>-1.9749800090694404E-3</v>
      </c>
      <c r="F57" s="221">
        <f t="shared" si="26"/>
        <v>-1.193587477454577E-3</v>
      </c>
      <c r="G57" s="221">
        <f t="shared" si="26"/>
        <v>-8.144974780317191E-4</v>
      </c>
      <c r="H57" s="221">
        <f t="shared" si="26"/>
        <v>-6.7168714245126923E-4</v>
      </c>
      <c r="I57" s="221">
        <f t="shared" si="26"/>
        <v>-8.5487454493797857E-4</v>
      </c>
      <c r="J57" s="221">
        <f t="shared" si="26"/>
        <v>-8.6983484947439327E-4</v>
      </c>
      <c r="K57" s="221">
        <f t="shared" si="26"/>
        <v>-8.6676845165015908E-4</v>
      </c>
      <c r="L57" s="221">
        <f t="shared" si="26"/>
        <v>-8.9129963424403145E-4</v>
      </c>
      <c r="M57" s="221">
        <f t="shared" si="26"/>
        <v>-8.7767119946965814E-4</v>
      </c>
      <c r="N57" s="221">
        <f t="shared" si="26"/>
        <v>-9.0118024945545273E-4</v>
      </c>
      <c r="O57" s="221">
        <f t="shared" si="26"/>
        <v>-8.8770172746359703E-4</v>
      </c>
      <c r="P57" s="221">
        <f t="shared" si="26"/>
        <v>-9.1027041544995961E-4</v>
      </c>
      <c r="Q57" s="221">
        <f t="shared" si="26"/>
        <v>-8.9696067638107943E-4</v>
      </c>
      <c r="R57" s="221">
        <f t="shared" si="26"/>
        <v>-9.1866133790642808E-4</v>
      </c>
      <c r="S57" s="221">
        <f t="shared" si="26"/>
        <v>-9.0553377723059979E-4</v>
      </c>
      <c r="T57" s="221">
        <f t="shared" si="26"/>
        <v>-9.2643071055130595E-4</v>
      </c>
      <c r="U57" s="221">
        <f t="shared" si="26"/>
        <v>-8.9334389946018786E-4</v>
      </c>
      <c r="V57" s="221">
        <f t="shared" si="26"/>
        <v>-8.9334389946018786E-4</v>
      </c>
      <c r="W57" s="161"/>
    </row>
    <row r="58" spans="1:23" ht="15.95" customHeight="1" x14ac:dyDescent="0.4">
      <c r="A58" s="207" t="s">
        <v>505</v>
      </c>
      <c r="B58" s="207"/>
      <c r="C58" s="221"/>
      <c r="D58" s="221">
        <f t="shared" ref="D58:V58" si="27">IF(D$5=0,0,D29/D$5)</f>
        <v>0</v>
      </c>
      <c r="E58" s="221">
        <f t="shared" si="27"/>
        <v>-3.9499600181388808E-3</v>
      </c>
      <c r="F58" s="221">
        <f t="shared" si="27"/>
        <v>-2.3871749549091541E-3</v>
      </c>
      <c r="G58" s="221">
        <f t="shared" si="27"/>
        <v>-1.6289949560634382E-3</v>
      </c>
      <c r="H58" s="221">
        <f t="shared" si="27"/>
        <v>-1.3433742849025385E-3</v>
      </c>
      <c r="I58" s="221">
        <f t="shared" si="27"/>
        <v>-1.7097490898759571E-3</v>
      </c>
      <c r="J58" s="221">
        <f t="shared" si="27"/>
        <v>-1.7396696989487865E-3</v>
      </c>
      <c r="K58" s="221">
        <f t="shared" si="27"/>
        <v>-1.7335369033003182E-3</v>
      </c>
      <c r="L58" s="221">
        <f t="shared" si="27"/>
        <v>-1.7825992684880629E-3</v>
      </c>
      <c r="M58" s="221">
        <f t="shared" si="27"/>
        <v>-1.7553423989393163E-3</v>
      </c>
      <c r="N58" s="221">
        <f t="shared" si="27"/>
        <v>-1.8023604989109055E-3</v>
      </c>
      <c r="O58" s="221">
        <f t="shared" si="27"/>
        <v>-1.7754034549271941E-3</v>
      </c>
      <c r="P58" s="221">
        <f t="shared" si="27"/>
        <v>-1.8205408308999192E-3</v>
      </c>
      <c r="Q58" s="221">
        <f t="shared" si="27"/>
        <v>-1.7939213527621589E-3</v>
      </c>
      <c r="R58" s="221">
        <f t="shared" si="27"/>
        <v>-1.8373226758128562E-3</v>
      </c>
      <c r="S58" s="221">
        <f t="shared" si="27"/>
        <v>-1.8110675544611996E-3</v>
      </c>
      <c r="T58" s="221">
        <f t="shared" si="27"/>
        <v>-1.8528614211026119E-3</v>
      </c>
      <c r="U58" s="221">
        <f t="shared" si="27"/>
        <v>-1.7866877989203757E-3</v>
      </c>
      <c r="V58" s="221">
        <f t="shared" si="27"/>
        <v>-1.7866877989203757E-3</v>
      </c>
      <c r="W58" s="161"/>
    </row>
    <row r="59" spans="1:23" ht="15.95" customHeight="1" x14ac:dyDescent="0.4">
      <c r="A59" s="207" t="s">
        <v>504</v>
      </c>
      <c r="B59" s="207"/>
      <c r="C59" s="221"/>
      <c r="D59" s="221">
        <f t="shared" ref="D59:V59" si="28">IF(D$5=0,0,D30/D$5)</f>
        <v>0</v>
      </c>
      <c r="E59" s="221">
        <f t="shared" si="28"/>
        <v>0</v>
      </c>
      <c r="F59" s="221">
        <f t="shared" si="28"/>
        <v>0</v>
      </c>
      <c r="G59" s="221">
        <f t="shared" si="28"/>
        <v>0</v>
      </c>
      <c r="H59" s="221">
        <f t="shared" si="28"/>
        <v>0</v>
      </c>
      <c r="I59" s="221">
        <f t="shared" si="28"/>
        <v>0</v>
      </c>
      <c r="J59" s="221">
        <f t="shared" si="28"/>
        <v>0</v>
      </c>
      <c r="K59" s="221">
        <f t="shared" si="28"/>
        <v>0</v>
      </c>
      <c r="L59" s="221">
        <f t="shared" si="28"/>
        <v>0</v>
      </c>
      <c r="M59" s="221">
        <f t="shared" si="28"/>
        <v>0</v>
      </c>
      <c r="N59" s="221">
        <f t="shared" si="28"/>
        <v>0</v>
      </c>
      <c r="O59" s="221">
        <f t="shared" si="28"/>
        <v>0</v>
      </c>
      <c r="P59" s="221">
        <f t="shared" si="28"/>
        <v>0</v>
      </c>
      <c r="Q59" s="221">
        <f t="shared" si="28"/>
        <v>0</v>
      </c>
      <c r="R59" s="221">
        <f t="shared" si="28"/>
        <v>0</v>
      </c>
      <c r="S59" s="221">
        <f t="shared" si="28"/>
        <v>0</v>
      </c>
      <c r="T59" s="221">
        <f t="shared" si="28"/>
        <v>0</v>
      </c>
      <c r="U59" s="221">
        <f t="shared" si="28"/>
        <v>0</v>
      </c>
      <c r="V59" s="221">
        <f t="shared" si="28"/>
        <v>0</v>
      </c>
      <c r="W59" s="161"/>
    </row>
    <row r="60" spans="1:23" ht="15.95" customHeight="1" x14ac:dyDescent="0.4">
      <c r="A60" s="220" t="s">
        <v>503</v>
      </c>
      <c r="B60" s="220"/>
      <c r="C60" s="219"/>
      <c r="D60" s="219">
        <f t="shared" ref="D60:V60" si="29">IF(D$5=0,0,D31/D$5)</f>
        <v>0</v>
      </c>
      <c r="E60" s="219">
        <f t="shared" si="29"/>
        <v>-0.20931340190956935</v>
      </c>
      <c r="F60" s="219">
        <f t="shared" si="29"/>
        <v>-0.12649943505017763</v>
      </c>
      <c r="G60" s="219">
        <f t="shared" si="29"/>
        <v>-8.6322513235924908E-2</v>
      </c>
      <c r="H60" s="219">
        <f t="shared" si="29"/>
        <v>-7.118711083644666E-2</v>
      </c>
      <c r="I60" s="219">
        <f t="shared" si="29"/>
        <v>-9.0411805307107462E-2</v>
      </c>
      <c r="J60" s="219">
        <f t="shared" si="29"/>
        <v>-9.1984038363624246E-2</v>
      </c>
      <c r="K60" s="219">
        <f t="shared" si="29"/>
        <v>-9.1637000441834773E-2</v>
      </c>
      <c r="L60" s="219">
        <f t="shared" si="29"/>
        <v>-9.4215072037613867E-2</v>
      </c>
      <c r="M60" s="219">
        <f t="shared" si="29"/>
        <v>-9.2760095982001564E-2</v>
      </c>
      <c r="N60" s="219">
        <f t="shared" si="29"/>
        <v>-9.5230747927956508E-2</v>
      </c>
      <c r="O60" s="219">
        <f t="shared" si="29"/>
        <v>-9.3793343878954952E-2</v>
      </c>
      <c r="P60" s="219">
        <f t="shared" si="29"/>
        <v>-9.6165169747071649E-2</v>
      </c>
      <c r="Q60" s="219">
        <f t="shared" si="29"/>
        <v>-9.4747111168450457E-2</v>
      </c>
      <c r="R60" s="219">
        <f t="shared" si="29"/>
        <v>-9.7027712964716489E-2</v>
      </c>
      <c r="S60" s="219">
        <f t="shared" si="29"/>
        <v>-9.5630229029094335E-2</v>
      </c>
      <c r="T60" s="219">
        <f t="shared" si="29"/>
        <v>-9.7826364092165399E-2</v>
      </c>
      <c r="U60" s="219">
        <f t="shared" si="29"/>
        <v>-9.4332565374588048E-2</v>
      </c>
      <c r="V60" s="219">
        <f t="shared" si="29"/>
        <v>-9.4332565374588048E-2</v>
      </c>
      <c r="W60" s="161"/>
    </row>
    <row r="61" spans="1:23" ht="15.95" customHeight="1" x14ac:dyDescent="0.4">
      <c r="A61" s="220" t="s">
        <v>502</v>
      </c>
      <c r="B61" s="220"/>
      <c r="C61" s="219"/>
      <c r="D61" s="219">
        <f t="shared" ref="D61:V61" si="30">IF(D$5=0,0,D34/D$5)</f>
        <v>0</v>
      </c>
      <c r="E61" s="219">
        <f t="shared" si="30"/>
        <v>-0.20148904656234085</v>
      </c>
      <c r="F61" s="219">
        <f t="shared" si="30"/>
        <v>0.26200566611768228</v>
      </c>
      <c r="G61" s="219">
        <f t="shared" si="30"/>
        <v>0.48686859128442911</v>
      </c>
      <c r="H61" s="219">
        <f t="shared" si="30"/>
        <v>0.55167684486307589</v>
      </c>
      <c r="I61" s="219">
        <f t="shared" si="30"/>
        <v>0.54823106149698242</v>
      </c>
      <c r="J61" s="219">
        <f t="shared" si="30"/>
        <v>0.54665882844046565</v>
      </c>
      <c r="K61" s="219">
        <f t="shared" si="30"/>
        <v>0.56141269824033824</v>
      </c>
      <c r="L61" s="219">
        <f t="shared" si="30"/>
        <v>0.55883462664455918</v>
      </c>
      <c r="M61" s="219">
        <f t="shared" si="30"/>
        <v>0.56043528192963932</v>
      </c>
      <c r="N61" s="219">
        <f t="shared" si="30"/>
        <v>0.5449040466582431</v>
      </c>
      <c r="O61" s="219">
        <f t="shared" si="30"/>
        <v>0.55535667225965546</v>
      </c>
      <c r="P61" s="219">
        <f t="shared" si="30"/>
        <v>0.54462607306325639</v>
      </c>
      <c r="Q61" s="219">
        <f t="shared" si="30"/>
        <v>0.55870600691840333</v>
      </c>
      <c r="R61" s="219">
        <f t="shared" si="30"/>
        <v>0.54712646268919218</v>
      </c>
      <c r="S61" s="219">
        <f t="shared" si="30"/>
        <v>0.57220171788987684</v>
      </c>
      <c r="T61" s="219">
        <f t="shared" si="30"/>
        <v>0.82545998103591389</v>
      </c>
      <c r="U61" s="219">
        <f t="shared" si="30"/>
        <v>0.83808531504202621</v>
      </c>
      <c r="V61" s="219">
        <f t="shared" si="30"/>
        <v>0.83808531504202621</v>
      </c>
      <c r="W61" s="161"/>
    </row>
    <row r="62" spans="1:23" ht="15.95" customHeight="1" x14ac:dyDescent="0.4">
      <c r="A62" s="220" t="s">
        <v>501</v>
      </c>
      <c r="B62" s="220"/>
      <c r="C62" s="219"/>
      <c r="D62" s="219">
        <f t="shared" ref="D62:V62" si="31">IF(D$5=0,0,D38/D$5)</f>
        <v>0</v>
      </c>
      <c r="E62" s="219">
        <f t="shared" ca="1" si="31"/>
        <v>-0.95814223248060371</v>
      </c>
      <c r="F62" s="219">
        <f t="shared" ca="1" si="31"/>
        <v>-0.18639736148657596</v>
      </c>
      <c r="G62" s="219">
        <f t="shared" ca="1" si="31"/>
        <v>0.20648149915192401</v>
      </c>
      <c r="H62" s="219">
        <f t="shared" ca="1" si="31"/>
        <v>0.35446129398388682</v>
      </c>
      <c r="I62" s="219">
        <f t="shared" ca="1" si="31"/>
        <v>0.40122325102188716</v>
      </c>
      <c r="J62" s="219">
        <f t="shared" ca="1" si="31"/>
        <v>0.44977587053280044</v>
      </c>
      <c r="K62" s="219">
        <f t="shared" ca="1" si="31"/>
        <v>0.51792879899513633</v>
      </c>
      <c r="L62" s="219">
        <f t="shared" ca="1" si="31"/>
        <v>0.55648714081105999</v>
      </c>
      <c r="M62" s="219">
        <f t="shared" ca="1" si="31"/>
        <v>0.56043528192963932</v>
      </c>
      <c r="N62" s="219">
        <f t="shared" ca="1" si="31"/>
        <v>0.5449040466582431</v>
      </c>
      <c r="O62" s="219">
        <f t="shared" ca="1" si="31"/>
        <v>0.55535667225965546</v>
      </c>
      <c r="P62" s="219">
        <f t="shared" ca="1" si="31"/>
        <v>0.54462607306325639</v>
      </c>
      <c r="Q62" s="219">
        <f t="shared" ca="1" si="31"/>
        <v>0.55870600691840333</v>
      </c>
      <c r="R62" s="219">
        <f t="shared" ca="1" si="31"/>
        <v>0.54712646268919218</v>
      </c>
      <c r="S62" s="219">
        <f t="shared" ca="1" si="31"/>
        <v>0.57220171788987684</v>
      </c>
      <c r="T62" s="219">
        <f t="shared" ca="1" si="31"/>
        <v>0.82545998103591389</v>
      </c>
      <c r="U62" s="219">
        <f t="shared" si="31"/>
        <v>0.83808531504202621</v>
      </c>
      <c r="V62" s="219">
        <f t="shared" si="31"/>
        <v>0.83808531504202621</v>
      </c>
      <c r="W62" s="161"/>
    </row>
    <row r="63" spans="1:23" ht="15.95" customHeight="1" x14ac:dyDescent="0.4">
      <c r="A63" s="204" t="s">
        <v>367</v>
      </c>
      <c r="B63" s="204"/>
      <c r="C63" s="216"/>
      <c r="D63" s="216"/>
      <c r="E63" s="201"/>
      <c r="F63" s="201"/>
      <c r="G63" s="201"/>
      <c r="H63" s="201"/>
      <c r="I63" s="201"/>
      <c r="J63" s="201"/>
      <c r="K63" s="201"/>
      <c r="L63" s="201"/>
      <c r="M63" s="201"/>
      <c r="N63" s="201"/>
      <c r="O63" s="201"/>
      <c r="P63" s="201"/>
      <c r="Q63" s="201"/>
      <c r="R63" s="201"/>
      <c r="S63" s="201"/>
      <c r="T63" s="201"/>
      <c r="U63" s="201"/>
      <c r="V63" s="201"/>
      <c r="W63" s="161"/>
    </row>
    <row r="64" spans="1:23" ht="15.95" customHeight="1" x14ac:dyDescent="0.4">
      <c r="A64" s="207" t="s">
        <v>500</v>
      </c>
      <c r="B64" s="207"/>
      <c r="C64" s="217"/>
      <c r="D64" s="217"/>
      <c r="E64" s="216">
        <f t="shared" ref="E64:V64" si="32">ROUND(+(E5-E6)/365*E72,0)</f>
        <v>0</v>
      </c>
      <c r="F64" s="216">
        <f t="shared" si="32"/>
        <v>0</v>
      </c>
      <c r="G64" s="216">
        <f t="shared" si="32"/>
        <v>0</v>
      </c>
      <c r="H64" s="216">
        <f t="shared" si="32"/>
        <v>0</v>
      </c>
      <c r="I64" s="216">
        <f t="shared" si="32"/>
        <v>0</v>
      </c>
      <c r="J64" s="216">
        <f t="shared" si="32"/>
        <v>0</v>
      </c>
      <c r="K64" s="216">
        <f t="shared" si="32"/>
        <v>0</v>
      </c>
      <c r="L64" s="216">
        <f t="shared" si="32"/>
        <v>0</v>
      </c>
      <c r="M64" s="216">
        <f t="shared" si="32"/>
        <v>0</v>
      </c>
      <c r="N64" s="216">
        <f t="shared" si="32"/>
        <v>0</v>
      </c>
      <c r="O64" s="216">
        <f t="shared" si="32"/>
        <v>0</v>
      </c>
      <c r="P64" s="216">
        <f t="shared" si="32"/>
        <v>0</v>
      </c>
      <c r="Q64" s="216">
        <f t="shared" si="32"/>
        <v>0</v>
      </c>
      <c r="R64" s="216">
        <f t="shared" si="32"/>
        <v>0</v>
      </c>
      <c r="S64" s="216">
        <f t="shared" si="32"/>
        <v>0</v>
      </c>
      <c r="T64" s="216">
        <f t="shared" si="32"/>
        <v>0</v>
      </c>
      <c r="U64" s="216">
        <f t="shared" si="32"/>
        <v>0</v>
      </c>
      <c r="V64" s="216">
        <f t="shared" si="32"/>
        <v>0</v>
      </c>
      <c r="W64" s="161"/>
    </row>
    <row r="65" spans="1:24" ht="15.95" customHeight="1" x14ac:dyDescent="0.4">
      <c r="A65" s="207" t="s">
        <v>499</v>
      </c>
      <c r="B65" s="207"/>
      <c r="C65" s="217">
        <v>2000</v>
      </c>
      <c r="D65" s="217">
        <v>2000</v>
      </c>
      <c r="E65" s="217">
        <v>2000</v>
      </c>
      <c r="F65" s="217">
        <v>2000</v>
      </c>
      <c r="G65" s="217">
        <v>2000</v>
      </c>
      <c r="H65" s="217">
        <v>2000</v>
      </c>
      <c r="I65" s="217">
        <v>2000</v>
      </c>
      <c r="J65" s="217">
        <v>2000</v>
      </c>
      <c r="K65" s="217">
        <v>2000</v>
      </c>
      <c r="L65" s="217">
        <v>2000</v>
      </c>
      <c r="M65" s="217">
        <v>2000</v>
      </c>
      <c r="N65" s="217">
        <v>2000</v>
      </c>
      <c r="O65" s="217">
        <v>2000</v>
      </c>
      <c r="P65" s="217">
        <v>2000</v>
      </c>
      <c r="Q65" s="217">
        <v>2000</v>
      </c>
      <c r="R65" s="217">
        <v>2000</v>
      </c>
      <c r="S65" s="217">
        <v>2000</v>
      </c>
      <c r="T65" s="217">
        <v>2000</v>
      </c>
      <c r="U65" s="217">
        <v>2000</v>
      </c>
      <c r="V65" s="217">
        <v>2000</v>
      </c>
      <c r="W65" s="161"/>
    </row>
    <row r="66" spans="1:24" ht="15.95" customHeight="1" x14ac:dyDescent="0.4">
      <c r="A66" s="207" t="s">
        <v>498</v>
      </c>
      <c r="B66" s="207"/>
      <c r="C66" s="217"/>
      <c r="D66" s="217"/>
      <c r="E66" s="216">
        <f t="shared" ref="E66:V66" si="33">ROUND(+((E5*(1-$W$66))/365*E73),0)</f>
        <v>5618</v>
      </c>
      <c r="F66" s="216">
        <f t="shared" si="33"/>
        <v>9296</v>
      </c>
      <c r="G66" s="216">
        <f t="shared" si="33"/>
        <v>13623</v>
      </c>
      <c r="H66" s="216">
        <f t="shared" si="33"/>
        <v>16519</v>
      </c>
      <c r="I66" s="216">
        <f t="shared" si="33"/>
        <v>17306</v>
      </c>
      <c r="J66" s="216">
        <f t="shared" si="33"/>
        <v>17306</v>
      </c>
      <c r="K66" s="216">
        <f t="shared" si="33"/>
        <v>18093</v>
      </c>
      <c r="L66" s="216">
        <f t="shared" si="33"/>
        <v>18093</v>
      </c>
      <c r="M66" s="216">
        <f t="shared" si="33"/>
        <v>18879</v>
      </c>
      <c r="N66" s="216">
        <f t="shared" si="33"/>
        <v>18879</v>
      </c>
      <c r="O66" s="216">
        <f t="shared" si="33"/>
        <v>19666</v>
      </c>
      <c r="P66" s="216">
        <f t="shared" si="33"/>
        <v>19666</v>
      </c>
      <c r="Q66" s="216">
        <f t="shared" si="33"/>
        <v>20453</v>
      </c>
      <c r="R66" s="216">
        <f t="shared" si="33"/>
        <v>20453</v>
      </c>
      <c r="S66" s="216">
        <f t="shared" si="33"/>
        <v>21239</v>
      </c>
      <c r="T66" s="216">
        <f t="shared" si="33"/>
        <v>21239</v>
      </c>
      <c r="U66" s="216">
        <f t="shared" si="33"/>
        <v>22026</v>
      </c>
      <c r="V66" s="216">
        <f t="shared" si="33"/>
        <v>22026</v>
      </c>
      <c r="W66" s="215">
        <f>PL_Extract!Y43</f>
        <v>0</v>
      </c>
      <c r="X66" s="159" t="s">
        <v>497</v>
      </c>
    </row>
    <row r="67" spans="1:24" ht="15.95" customHeight="1" x14ac:dyDescent="0.4">
      <c r="A67" s="218" t="s">
        <v>496</v>
      </c>
      <c r="B67" s="218"/>
      <c r="C67" s="217"/>
      <c r="D67" s="217"/>
      <c r="E67" s="216">
        <f>ROUND((((E31*$W$67)/365)*E74),0)</f>
        <v>-588</v>
      </c>
      <c r="F67" s="216">
        <f t="shared" ref="F67:V67" si="34">ROUND((((F31*$W$67)/365)*F74),0)</f>
        <v>-588</v>
      </c>
      <c r="G67" s="216">
        <f t="shared" si="34"/>
        <v>-588</v>
      </c>
      <c r="H67" s="216">
        <f t="shared" si="34"/>
        <v>-588</v>
      </c>
      <c r="I67" s="216">
        <f t="shared" si="34"/>
        <v>-782</v>
      </c>
      <c r="J67" s="216">
        <f t="shared" si="34"/>
        <v>-796</v>
      </c>
      <c r="K67" s="216">
        <f t="shared" si="34"/>
        <v>-829</v>
      </c>
      <c r="L67" s="216">
        <f t="shared" si="34"/>
        <v>-852</v>
      </c>
      <c r="M67" s="216">
        <f t="shared" si="34"/>
        <v>-876</v>
      </c>
      <c r="N67" s="216">
        <f t="shared" si="34"/>
        <v>-899</v>
      </c>
      <c r="O67" s="216">
        <f t="shared" si="34"/>
        <v>-922</v>
      </c>
      <c r="P67" s="216">
        <f t="shared" si="34"/>
        <v>-946</v>
      </c>
      <c r="Q67" s="216">
        <f t="shared" si="34"/>
        <v>-969</v>
      </c>
      <c r="R67" s="216">
        <f t="shared" si="34"/>
        <v>-992</v>
      </c>
      <c r="S67" s="216">
        <f t="shared" si="34"/>
        <v>-1016</v>
      </c>
      <c r="T67" s="216">
        <f t="shared" si="34"/>
        <v>-1039</v>
      </c>
      <c r="U67" s="216">
        <f t="shared" si="34"/>
        <v>-1039</v>
      </c>
      <c r="V67" s="216">
        <f t="shared" si="34"/>
        <v>-1039</v>
      </c>
      <c r="W67" s="215">
        <f>PL_Extract!Y45</f>
        <v>1</v>
      </c>
      <c r="X67" s="159" t="s">
        <v>495</v>
      </c>
    </row>
    <row r="68" spans="1:24" ht="15.95" customHeight="1" x14ac:dyDescent="0.4">
      <c r="A68" s="212" t="s">
        <v>337</v>
      </c>
      <c r="B68" s="211"/>
      <c r="C68" s="214">
        <f t="shared" ref="C68:V68" si="35">SUM(C64:C67)</f>
        <v>2000</v>
      </c>
      <c r="D68" s="214">
        <f t="shared" si="35"/>
        <v>2000</v>
      </c>
      <c r="E68" s="214">
        <f t="shared" si="35"/>
        <v>7030</v>
      </c>
      <c r="F68" s="214">
        <f t="shared" si="35"/>
        <v>10708</v>
      </c>
      <c r="G68" s="214">
        <f t="shared" si="35"/>
        <v>15035</v>
      </c>
      <c r="H68" s="214">
        <f t="shared" si="35"/>
        <v>17931</v>
      </c>
      <c r="I68" s="214">
        <f t="shared" si="35"/>
        <v>18524</v>
      </c>
      <c r="J68" s="214">
        <f t="shared" si="35"/>
        <v>18510</v>
      </c>
      <c r="K68" s="214">
        <f t="shared" si="35"/>
        <v>19264</v>
      </c>
      <c r="L68" s="214">
        <f t="shared" si="35"/>
        <v>19241</v>
      </c>
      <c r="M68" s="214">
        <f t="shared" si="35"/>
        <v>20003</v>
      </c>
      <c r="N68" s="214">
        <f t="shared" si="35"/>
        <v>19980</v>
      </c>
      <c r="O68" s="214">
        <f t="shared" si="35"/>
        <v>20744</v>
      </c>
      <c r="P68" s="214">
        <f t="shared" si="35"/>
        <v>20720</v>
      </c>
      <c r="Q68" s="214">
        <f t="shared" si="35"/>
        <v>21484</v>
      </c>
      <c r="R68" s="214">
        <f t="shared" si="35"/>
        <v>21461</v>
      </c>
      <c r="S68" s="214">
        <f t="shared" si="35"/>
        <v>22223</v>
      </c>
      <c r="T68" s="214">
        <f t="shared" si="35"/>
        <v>22200</v>
      </c>
      <c r="U68" s="214">
        <f t="shared" si="35"/>
        <v>22987</v>
      </c>
      <c r="V68" s="214">
        <f t="shared" si="35"/>
        <v>22987</v>
      </c>
      <c r="W68" s="161"/>
    </row>
    <row r="69" spans="1:24" ht="15.95" customHeight="1" x14ac:dyDescent="0.4">
      <c r="A69" s="207" t="s">
        <v>280</v>
      </c>
      <c r="B69" s="207"/>
      <c r="C69" s="213">
        <f>-C80-C78</f>
        <v>474722.55407572235</v>
      </c>
      <c r="D69" s="213">
        <f>(+C69+(-D80-D78-D79))</f>
        <v>975183.86752638291</v>
      </c>
      <c r="E69" s="213">
        <f t="shared" ref="E69:V69" si="36">(+D69+(-E80-E79))</f>
        <v>910171.60969129077</v>
      </c>
      <c r="F69" s="213">
        <f t="shared" si="36"/>
        <v>845159.35185619863</v>
      </c>
      <c r="G69" s="213">
        <f t="shared" si="36"/>
        <v>780147.09402110649</v>
      </c>
      <c r="H69" s="213">
        <f t="shared" si="36"/>
        <v>731134.83618601435</v>
      </c>
      <c r="I69" s="213">
        <f t="shared" si="36"/>
        <v>662122.57835092209</v>
      </c>
      <c r="J69" s="213">
        <f t="shared" si="36"/>
        <v>593110.32051582984</v>
      </c>
      <c r="K69" s="213">
        <f t="shared" si="36"/>
        <v>524098.06268073764</v>
      </c>
      <c r="L69" s="213">
        <f t="shared" si="36"/>
        <v>455085.80484564544</v>
      </c>
      <c r="M69" s="213">
        <f t="shared" si="36"/>
        <v>418073.54701055324</v>
      </c>
      <c r="N69" s="213">
        <f t="shared" si="36"/>
        <v>358061.28917546105</v>
      </c>
      <c r="O69" s="213">
        <f t="shared" si="36"/>
        <v>287049.03134036885</v>
      </c>
      <c r="P69" s="213">
        <f t="shared" si="36"/>
        <v>219036.77350527665</v>
      </c>
      <c r="Q69" s="213">
        <f t="shared" si="36"/>
        <v>141024.51567018445</v>
      </c>
      <c r="R69" s="213">
        <f t="shared" si="36"/>
        <v>107268.06583509226</v>
      </c>
      <c r="S69" s="213">
        <f t="shared" si="36"/>
        <v>29941.856000000073</v>
      </c>
      <c r="T69" s="213">
        <f t="shared" si="36"/>
        <v>18627.904000000075</v>
      </c>
      <c r="U69" s="213">
        <f t="shared" si="36"/>
        <v>9313.9520000000757</v>
      </c>
      <c r="V69" s="213">
        <f t="shared" si="36"/>
        <v>7.6397554948925972E-11</v>
      </c>
      <c r="W69" s="161"/>
    </row>
    <row r="70" spans="1:24" ht="15.95" customHeight="1" x14ac:dyDescent="0.4">
      <c r="A70" s="212" t="s">
        <v>494</v>
      </c>
      <c r="B70" s="211"/>
      <c r="C70" s="210">
        <f t="shared" ref="C70:V70" si="37">+C68+C69</f>
        <v>476722.55407572235</v>
      </c>
      <c r="D70" s="210">
        <f t="shared" si="37"/>
        <v>977183.86752638291</v>
      </c>
      <c r="E70" s="210">
        <f t="shared" si="37"/>
        <v>917201.60969129077</v>
      </c>
      <c r="F70" s="210">
        <f t="shared" si="37"/>
        <v>855867.35185619863</v>
      </c>
      <c r="G70" s="210">
        <f t="shared" si="37"/>
        <v>795182.09402110649</v>
      </c>
      <c r="H70" s="210">
        <f t="shared" si="37"/>
        <v>749065.83618601435</v>
      </c>
      <c r="I70" s="210">
        <f t="shared" si="37"/>
        <v>680646.57835092209</v>
      </c>
      <c r="J70" s="210">
        <f t="shared" si="37"/>
        <v>611620.32051582984</v>
      </c>
      <c r="K70" s="210">
        <f t="shared" si="37"/>
        <v>543362.06268073758</v>
      </c>
      <c r="L70" s="210">
        <f t="shared" si="37"/>
        <v>474326.80484564544</v>
      </c>
      <c r="M70" s="210">
        <f t="shared" si="37"/>
        <v>438076.54701055324</v>
      </c>
      <c r="N70" s="210">
        <f t="shared" si="37"/>
        <v>378041.28917546105</v>
      </c>
      <c r="O70" s="210">
        <f t="shared" si="37"/>
        <v>307793.03134036885</v>
      </c>
      <c r="P70" s="210">
        <f t="shared" si="37"/>
        <v>239756.77350527665</v>
      </c>
      <c r="Q70" s="210">
        <f t="shared" si="37"/>
        <v>162508.51567018445</v>
      </c>
      <c r="R70" s="210">
        <f t="shared" si="37"/>
        <v>128729.06583509226</v>
      </c>
      <c r="S70" s="210">
        <f t="shared" si="37"/>
        <v>52164.856000000073</v>
      </c>
      <c r="T70" s="210">
        <f t="shared" si="37"/>
        <v>40827.904000000075</v>
      </c>
      <c r="U70" s="210">
        <f t="shared" si="37"/>
        <v>32300.952000000078</v>
      </c>
      <c r="V70" s="210">
        <f t="shared" si="37"/>
        <v>22987.000000000076</v>
      </c>
      <c r="W70" s="161"/>
    </row>
    <row r="71" spans="1:24" ht="15.95" customHeight="1" x14ac:dyDescent="0.4">
      <c r="A71" s="204" t="s">
        <v>493</v>
      </c>
      <c r="B71" s="204"/>
      <c r="C71" s="209"/>
      <c r="D71" s="209"/>
      <c r="E71" s="209"/>
      <c r="F71" s="209"/>
      <c r="G71" s="209"/>
      <c r="H71" s="209"/>
      <c r="I71" s="209"/>
      <c r="J71" s="209"/>
      <c r="K71" s="209"/>
      <c r="L71" s="209"/>
      <c r="M71" s="209"/>
      <c r="N71" s="209"/>
      <c r="O71" s="209"/>
      <c r="P71" s="209"/>
      <c r="Q71" s="209"/>
      <c r="R71" s="209"/>
      <c r="S71" s="209"/>
      <c r="T71" s="209"/>
      <c r="U71" s="209"/>
      <c r="V71" s="209"/>
      <c r="W71" s="161"/>
    </row>
    <row r="72" spans="1:24" ht="15.95" customHeight="1" x14ac:dyDescent="0.4">
      <c r="A72" s="207" t="s">
        <v>492</v>
      </c>
      <c r="B72" s="207"/>
      <c r="C72" s="206"/>
      <c r="D72" s="206">
        <f>PL_Extract!F43</f>
        <v>0</v>
      </c>
      <c r="E72" s="206">
        <f>PL_Extract!G43</f>
        <v>0</v>
      </c>
      <c r="F72" s="206">
        <f>PL_Extract!H43</f>
        <v>0</v>
      </c>
      <c r="G72" s="206">
        <f>PL_Extract!I43</f>
        <v>0</v>
      </c>
      <c r="H72" s="206">
        <f>PL_Extract!J43</f>
        <v>0</v>
      </c>
      <c r="I72" s="206">
        <f>PL_Extract!K43</f>
        <v>0</v>
      </c>
      <c r="J72" s="206">
        <f>PL_Extract!L43</f>
        <v>0</v>
      </c>
      <c r="K72" s="206">
        <f>PL_Extract!M43</f>
        <v>0</v>
      </c>
      <c r="L72" s="206">
        <f>PL_Extract!N43</f>
        <v>0</v>
      </c>
      <c r="M72" s="206">
        <f>PL_Extract!O43</f>
        <v>0</v>
      </c>
      <c r="N72" s="206">
        <f>PL_Extract!P43</f>
        <v>0</v>
      </c>
      <c r="O72" s="206">
        <f>PL_Extract!Q43</f>
        <v>0</v>
      </c>
      <c r="P72" s="206">
        <f>PL_Extract!R43</f>
        <v>0</v>
      </c>
      <c r="Q72" s="206">
        <f>PL_Extract!S43</f>
        <v>0</v>
      </c>
      <c r="R72" s="206">
        <f>PL_Extract!T43</f>
        <v>0</v>
      </c>
      <c r="S72" s="206">
        <f>PL_Extract!U43</f>
        <v>0</v>
      </c>
      <c r="T72" s="206">
        <f>PL_Extract!V43</f>
        <v>0</v>
      </c>
      <c r="U72" s="206">
        <f>PL_Extract!W43</f>
        <v>0</v>
      </c>
      <c r="V72" s="206">
        <f>PL_Extract!X43</f>
        <v>0</v>
      </c>
      <c r="W72" s="161"/>
    </row>
    <row r="73" spans="1:24" ht="15.95" customHeight="1" x14ac:dyDescent="0.4">
      <c r="A73" s="207" t="s">
        <v>491</v>
      </c>
      <c r="B73" s="207"/>
      <c r="C73" s="208"/>
      <c r="D73" s="208">
        <f>PL_Extract!F44</f>
        <v>30</v>
      </c>
      <c r="E73" s="208">
        <f>PL_Extract!G44</f>
        <v>30</v>
      </c>
      <c r="F73" s="208">
        <f>PL_Extract!H44</f>
        <v>30</v>
      </c>
      <c r="G73" s="208">
        <f>PL_Extract!I44</f>
        <v>30</v>
      </c>
      <c r="H73" s="208">
        <f>PL_Extract!J44</f>
        <v>30</v>
      </c>
      <c r="I73" s="208">
        <f>PL_Extract!K44</f>
        <v>30</v>
      </c>
      <c r="J73" s="208">
        <f>PL_Extract!L44</f>
        <v>30</v>
      </c>
      <c r="K73" s="208">
        <f>PL_Extract!M44</f>
        <v>30</v>
      </c>
      <c r="L73" s="208">
        <f>PL_Extract!N44</f>
        <v>30</v>
      </c>
      <c r="M73" s="208">
        <f>PL_Extract!O44</f>
        <v>30</v>
      </c>
      <c r="N73" s="208">
        <f>PL_Extract!P44</f>
        <v>30</v>
      </c>
      <c r="O73" s="208">
        <f>PL_Extract!Q44</f>
        <v>30</v>
      </c>
      <c r="P73" s="208">
        <f>PL_Extract!R44</f>
        <v>30</v>
      </c>
      <c r="Q73" s="208">
        <f>PL_Extract!S44</f>
        <v>30</v>
      </c>
      <c r="R73" s="208">
        <f>PL_Extract!T44</f>
        <v>30</v>
      </c>
      <c r="S73" s="208">
        <f>PL_Extract!U44</f>
        <v>30</v>
      </c>
      <c r="T73" s="208">
        <f>PL_Extract!V44</f>
        <v>30</v>
      </c>
      <c r="U73" s="208">
        <f>PL_Extract!W44</f>
        <v>30</v>
      </c>
      <c r="V73" s="208">
        <f>PL_Extract!X44</f>
        <v>30</v>
      </c>
      <c r="W73" s="161"/>
    </row>
    <row r="74" spans="1:24" ht="15.95" customHeight="1" x14ac:dyDescent="0.4">
      <c r="A74" s="207" t="s">
        <v>490</v>
      </c>
      <c r="B74" s="207"/>
      <c r="C74" s="208"/>
      <c r="D74" s="208">
        <f>PL_Extract!F45</f>
        <v>15</v>
      </c>
      <c r="E74" s="208">
        <f>PL_Extract!G45</f>
        <v>15</v>
      </c>
      <c r="F74" s="208">
        <f>PL_Extract!H45</f>
        <v>15</v>
      </c>
      <c r="G74" s="208">
        <f>PL_Extract!I45</f>
        <v>15</v>
      </c>
      <c r="H74" s="208">
        <f>PL_Extract!J45</f>
        <v>15</v>
      </c>
      <c r="I74" s="208">
        <f>PL_Extract!K45</f>
        <v>15</v>
      </c>
      <c r="J74" s="208">
        <f>PL_Extract!L45</f>
        <v>15</v>
      </c>
      <c r="K74" s="208">
        <f>PL_Extract!M45</f>
        <v>15</v>
      </c>
      <c r="L74" s="208">
        <f>PL_Extract!N45</f>
        <v>15</v>
      </c>
      <c r="M74" s="208">
        <f>PL_Extract!O45</f>
        <v>15</v>
      </c>
      <c r="N74" s="208">
        <f>PL_Extract!P45</f>
        <v>15</v>
      </c>
      <c r="O74" s="208">
        <f>PL_Extract!Q45</f>
        <v>15</v>
      </c>
      <c r="P74" s="208">
        <f>PL_Extract!R45</f>
        <v>15</v>
      </c>
      <c r="Q74" s="208">
        <f>PL_Extract!S45</f>
        <v>15</v>
      </c>
      <c r="R74" s="208">
        <f>PL_Extract!T45</f>
        <v>15</v>
      </c>
      <c r="S74" s="208">
        <f>PL_Extract!U45</f>
        <v>15</v>
      </c>
      <c r="T74" s="208">
        <f>PL_Extract!V45</f>
        <v>15</v>
      </c>
      <c r="U74" s="208">
        <f>PL_Extract!W45</f>
        <v>15</v>
      </c>
      <c r="V74" s="208">
        <f>PL_Extract!X45</f>
        <v>15</v>
      </c>
      <c r="W74" s="161"/>
    </row>
    <row r="75" spans="1:24" ht="15.95" customHeight="1" x14ac:dyDescent="0.4">
      <c r="A75" s="207" t="s">
        <v>489</v>
      </c>
      <c r="B75" s="207"/>
      <c r="C75" s="206"/>
      <c r="D75" s="206">
        <f t="shared" ref="D75:V75" si="38">IF(D$5=0,0,D68/D$5%)</f>
        <v>0</v>
      </c>
      <c r="E75" s="206">
        <f t="shared" si="38"/>
        <v>10.284525528709754</v>
      </c>
      <c r="F75" s="206">
        <f t="shared" si="38"/>
        <v>9.4673590433952679</v>
      </c>
      <c r="G75" s="206">
        <f t="shared" si="38"/>
        <v>9.0710885794125158</v>
      </c>
      <c r="H75" s="206">
        <f t="shared" si="38"/>
        <v>8.9214978898471919</v>
      </c>
      <c r="I75" s="206">
        <f t="shared" si="38"/>
        <v>8.7976089280172864</v>
      </c>
      <c r="J75" s="206">
        <f t="shared" si="38"/>
        <v>8.7909599037788801</v>
      </c>
      <c r="K75" s="206">
        <f t="shared" si="38"/>
        <v>8.7512722497844155</v>
      </c>
      <c r="L75" s="206">
        <f t="shared" si="38"/>
        <v>8.7408237831240623</v>
      </c>
      <c r="M75" s="206">
        <f t="shared" si="38"/>
        <v>8.7083616086267721</v>
      </c>
      <c r="N75" s="206">
        <f t="shared" si="38"/>
        <v>8.698348494743934</v>
      </c>
      <c r="O75" s="206">
        <f t="shared" si="38"/>
        <v>8.6697196960945639</v>
      </c>
      <c r="P75" s="206">
        <f t="shared" si="38"/>
        <v>8.6596891681006252</v>
      </c>
      <c r="Q75" s="206">
        <f t="shared" si="38"/>
        <v>8.6336483742702104</v>
      </c>
      <c r="R75" s="206">
        <f t="shared" si="38"/>
        <v>8.6244054999168203</v>
      </c>
      <c r="S75" s="206">
        <f t="shared" si="38"/>
        <v>8.5998620219639399</v>
      </c>
      <c r="T75" s="206">
        <f t="shared" si="38"/>
        <v>8.590961476290305</v>
      </c>
      <c r="U75" s="206">
        <f t="shared" si="38"/>
        <v>8.5778179686262881</v>
      </c>
      <c r="V75" s="206">
        <f t="shared" si="38"/>
        <v>8.5778179686262881</v>
      </c>
      <c r="W75" s="161"/>
    </row>
    <row r="76" spans="1:24" ht="15.95" customHeight="1" x14ac:dyDescent="0.4">
      <c r="A76" s="205" t="s">
        <v>488</v>
      </c>
      <c r="B76" s="205"/>
      <c r="C76" s="201">
        <f t="shared" ref="C76:V76" si="39">IF(C$70&lt;=0,0,C34/C$70%)</f>
        <v>-1.2862228440791852</v>
      </c>
      <c r="D76" s="201">
        <f t="shared" si="39"/>
        <v>-0.65561769962669969</v>
      </c>
      <c r="E76" s="201">
        <f t="shared" si="39"/>
        <v>-1.5016118886221652</v>
      </c>
      <c r="F76" s="201">
        <f t="shared" si="39"/>
        <v>3.4624518144850756</v>
      </c>
      <c r="G76" s="201">
        <f t="shared" si="39"/>
        <v>10.148204048508495</v>
      </c>
      <c r="H76" s="201">
        <f t="shared" si="39"/>
        <v>14.802378311475254</v>
      </c>
      <c r="I76" s="201">
        <f t="shared" si="39"/>
        <v>16.959462811438552</v>
      </c>
      <c r="J76" s="201">
        <f t="shared" si="39"/>
        <v>18.819348289170609</v>
      </c>
      <c r="K76" s="201">
        <f t="shared" si="39"/>
        <v>22.744070522795191</v>
      </c>
      <c r="L76" s="201">
        <f t="shared" si="39"/>
        <v>25.934681267495513</v>
      </c>
      <c r="M76" s="201">
        <f t="shared" si="39"/>
        <v>29.385571769626882</v>
      </c>
      <c r="N76" s="201">
        <f t="shared" si="39"/>
        <v>33.108497929809168</v>
      </c>
      <c r="O76" s="201">
        <f t="shared" si="39"/>
        <v>43.17184991047241</v>
      </c>
      <c r="P76" s="201">
        <f t="shared" si="39"/>
        <v>54.35193254095131</v>
      </c>
      <c r="Q76" s="201">
        <f t="shared" si="39"/>
        <v>85.551573927847315</v>
      </c>
      <c r="R76" s="201">
        <f t="shared" si="39"/>
        <v>105.76254423366039</v>
      </c>
      <c r="S76" s="201">
        <f t="shared" si="39"/>
        <v>283.45384164406192</v>
      </c>
      <c r="T76" s="201">
        <f t="shared" si="39"/>
        <v>522.45650530572675</v>
      </c>
      <c r="U76" s="201">
        <f t="shared" si="39"/>
        <v>695.30984498494263</v>
      </c>
      <c r="V76" s="201">
        <f t="shared" si="39"/>
        <v>977.03788784904725</v>
      </c>
      <c r="W76" s="161"/>
    </row>
    <row r="77" spans="1:24" ht="15.95" customHeight="1" x14ac:dyDescent="0.4">
      <c r="A77" s="204" t="s">
        <v>301</v>
      </c>
      <c r="B77" s="204"/>
      <c r="C77" s="203"/>
      <c r="D77" s="203"/>
      <c r="E77" s="203"/>
      <c r="F77" s="203"/>
      <c r="G77" s="203"/>
      <c r="H77" s="203"/>
      <c r="I77" s="203"/>
      <c r="J77" s="203"/>
      <c r="K77" s="203"/>
      <c r="L77" s="203"/>
      <c r="M77" s="203"/>
      <c r="N77" s="203"/>
      <c r="O77" s="203"/>
      <c r="P77" s="203"/>
      <c r="Q77" s="203"/>
      <c r="R77" s="203"/>
      <c r="S77" s="203"/>
      <c r="T77" s="203"/>
      <c r="U77" s="203"/>
      <c r="V77" s="203"/>
      <c r="W77" s="161"/>
    </row>
    <row r="78" spans="1:24" ht="15.95" customHeight="1" x14ac:dyDescent="0.4">
      <c r="A78" s="202" t="s">
        <v>487</v>
      </c>
      <c r="B78" s="202"/>
      <c r="C78" s="201">
        <f t="shared" ref="C78:V78" si="40">+C34</f>
        <v>-6131.7143933996877</v>
      </c>
      <c r="D78" s="201">
        <f t="shared" si="40"/>
        <v>-6406.5903933996879</v>
      </c>
      <c r="E78" s="201">
        <f t="shared" si="40"/>
        <v>-13772.808413758292</v>
      </c>
      <c r="F78" s="201">
        <f t="shared" si="40"/>
        <v>29633.994653930313</v>
      </c>
      <c r="G78" s="201">
        <f t="shared" si="40"/>
        <v>80696.701458464551</v>
      </c>
      <c r="H78" s="201">
        <f t="shared" si="40"/>
        <v>110879.55887426934</v>
      </c>
      <c r="I78" s="201">
        <f t="shared" si="40"/>
        <v>115434.00333275361</v>
      </c>
      <c r="J78" s="201">
        <f t="shared" si="40"/>
        <v>115102.95832521562</v>
      </c>
      <c r="K78" s="201">
        <f t="shared" si="40"/>
        <v>123582.65073022156</v>
      </c>
      <c r="L78" s="201">
        <f t="shared" si="40"/>
        <v>123015.1450030136</v>
      </c>
      <c r="M78" s="201">
        <f t="shared" si="40"/>
        <v>128731.29812768937</v>
      </c>
      <c r="N78" s="201">
        <f t="shared" si="40"/>
        <v>125163.79240048141</v>
      </c>
      <c r="O78" s="201">
        <f t="shared" si="40"/>
        <v>132879.94552515735</v>
      </c>
      <c r="P78" s="201">
        <f t="shared" si="40"/>
        <v>130312.4397979494</v>
      </c>
      <c r="Q78" s="201">
        <f t="shared" si="40"/>
        <v>139028.59292262519</v>
      </c>
      <c r="R78" s="201">
        <f t="shared" si="40"/>
        <v>136147.13519541724</v>
      </c>
      <c r="S78" s="201">
        <f t="shared" si="40"/>
        <v>147863.28832009315</v>
      </c>
      <c r="T78" s="201">
        <f t="shared" si="40"/>
        <v>213308.04042797739</v>
      </c>
      <c r="U78" s="201">
        <f t="shared" si="40"/>
        <v>224591.69927986123</v>
      </c>
      <c r="V78" s="201">
        <f t="shared" si="40"/>
        <v>224591.69927986123</v>
      </c>
      <c r="W78" s="161"/>
    </row>
    <row r="79" spans="1:24" ht="15.95" customHeight="1" x14ac:dyDescent="0.4">
      <c r="A79" s="161" t="s">
        <v>486</v>
      </c>
      <c r="B79" s="202"/>
      <c r="C79" s="201">
        <f>-Capex!D38</f>
        <v>0</v>
      </c>
      <c r="D79" s="201">
        <f>-Capex!E38</f>
        <v>0</v>
      </c>
      <c r="E79" s="201">
        <f>-Capex!G38</f>
        <v>65012.25783509219</v>
      </c>
      <c r="F79" s="201">
        <f>-Capex!H38</f>
        <v>65012.25783509219</v>
      </c>
      <c r="G79" s="201">
        <f>-Capex!I38</f>
        <v>65012.25783509219</v>
      </c>
      <c r="H79" s="201">
        <f>-Capex!J38</f>
        <v>69012.257835092198</v>
      </c>
      <c r="I79" s="201">
        <f>-Capex!K38</f>
        <v>69012.257835092198</v>
      </c>
      <c r="J79" s="201">
        <f>-Capex!L38</f>
        <v>69012.257835092198</v>
      </c>
      <c r="K79" s="201">
        <f>-Capex!M38</f>
        <v>69012.257835092198</v>
      </c>
      <c r="L79" s="201">
        <f>-Capex!N38</f>
        <v>69012.257835092198</v>
      </c>
      <c r="M79" s="201">
        <f>-Capex!O38</f>
        <v>72012.257835092198</v>
      </c>
      <c r="N79" s="201">
        <f>-Capex!P38</f>
        <v>75012.257835092198</v>
      </c>
      <c r="O79" s="201">
        <f>-Capex!Q38</f>
        <v>76012.257835092198</v>
      </c>
      <c r="P79" s="201">
        <f>-Capex!R38</f>
        <v>78012.257835092198</v>
      </c>
      <c r="Q79" s="201">
        <f>-Capex!S38</f>
        <v>78012.257835092198</v>
      </c>
      <c r="R79" s="201">
        <f>-Capex!T38</f>
        <v>80326.209835092188</v>
      </c>
      <c r="S79" s="201">
        <f>-Capex!U38</f>
        <v>77326.209835092188</v>
      </c>
      <c r="T79" s="201">
        <f>-Capex!V38</f>
        <v>11313.951999999999</v>
      </c>
      <c r="U79" s="201">
        <f>-Capex!W38</f>
        <v>9313.9519999999993</v>
      </c>
      <c r="V79" s="201">
        <f>-Capex!X38</f>
        <v>9313.9519999999993</v>
      </c>
      <c r="W79" s="161"/>
    </row>
    <row r="80" spans="1:24" ht="15.95" customHeight="1" x14ac:dyDescent="0.4">
      <c r="A80" s="161" t="s">
        <v>485</v>
      </c>
      <c r="B80" s="202"/>
      <c r="C80" s="201">
        <f>-Capex!D20-C78</f>
        <v>-468590.83968232264</v>
      </c>
      <c r="D80" s="201">
        <f>-Capex!E20-D78</f>
        <v>-494054.72305726091</v>
      </c>
      <c r="E80" s="201">
        <f>-Capex!G20</f>
        <v>0</v>
      </c>
      <c r="F80" s="201">
        <f>-Capex!H20</f>
        <v>0</v>
      </c>
      <c r="G80" s="201">
        <f>-Capex!I20</f>
        <v>0</v>
      </c>
      <c r="H80" s="201">
        <f>-Capex!J20</f>
        <v>-20000</v>
      </c>
      <c r="I80" s="201">
        <f>-Capex!K20</f>
        <v>0</v>
      </c>
      <c r="J80" s="201">
        <f>-Capex!L20</f>
        <v>0</v>
      </c>
      <c r="K80" s="201">
        <f>-Capex!M20</f>
        <v>0</v>
      </c>
      <c r="L80" s="201">
        <f>-Capex!N20</f>
        <v>0</v>
      </c>
      <c r="M80" s="201">
        <f>-Capex!O20</f>
        <v>-35000</v>
      </c>
      <c r="N80" s="201">
        <f>-Capex!P20</f>
        <v>-15000</v>
      </c>
      <c r="O80" s="201">
        <f>-Capex!Q20</f>
        <v>-5000</v>
      </c>
      <c r="P80" s="201">
        <f>-Capex!R20</f>
        <v>-10000</v>
      </c>
      <c r="Q80" s="201">
        <f>-Capex!S20</f>
        <v>0</v>
      </c>
      <c r="R80" s="201">
        <f>-Capex!T20</f>
        <v>-46569.759999999995</v>
      </c>
      <c r="S80" s="201">
        <f>-Capex!U20</f>
        <v>0</v>
      </c>
      <c r="T80" s="201">
        <f>-Capex!V20</f>
        <v>0</v>
      </c>
      <c r="U80" s="201">
        <f>-Capex!W20</f>
        <v>0</v>
      </c>
      <c r="V80" s="201">
        <f>-Capex!X20</f>
        <v>0</v>
      </c>
      <c r="W80" s="161"/>
    </row>
    <row r="81" spans="1:23" ht="15.95" customHeight="1" x14ac:dyDescent="0.4">
      <c r="A81" s="200" t="s">
        <v>484</v>
      </c>
      <c r="B81" s="200"/>
      <c r="C81" s="199">
        <f>+C68*-1</f>
        <v>-2000</v>
      </c>
      <c r="D81" s="199">
        <f t="shared" ref="D81:U81" si="41">+C68-D68</f>
        <v>0</v>
      </c>
      <c r="E81" s="199">
        <f t="shared" si="41"/>
        <v>-5030</v>
      </c>
      <c r="F81" s="199">
        <f t="shared" si="41"/>
        <v>-3678</v>
      </c>
      <c r="G81" s="199">
        <f t="shared" si="41"/>
        <v>-4327</v>
      </c>
      <c r="H81" s="199">
        <f t="shared" si="41"/>
        <v>-2896</v>
      </c>
      <c r="I81" s="199">
        <f t="shared" si="41"/>
        <v>-593</v>
      </c>
      <c r="J81" s="199">
        <f t="shared" si="41"/>
        <v>14</v>
      </c>
      <c r="K81" s="199">
        <f t="shared" si="41"/>
        <v>-754</v>
      </c>
      <c r="L81" s="199">
        <f t="shared" si="41"/>
        <v>23</v>
      </c>
      <c r="M81" s="199">
        <f t="shared" si="41"/>
        <v>-762</v>
      </c>
      <c r="N81" s="199">
        <f t="shared" si="41"/>
        <v>23</v>
      </c>
      <c r="O81" s="199">
        <f t="shared" si="41"/>
        <v>-764</v>
      </c>
      <c r="P81" s="199">
        <f t="shared" si="41"/>
        <v>24</v>
      </c>
      <c r="Q81" s="199">
        <f t="shared" si="41"/>
        <v>-764</v>
      </c>
      <c r="R81" s="199">
        <f t="shared" si="41"/>
        <v>23</v>
      </c>
      <c r="S81" s="199">
        <f t="shared" si="41"/>
        <v>-762</v>
      </c>
      <c r="T81" s="199">
        <f t="shared" si="41"/>
        <v>23</v>
      </c>
      <c r="U81" s="199">
        <f t="shared" si="41"/>
        <v>-787</v>
      </c>
      <c r="V81" s="198">
        <f>+V70</f>
        <v>22987.000000000076</v>
      </c>
      <c r="W81" s="161"/>
    </row>
    <row r="82" spans="1:23" ht="15.95" customHeight="1" x14ac:dyDescent="0.4">
      <c r="A82" s="197" t="s">
        <v>483</v>
      </c>
      <c r="B82" s="197"/>
      <c r="C82" s="196">
        <f t="shared" ref="C82:V82" si="42">SUM(C78:C81)</f>
        <v>-476722.55407572235</v>
      </c>
      <c r="D82" s="196">
        <f t="shared" si="42"/>
        <v>-500461.31345066061</v>
      </c>
      <c r="E82" s="196">
        <f t="shared" si="42"/>
        <v>46209.449421333898</v>
      </c>
      <c r="F82" s="196">
        <f t="shared" si="42"/>
        <v>90968.252489022503</v>
      </c>
      <c r="G82" s="196">
        <f t="shared" si="42"/>
        <v>141381.95929355675</v>
      </c>
      <c r="H82" s="196">
        <f t="shared" si="42"/>
        <v>156995.81670936153</v>
      </c>
      <c r="I82" s="196">
        <f t="shared" si="42"/>
        <v>183853.26116784581</v>
      </c>
      <c r="J82" s="196">
        <f t="shared" si="42"/>
        <v>184129.21616030781</v>
      </c>
      <c r="K82" s="196">
        <f t="shared" si="42"/>
        <v>191840.90856531376</v>
      </c>
      <c r="L82" s="196">
        <f t="shared" si="42"/>
        <v>192050.4028381058</v>
      </c>
      <c r="M82" s="196">
        <f t="shared" si="42"/>
        <v>164981.55596278157</v>
      </c>
      <c r="N82" s="196">
        <f t="shared" si="42"/>
        <v>185199.05023557361</v>
      </c>
      <c r="O82" s="196">
        <f t="shared" si="42"/>
        <v>203128.20336024955</v>
      </c>
      <c r="P82" s="196">
        <f t="shared" si="42"/>
        <v>198348.69763304159</v>
      </c>
      <c r="Q82" s="196">
        <f t="shared" si="42"/>
        <v>216276.85075771739</v>
      </c>
      <c r="R82" s="196">
        <f t="shared" si="42"/>
        <v>169926.58503050945</v>
      </c>
      <c r="S82" s="196">
        <f t="shared" si="42"/>
        <v>224427.49815518534</v>
      </c>
      <c r="T82" s="196">
        <f t="shared" si="42"/>
        <v>224644.99242797738</v>
      </c>
      <c r="U82" s="196">
        <f t="shared" si="42"/>
        <v>233118.65127986122</v>
      </c>
      <c r="V82" s="196">
        <f t="shared" si="42"/>
        <v>256892.65127986131</v>
      </c>
      <c r="W82" s="161"/>
    </row>
    <row r="83" spans="1:23" ht="15.95" hidden="1" customHeight="1" x14ac:dyDescent="0.4">
      <c r="A83" s="195" t="s">
        <v>482</v>
      </c>
      <c r="B83" s="195"/>
      <c r="C83" s="194">
        <v>0</v>
      </c>
      <c r="D83" s="194">
        <v>0</v>
      </c>
      <c r="E83" s="194">
        <v>0</v>
      </c>
      <c r="F83" s="194">
        <v>0</v>
      </c>
      <c r="G83" s="194">
        <v>0</v>
      </c>
      <c r="H83" s="194">
        <v>0</v>
      </c>
      <c r="I83" s="194">
        <v>0</v>
      </c>
      <c r="J83" s="194">
        <v>0</v>
      </c>
      <c r="K83" s="194">
        <v>0</v>
      </c>
      <c r="L83" s="194">
        <v>0</v>
      </c>
      <c r="M83" s="194">
        <v>0</v>
      </c>
      <c r="N83" s="194">
        <v>0</v>
      </c>
      <c r="O83" s="194">
        <v>0</v>
      </c>
      <c r="P83" s="194">
        <v>0</v>
      </c>
      <c r="Q83" s="194">
        <v>0</v>
      </c>
      <c r="R83" s="194">
        <v>0</v>
      </c>
      <c r="S83" s="194">
        <v>0</v>
      </c>
      <c r="T83" s="194">
        <v>0</v>
      </c>
      <c r="U83" s="194">
        <v>0</v>
      </c>
      <c r="V83" s="194">
        <v>0</v>
      </c>
      <c r="W83" s="161"/>
    </row>
    <row r="84" spans="1:23" ht="15.95" hidden="1" customHeight="1" x14ac:dyDescent="0.4">
      <c r="A84" s="192" t="s">
        <v>481</v>
      </c>
      <c r="B84" s="192"/>
      <c r="C84" s="192"/>
      <c r="D84" s="193">
        <f>+D82</f>
        <v>-500461.31345066061</v>
      </c>
      <c r="E84" s="193">
        <f t="shared" ref="E84:V84" si="43">+D84+E82</f>
        <v>-454251.86402932671</v>
      </c>
      <c r="F84" s="193">
        <f t="shared" si="43"/>
        <v>-363283.61154030421</v>
      </c>
      <c r="G84" s="193">
        <f t="shared" si="43"/>
        <v>-221901.65224674746</v>
      </c>
      <c r="H84" s="193">
        <f t="shared" si="43"/>
        <v>-64905.835537385923</v>
      </c>
      <c r="I84" s="193">
        <f t="shared" si="43"/>
        <v>118947.42563045988</v>
      </c>
      <c r="J84" s="193">
        <f t="shared" si="43"/>
        <v>303076.64179076767</v>
      </c>
      <c r="K84" s="193">
        <f t="shared" si="43"/>
        <v>494917.55035608145</v>
      </c>
      <c r="L84" s="193">
        <f t="shared" si="43"/>
        <v>686967.95319418726</v>
      </c>
      <c r="M84" s="193">
        <f t="shared" si="43"/>
        <v>851949.50915696879</v>
      </c>
      <c r="N84" s="193">
        <f t="shared" si="43"/>
        <v>1037148.5593925423</v>
      </c>
      <c r="O84" s="193">
        <f t="shared" si="43"/>
        <v>1240276.7627527919</v>
      </c>
      <c r="P84" s="193">
        <f t="shared" si="43"/>
        <v>1438625.4603858334</v>
      </c>
      <c r="Q84" s="193">
        <f t="shared" si="43"/>
        <v>1654902.3111435508</v>
      </c>
      <c r="R84" s="193">
        <f t="shared" si="43"/>
        <v>1824828.8961740602</v>
      </c>
      <c r="S84" s="193">
        <f t="shared" si="43"/>
        <v>2049256.3943292454</v>
      </c>
      <c r="T84" s="193">
        <f t="shared" si="43"/>
        <v>2273901.3867572229</v>
      </c>
      <c r="U84" s="193">
        <f t="shared" si="43"/>
        <v>2507020.038037084</v>
      </c>
      <c r="V84" s="193">
        <f t="shared" si="43"/>
        <v>2763912.6893169452</v>
      </c>
      <c r="W84" s="161"/>
    </row>
    <row r="85" spans="1:23" ht="15.95" hidden="1" customHeight="1" x14ac:dyDescent="0.4">
      <c r="A85" s="191" t="s">
        <v>480</v>
      </c>
      <c r="B85" s="191"/>
      <c r="C85" s="192"/>
      <c r="D85" s="191">
        <f>+D84+$C$82</f>
        <v>-977183.86752638291</v>
      </c>
      <c r="E85" s="191">
        <f t="shared" ref="E85:V85" si="44">+D85+E82</f>
        <v>-930974.41810504906</v>
      </c>
      <c r="F85" s="191">
        <f t="shared" si="44"/>
        <v>-840006.16561602661</v>
      </c>
      <c r="G85" s="191">
        <f t="shared" si="44"/>
        <v>-698624.20632246986</v>
      </c>
      <c r="H85" s="191">
        <f t="shared" si="44"/>
        <v>-541628.38961310836</v>
      </c>
      <c r="I85" s="191">
        <f t="shared" si="44"/>
        <v>-357775.12844526256</v>
      </c>
      <c r="J85" s="191">
        <f t="shared" si="44"/>
        <v>-173645.91228495474</v>
      </c>
      <c r="K85" s="191">
        <f t="shared" si="44"/>
        <v>18194.996280359017</v>
      </c>
      <c r="L85" s="191">
        <f t="shared" si="44"/>
        <v>210245.39911846482</v>
      </c>
      <c r="M85" s="191">
        <f t="shared" si="44"/>
        <v>375226.95508124639</v>
      </c>
      <c r="N85" s="191">
        <f t="shared" si="44"/>
        <v>560426.00531682</v>
      </c>
      <c r="O85" s="191">
        <f t="shared" si="44"/>
        <v>763554.20867706952</v>
      </c>
      <c r="P85" s="191">
        <f t="shared" si="44"/>
        <v>961902.90631011105</v>
      </c>
      <c r="Q85" s="191">
        <f t="shared" si="44"/>
        <v>1178179.7570678284</v>
      </c>
      <c r="R85" s="191">
        <f t="shared" si="44"/>
        <v>1348106.3420983378</v>
      </c>
      <c r="S85" s="191">
        <f t="shared" si="44"/>
        <v>1572533.8402535231</v>
      </c>
      <c r="T85" s="191">
        <f t="shared" si="44"/>
        <v>1797178.8326815004</v>
      </c>
      <c r="U85" s="191">
        <f t="shared" si="44"/>
        <v>2030297.4839613615</v>
      </c>
      <c r="V85" s="191">
        <f t="shared" si="44"/>
        <v>2287190.1352412226</v>
      </c>
      <c r="W85" s="161"/>
    </row>
    <row r="86" spans="1:23" ht="15.95" hidden="1" customHeight="1" x14ac:dyDescent="0.4">
      <c r="A86" s="190" t="s">
        <v>253</v>
      </c>
      <c r="B86" s="189"/>
      <c r="C86" s="188">
        <v>0</v>
      </c>
      <c r="D86" s="187">
        <v>1</v>
      </c>
      <c r="E86" s="187">
        <v>2</v>
      </c>
      <c r="F86" s="187">
        <v>3</v>
      </c>
      <c r="G86" s="187">
        <v>4</v>
      </c>
      <c r="H86" s="187">
        <v>5</v>
      </c>
      <c r="I86" s="187">
        <v>6</v>
      </c>
      <c r="J86" s="187">
        <v>7</v>
      </c>
      <c r="K86" s="187">
        <v>8</v>
      </c>
      <c r="L86" s="187">
        <v>9</v>
      </c>
      <c r="M86" s="187">
        <v>10</v>
      </c>
      <c r="N86" s="187">
        <v>11</v>
      </c>
      <c r="O86" s="187">
        <v>12</v>
      </c>
      <c r="P86" s="187">
        <v>13</v>
      </c>
      <c r="Q86" s="187">
        <v>14</v>
      </c>
      <c r="R86" s="187">
        <v>15</v>
      </c>
      <c r="S86" s="187">
        <v>16</v>
      </c>
      <c r="T86" s="187">
        <v>17</v>
      </c>
      <c r="U86" s="187">
        <v>18</v>
      </c>
      <c r="V86" s="187">
        <v>19</v>
      </c>
      <c r="W86" s="161"/>
    </row>
    <row r="87" spans="1:23" ht="15.95" hidden="1" customHeight="1" x14ac:dyDescent="0.4">
      <c r="A87" s="186" t="s">
        <v>479</v>
      </c>
      <c r="B87" s="185"/>
      <c r="C87" s="184">
        <f>C82</f>
        <v>-476722.55407572235</v>
      </c>
      <c r="D87" s="183">
        <f t="shared" ref="D87:V87" si="45">D$82/POWER((1+$E$95),D$86)</f>
        <v>-435183.75082666142</v>
      </c>
      <c r="E87" s="183">
        <f t="shared" si="45"/>
        <v>34940.982549212786</v>
      </c>
      <c r="F87" s="183">
        <f t="shared" si="45"/>
        <v>59813.102647503925</v>
      </c>
      <c r="G87" s="183">
        <f t="shared" si="45"/>
        <v>80835.594094393193</v>
      </c>
      <c r="H87" s="183">
        <f t="shared" si="45"/>
        <v>78054.667607049079</v>
      </c>
      <c r="I87" s="183">
        <f t="shared" si="45"/>
        <v>79484.838401194298</v>
      </c>
      <c r="J87" s="183">
        <f t="shared" si="45"/>
        <v>69220.992486665404</v>
      </c>
      <c r="K87" s="183">
        <f t="shared" si="45"/>
        <v>62713.133306261509</v>
      </c>
      <c r="L87" s="183">
        <f t="shared" si="45"/>
        <v>54592.7107440416</v>
      </c>
      <c r="M87" s="183">
        <f t="shared" si="45"/>
        <v>40780.917426188331</v>
      </c>
      <c r="N87" s="183">
        <f t="shared" si="45"/>
        <v>39807.28070132951</v>
      </c>
      <c r="O87" s="183">
        <f t="shared" si="45"/>
        <v>37966.113612601817</v>
      </c>
      <c r="P87" s="183">
        <f t="shared" si="45"/>
        <v>32237.208537242197</v>
      </c>
      <c r="Q87" s="183">
        <f t="shared" si="45"/>
        <v>30566.117071056222</v>
      </c>
      <c r="R87" s="183">
        <f t="shared" si="45"/>
        <v>20883.040190025298</v>
      </c>
      <c r="S87" s="183">
        <f t="shared" si="45"/>
        <v>23983.392914524447</v>
      </c>
      <c r="T87" s="183">
        <f t="shared" si="45"/>
        <v>20875.335121658227</v>
      </c>
      <c r="U87" s="183">
        <f t="shared" si="45"/>
        <v>18837.180334216104</v>
      </c>
      <c r="V87" s="183">
        <f t="shared" si="45"/>
        <v>18050.644548624452</v>
      </c>
      <c r="W87" s="161"/>
    </row>
    <row r="88" spans="1:23" ht="15.95" hidden="1" customHeight="1" x14ac:dyDescent="0.4">
      <c r="A88" s="186" t="s">
        <v>472</v>
      </c>
      <c r="B88" s="185"/>
      <c r="C88" s="184">
        <f>SUM($C$87:C$87)</f>
        <v>-476722.55407572235</v>
      </c>
      <c r="D88" s="183">
        <f>SUM($C$87:D$87)</f>
        <v>-911906.30490238382</v>
      </c>
      <c r="E88" s="183">
        <f>SUM($C$87:E$87)</f>
        <v>-876965.32235317107</v>
      </c>
      <c r="F88" s="183">
        <f>SUM($C$87:F$87)</f>
        <v>-817152.21970566711</v>
      </c>
      <c r="G88" s="183">
        <f>SUM($C$87:G$87)</f>
        <v>-736316.62561127392</v>
      </c>
      <c r="H88" s="183">
        <f>SUM($C$87:H$87)</f>
        <v>-658261.95800422481</v>
      </c>
      <c r="I88" s="183">
        <f>SUM($C$87:I$87)</f>
        <v>-578777.1196030305</v>
      </c>
      <c r="J88" s="183">
        <f>SUM($C$87:J$87)</f>
        <v>-509556.12711636513</v>
      </c>
      <c r="K88" s="183">
        <f>SUM($C$87:K$87)</f>
        <v>-446842.99381010362</v>
      </c>
      <c r="L88" s="183">
        <f>SUM($C$87:L$87)</f>
        <v>-392250.28306606202</v>
      </c>
      <c r="M88" s="183">
        <f>SUM($C$87:M$87)</f>
        <v>-351469.36563987366</v>
      </c>
      <c r="N88" s="183">
        <f>SUM($C$87:N$87)</f>
        <v>-311662.08493854414</v>
      </c>
      <c r="O88" s="183">
        <f>SUM($C$87:O$87)</f>
        <v>-273695.97132594232</v>
      </c>
      <c r="P88" s="183">
        <f>SUM($C$87:P$87)</f>
        <v>-241458.76278870011</v>
      </c>
      <c r="Q88" s="183">
        <f>SUM($C$87:Q$87)</f>
        <v>-210892.6457176439</v>
      </c>
      <c r="R88" s="183">
        <f>SUM($C$87:R$87)</f>
        <v>-190009.60552761861</v>
      </c>
      <c r="S88" s="183">
        <f>SUM($C$87:S$87)</f>
        <v>-166026.21261309416</v>
      </c>
      <c r="T88" s="183">
        <f>SUM($C$87:T$87)</f>
        <v>-145150.87749143594</v>
      </c>
      <c r="U88" s="183">
        <f>SUM($C$87:U$87)</f>
        <v>-126313.69715721984</v>
      </c>
      <c r="V88" s="183">
        <f>SUM($C$87:V$87)</f>
        <v>-108263.05260859539</v>
      </c>
      <c r="W88" s="161"/>
    </row>
    <row r="89" spans="1:23" ht="15.95" hidden="1" customHeight="1" x14ac:dyDescent="0.4">
      <c r="A89" s="182"/>
      <c r="B89" s="181">
        <f>SUM(C89:M89)</f>
        <v>1</v>
      </c>
      <c r="C89" s="180">
        <f>IF(C82&lt;&gt;0,C86+1,0)</f>
        <v>1</v>
      </c>
      <c r="D89" s="180">
        <f>IF(SUM($C$89:C$89)&gt;0,0,IF(D82&lt;&gt;0,D86+1,0))</f>
        <v>0</v>
      </c>
      <c r="E89" s="180">
        <f>IF(SUM($C$89:D$89)&gt;0,0,IF(E82&lt;&gt;0,E86+1,0))</f>
        <v>0</v>
      </c>
      <c r="F89" s="180">
        <f>IF(SUM($C$89:E$89)&gt;0,0,IF(F82&lt;&gt;0,F86+1,0))</f>
        <v>0</v>
      </c>
      <c r="G89" s="180">
        <f>IF(SUM($C$89:F$89)&gt;0,0,IF(G82&lt;&gt;0,G86+1,0))</f>
        <v>0</v>
      </c>
      <c r="H89" s="180">
        <f>IF(SUM($C$89:G$89)&gt;0,0,IF(H82&lt;&gt;0,H86+1,0))</f>
        <v>0</v>
      </c>
      <c r="I89" s="180">
        <f>IF(SUM($C$89:H$89)&gt;0,0,IF(I82&lt;&gt;0,I86+1,0))</f>
        <v>0</v>
      </c>
      <c r="J89" s="180">
        <f>IF(SUM($C$89:I$89)&gt;0,0,IF(J82&lt;&gt;0,J86+1,0))</f>
        <v>0</v>
      </c>
      <c r="K89" s="180">
        <f>IF(SUM($C$89:J$89)&gt;0,0,IF(K82&lt;&gt;0,K86+1,0))</f>
        <v>0</v>
      </c>
      <c r="L89" s="180">
        <f>IF(SUM($C$89:K$89)&gt;0,0,IF(L82&lt;&gt;0,L86+1,0))</f>
        <v>0</v>
      </c>
      <c r="M89" s="180">
        <f>IF(SUM($C$89:L$89)&gt;0,0,IF(M82&lt;&gt;0,M86+1,0))</f>
        <v>0</v>
      </c>
      <c r="N89" s="180">
        <f>IF(SUM($C$89:M$89)&gt;0,0,IF(N82&lt;&gt;0,N86+1,0))</f>
        <v>0</v>
      </c>
      <c r="O89" s="180">
        <f>IF(SUM($C$89:N$89)&gt;0,0,IF(O82&lt;&gt;0,O86+1,0))</f>
        <v>0</v>
      </c>
      <c r="P89" s="180">
        <f>IF(SUM($C$89:O$89)&gt;0,0,IF(P82&lt;&gt;0,P86+1,0))</f>
        <v>0</v>
      </c>
      <c r="Q89" s="180">
        <f>IF(SUM($C$89:P$89)&gt;0,0,IF(Q82&lt;&gt;0,Q86+1,0))</f>
        <v>0</v>
      </c>
      <c r="R89" s="180">
        <f>IF(SUM($C$89:Q$89)&gt;0,0,IF(R82&lt;&gt;0,R86+1,0))</f>
        <v>0</v>
      </c>
      <c r="S89" s="180">
        <f>IF(SUM($C$89:R$89)&gt;0,0,IF(S82&lt;&gt;0,S86+1,0))</f>
        <v>0</v>
      </c>
      <c r="T89" s="180">
        <f>IF(SUM($C$89:S$89)&gt;0,0,IF(T82&lt;&gt;0,T86+1,0))</f>
        <v>0</v>
      </c>
      <c r="U89" s="180">
        <f>IF(SUM($C$89:T$89)&gt;0,0,IF(U82&lt;&gt;0,U86+1,0))</f>
        <v>0</v>
      </c>
      <c r="V89" s="180">
        <f>IF(SUM($C$89:U$89)&gt;0,0,IF(V82&lt;&gt;0,V86+1,0))</f>
        <v>0</v>
      </c>
      <c r="W89" s="161"/>
    </row>
    <row r="90" spans="1:23" ht="15.95" hidden="1" customHeight="1" x14ac:dyDescent="0.4">
      <c r="A90" s="179"/>
      <c r="B90" s="179"/>
      <c r="C90" s="179"/>
      <c r="D90" s="178" t="str">
        <f t="shared" ref="D90:V90" si="46">IF(D85&lt;0,"NEG",IF(((D82-D85)/D82)*12&gt;12,0,((D82-D85)/(D82)*12)))</f>
        <v>NEG</v>
      </c>
      <c r="E90" s="178" t="str">
        <f t="shared" si="46"/>
        <v>NEG</v>
      </c>
      <c r="F90" s="178" t="str">
        <f t="shared" si="46"/>
        <v>NEG</v>
      </c>
      <c r="G90" s="178" t="str">
        <f t="shared" si="46"/>
        <v>NEG</v>
      </c>
      <c r="H90" s="178" t="str">
        <f t="shared" si="46"/>
        <v>NEG</v>
      </c>
      <c r="I90" s="178" t="str">
        <f t="shared" si="46"/>
        <v>NEG</v>
      </c>
      <c r="J90" s="178" t="str">
        <f t="shared" si="46"/>
        <v>NEG</v>
      </c>
      <c r="K90" s="178">
        <f t="shared" si="46"/>
        <v>10.861869676300179</v>
      </c>
      <c r="L90" s="178">
        <f t="shared" si="46"/>
        <v>-1.1368888174026062</v>
      </c>
      <c r="M90" s="178">
        <f t="shared" si="46"/>
        <v>-15.292283884089036</v>
      </c>
      <c r="N90" s="178">
        <f t="shared" si="46"/>
        <v>-24.312886352535187</v>
      </c>
      <c r="O90" s="178">
        <f t="shared" si="46"/>
        <v>-33.107721884758647</v>
      </c>
      <c r="P90" s="178">
        <f t="shared" si="46"/>
        <v>-46.194659271604358</v>
      </c>
      <c r="Q90" s="178">
        <f t="shared" si="46"/>
        <v>-53.370644316677755</v>
      </c>
      <c r="R90" s="178">
        <f t="shared" si="46"/>
        <v>-83.201560734451917</v>
      </c>
      <c r="S90" s="178">
        <f t="shared" si="46"/>
        <v>-72.082415203835325</v>
      </c>
      <c r="T90" s="178">
        <f t="shared" si="46"/>
        <v>-84.001009232788704</v>
      </c>
      <c r="U90" s="178">
        <f t="shared" si="46"/>
        <v>-92.511456607080461</v>
      </c>
      <c r="V90" s="178">
        <f t="shared" si="46"/>
        <v>-94.839496911083017</v>
      </c>
      <c r="W90" s="161"/>
    </row>
    <row r="91" spans="1:23" ht="20.100000000000001" customHeight="1" thickBot="1" x14ac:dyDescent="0.45">
      <c r="A91" s="177"/>
      <c r="B91" s="177"/>
      <c r="C91" s="177"/>
      <c r="D91" s="176"/>
      <c r="E91" s="176"/>
      <c r="F91" s="176"/>
      <c r="G91" s="176"/>
      <c r="H91" s="176"/>
      <c r="I91" s="176"/>
      <c r="J91" s="176"/>
      <c r="K91" s="176"/>
      <c r="L91" s="176"/>
      <c r="M91" s="176"/>
      <c r="N91" s="176"/>
      <c r="O91" s="176"/>
      <c r="P91" s="176"/>
      <c r="Q91" s="176"/>
      <c r="R91" s="176"/>
      <c r="S91" s="176"/>
      <c r="T91" s="176"/>
      <c r="U91" s="176"/>
      <c r="V91" s="176"/>
      <c r="W91" s="161"/>
    </row>
    <row r="92" spans="1:23" ht="20.100000000000001" customHeight="1" thickTop="1" thickBot="1" x14ac:dyDescent="0.45">
      <c r="A92" s="174" t="s">
        <v>478</v>
      </c>
      <c r="B92" s="175"/>
      <c r="C92" s="174"/>
      <c r="D92" s="173" t="s">
        <v>477</v>
      </c>
      <c r="E92" s="900">
        <f ca="1">OFFSET($B$82,0,$B$89)</f>
        <v>-476722.55407572235</v>
      </c>
      <c r="F92" s="901"/>
      <c r="G92" s="161"/>
      <c r="W92" s="161"/>
    </row>
    <row r="93" spans="1:23" ht="20.100000000000001" hidden="1" customHeight="1" thickTop="1" thickBot="1" x14ac:dyDescent="0.45">
      <c r="A93" s="165" t="s">
        <v>476</v>
      </c>
      <c r="B93" s="166"/>
      <c r="C93" s="165"/>
      <c r="D93" s="168" t="s">
        <v>475</v>
      </c>
      <c r="E93" s="172">
        <f ca="1">+F95-E92</f>
        <v>368459.50146712677</v>
      </c>
      <c r="F93" s="171"/>
      <c r="G93" s="161"/>
      <c r="W93" s="161"/>
    </row>
    <row r="94" spans="1:23" ht="20.100000000000001" customHeight="1" thickTop="1" thickBot="1" x14ac:dyDescent="0.45">
      <c r="A94" s="165" t="s">
        <v>474</v>
      </c>
      <c r="B94" s="166"/>
      <c r="C94" s="165"/>
      <c r="D94" s="170" t="s">
        <v>473</v>
      </c>
      <c r="E94" s="169" t="str">
        <f ca="1">IF(COUNTIF($D$90:$Q$90,"NEG")=0,0,IF(OR((COUNTIF(OFFSET($B$90,0,$B$89):$Q$90,"NEG"))&lt;(14-$B$89),(COUNTIF(OFFSET($B$90,0,$B$89):$Q$90,"NEG"))=(14-$B$89)),(COUNTIF(OFFSET($B$90,0,$B$89):$Q$90,"NEG")),"&gt;&gt; "&amp;(14-$B$89)+1))&amp;" "&amp;"Yrs"</f>
        <v>7 Yrs</v>
      </c>
      <c r="F94" s="169" t="str">
        <f>(ROUND(SUMIF(D90:Q90,"&gt;0"),0)&amp;" mths")</f>
        <v>11 mths</v>
      </c>
      <c r="W94" s="161"/>
    </row>
    <row r="95" spans="1:23" ht="20.100000000000001" customHeight="1" thickTop="1" thickBot="1" x14ac:dyDescent="0.45">
      <c r="A95" s="165" t="s">
        <v>472</v>
      </c>
      <c r="B95" s="166"/>
      <c r="C95" s="165"/>
      <c r="D95" s="168" t="s">
        <v>471</v>
      </c>
      <c r="E95" s="749">
        <v>0.15</v>
      </c>
      <c r="F95" s="167">
        <f>NPV($E$95,D82:V82)+C82</f>
        <v>-108263.05260859558</v>
      </c>
      <c r="G95" s="159" t="str">
        <f>IF(ROUND(F95,0)=ROUND(V88,0),"","Error - Net Present Value")</f>
        <v/>
      </c>
      <c r="W95" s="161"/>
    </row>
    <row r="96" spans="1:23" ht="20.100000000000001" customHeight="1" thickTop="1" thickBot="1" x14ac:dyDescent="0.45">
      <c r="A96" s="165" t="s">
        <v>327</v>
      </c>
      <c r="B96" s="166"/>
      <c r="C96" s="165"/>
      <c r="D96" s="164" t="s">
        <v>470</v>
      </c>
      <c r="E96" s="163">
        <f>IRR(C82:V82)</f>
        <v>0.13228774646852681</v>
      </c>
      <c r="F96" s="162"/>
      <c r="G96" s="161"/>
    </row>
    <row r="97" spans="1:6" ht="20.100000000000001" customHeight="1" thickTop="1" x14ac:dyDescent="0.4">
      <c r="A97" s="161"/>
      <c r="B97" s="161"/>
      <c r="F97" s="160"/>
    </row>
  </sheetData>
  <mergeCells count="1">
    <mergeCell ref="E92:F92"/>
  </mergeCells>
  <printOptions horizontalCentered="1" verticalCentered="1"/>
  <pageMargins left="0.25" right="0.25" top="0.25" bottom="0.5" header="0.25" footer="0.25"/>
  <pageSetup paperSize="9" scale="68" fitToHeight="2" orientation="landscape" horizontalDpi="4294967292" r:id="rId1"/>
  <headerFooter alignWithMargins="0">
    <oddFooter>&amp;R&amp;D   &amp;T   &amp;F   &amp;A</oddFooter>
  </headerFooter>
  <rowBreaks count="1" manualBreakCount="1">
    <brk id="60" max="21"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4"/>
  <sheetViews>
    <sheetView workbookViewId="0">
      <pane xSplit="2" ySplit="6" topLeftCell="C7" activePane="bottomRight" state="frozen"/>
      <selection pane="topRight" activeCell="C1" sqref="C1"/>
      <selection pane="bottomLeft" activeCell="A7" sqref="A7"/>
      <selection pane="bottomRight" activeCell="C12" sqref="C12"/>
    </sheetView>
  </sheetViews>
  <sheetFormatPr defaultColWidth="9.1328125" defaultRowHeight="13.15" x14ac:dyDescent="0.4"/>
  <cols>
    <col min="1" max="1" width="25.73046875" style="242" customWidth="1"/>
    <col min="2" max="2" width="6.73046875" style="242" customWidth="1"/>
    <col min="3" max="3" width="10.73046875" style="242" customWidth="1"/>
    <col min="4" max="13" width="8.73046875" style="242" customWidth="1"/>
    <col min="14" max="14" width="10.73046875" style="242" customWidth="1"/>
    <col min="15" max="16" width="8.73046875" style="242" customWidth="1"/>
    <col min="17" max="18" width="8.265625" style="242" customWidth="1"/>
    <col min="19" max="16384" width="9.1328125" style="242"/>
  </cols>
  <sheetData>
    <row r="1" spans="1:18" ht="20.100000000000001" customHeight="1" x14ac:dyDescent="0.4">
      <c r="A1" s="289" t="str">
        <f>Rev!$A$1</f>
        <v>Ali Bin Ali Establishment, Manteq Project</v>
      </c>
      <c r="B1" s="288"/>
      <c r="C1" s="288"/>
      <c r="D1" s="288"/>
      <c r="E1" s="288"/>
      <c r="F1" s="288"/>
      <c r="G1" s="288"/>
      <c r="H1" s="288"/>
      <c r="I1" s="288"/>
      <c r="J1" s="288"/>
      <c r="K1" s="288"/>
      <c r="L1" s="288"/>
      <c r="M1" s="288"/>
    </row>
    <row r="2" spans="1:18" ht="20.100000000000001" customHeight="1" x14ac:dyDescent="0.4">
      <c r="A2" s="179"/>
      <c r="B2" s="179"/>
      <c r="C2" s="179"/>
      <c r="D2" s="178"/>
      <c r="E2" s="178"/>
      <c r="F2" s="178"/>
      <c r="G2" s="178"/>
      <c r="H2" s="178"/>
      <c r="I2" s="178"/>
      <c r="J2" s="178"/>
      <c r="K2" s="178"/>
      <c r="L2" s="178"/>
      <c r="M2" s="178"/>
      <c r="N2" s="284"/>
    </row>
    <row r="3" spans="1:18" ht="20.100000000000001" customHeight="1" x14ac:dyDescent="0.4">
      <c r="A3" s="287" t="s">
        <v>585</v>
      </c>
      <c r="B3" s="286">
        <v>1</v>
      </c>
      <c r="C3" s="179"/>
      <c r="D3" s="285"/>
      <c r="E3" s="285"/>
      <c r="F3" s="285"/>
      <c r="G3" s="285"/>
      <c r="H3" s="285"/>
      <c r="I3" s="285"/>
      <c r="J3" s="285"/>
      <c r="K3" s="285"/>
      <c r="L3" s="285"/>
      <c r="M3" s="285"/>
      <c r="N3" s="284"/>
    </row>
    <row r="4" spans="1:18" ht="20.100000000000001" customHeight="1" thickBot="1" x14ac:dyDescent="0.45"/>
    <row r="5" spans="1:18" ht="20.100000000000001" customHeight="1" thickBot="1" x14ac:dyDescent="0.45">
      <c r="B5" s="283"/>
      <c r="C5" s="902" t="s">
        <v>483</v>
      </c>
      <c r="D5" s="903"/>
      <c r="E5" s="903"/>
      <c r="F5" s="903"/>
      <c r="G5" s="903"/>
      <c r="H5" s="903"/>
      <c r="I5" s="903"/>
      <c r="J5" s="903"/>
      <c r="K5" s="903"/>
      <c r="L5" s="903"/>
      <c r="M5" s="904"/>
    </row>
    <row r="6" spans="1:18" ht="20.100000000000001" customHeight="1" thickBot="1" x14ac:dyDescent="0.45">
      <c r="B6" s="282"/>
      <c r="C6" s="281">
        <f>Rev!C82</f>
        <v>-476722.55407572235</v>
      </c>
      <c r="D6" s="280">
        <f>Rev!D82</f>
        <v>-500461.31345066061</v>
      </c>
      <c r="E6" s="279">
        <f>Rev!E82</f>
        <v>46209.449421333898</v>
      </c>
      <c r="F6" s="278">
        <f>Rev!F82</f>
        <v>90968.252489022503</v>
      </c>
      <c r="G6" s="277">
        <f>Rev!G82</f>
        <v>141381.95929355675</v>
      </c>
      <c r="H6" s="276">
        <f>Rev!H82</f>
        <v>156995.81670936153</v>
      </c>
      <c r="I6" s="275">
        <f>Rev!I82</f>
        <v>183853.26116784581</v>
      </c>
      <c r="J6" s="274">
        <f>Rev!J82</f>
        <v>184129.21616030781</v>
      </c>
      <c r="K6" s="273">
        <f>Rev!K82</f>
        <v>191840.90856531376</v>
      </c>
      <c r="L6" s="272">
        <f>Rev!L82</f>
        <v>192050.4028381058</v>
      </c>
      <c r="M6" s="271">
        <f>Rev!M82</f>
        <v>164981.55596278157</v>
      </c>
      <c r="N6" s="270">
        <f ca="1">Rev!E92</f>
        <v>-476722.55407572235</v>
      </c>
      <c r="O6" s="269">
        <f>Rev!F95</f>
        <v>-108263.05260859558</v>
      </c>
      <c r="P6" s="268">
        <f>Rev!E96</f>
        <v>0.13228774646852681</v>
      </c>
      <c r="Q6" s="267" t="str">
        <f ca="1">Rev!E94</f>
        <v>7 Yrs</v>
      </c>
      <c r="R6" s="266" t="str">
        <f>Rev!F94</f>
        <v>11 mths</v>
      </c>
    </row>
    <row r="7" spans="1:18" ht="23.25" x14ac:dyDescent="0.4">
      <c r="A7" s="265" t="s">
        <v>584</v>
      </c>
      <c r="B7" s="264">
        <f>Summary!$B$7</f>
        <v>1</v>
      </c>
      <c r="C7" s="263">
        <f t="dataTable" ref="C7:R12" dt2D="0" dtr="0" r1="B3" ca="1"/>
        <v>-476722.55407572235</v>
      </c>
      <c r="D7" s="260">
        <v>-500461.31345066061</v>
      </c>
      <c r="E7" s="260">
        <v>46209.449421333898</v>
      </c>
      <c r="F7" s="260">
        <v>90968.252489022503</v>
      </c>
      <c r="G7" s="260">
        <v>141381.95929355675</v>
      </c>
      <c r="H7" s="260">
        <v>156995.81670936153</v>
      </c>
      <c r="I7" s="260">
        <v>183853.26116784581</v>
      </c>
      <c r="J7" s="260">
        <v>184129.21616030781</v>
      </c>
      <c r="K7" s="260">
        <v>191840.90856531376</v>
      </c>
      <c r="L7" s="260">
        <v>192050.4028381058</v>
      </c>
      <c r="M7" s="259">
        <v>164981.55596278157</v>
      </c>
      <c r="N7" s="262">
        <v>-476722.55407572235</v>
      </c>
      <c r="O7" s="260">
        <v>-108263.05260859558</v>
      </c>
      <c r="P7" s="261">
        <v>0.13228774646852681</v>
      </c>
      <c r="Q7" s="260" t="str">
        <v>7 Yrs</v>
      </c>
      <c r="R7" s="259" t="str">
        <v>11 mths</v>
      </c>
    </row>
    <row r="8" spans="1:18" ht="20.100000000000001" customHeight="1" x14ac:dyDescent="0.4">
      <c r="A8" s="252" t="str">
        <f>" - If Sales is Up / (less) by "&amp;Summary!$C$6*100&amp;"%"</f>
        <v xml:space="preserve"> - If Sales is Up / (less) by -5%</v>
      </c>
      <c r="B8" s="258">
        <f>Summary!$C$7</f>
        <v>0.95</v>
      </c>
      <c r="C8" s="257">
        <v>-476722.55407572235</v>
      </c>
      <c r="D8" s="254">
        <v>-500461.31345066061</v>
      </c>
      <c r="E8" s="254">
        <v>43072.693307852824</v>
      </c>
      <c r="F8" s="254">
        <v>85497.03229988736</v>
      </c>
      <c r="G8" s="254">
        <v>133310.64081552808</v>
      </c>
      <c r="H8" s="254">
        <v>147091.4952717553</v>
      </c>
      <c r="I8" s="254">
        <v>173364.40061416308</v>
      </c>
      <c r="J8" s="254">
        <v>173601.35560662509</v>
      </c>
      <c r="K8" s="254">
        <v>180874.50889555455</v>
      </c>
      <c r="L8" s="254">
        <v>181044.00316834659</v>
      </c>
      <c r="M8" s="253">
        <v>153535.61717694587</v>
      </c>
      <c r="N8" s="256">
        <v>-476722.55407572235</v>
      </c>
      <c r="O8" s="254">
        <v>-156405.89838589489</v>
      </c>
      <c r="P8" s="255">
        <v>0.1239754394014847</v>
      </c>
      <c r="Q8" s="254" t="str">
        <v>8 Yrs</v>
      </c>
      <c r="R8" s="253" t="str">
        <v>3 mths</v>
      </c>
    </row>
    <row r="9" spans="1:18" ht="20.100000000000001" customHeight="1" x14ac:dyDescent="0.4">
      <c r="A9" s="252" t="str">
        <f>" - If Sales is Up / (less) by "&amp;Summary!$D$6*100&amp;"%"</f>
        <v xml:space="preserve"> - If Sales is Up / (less) by -10%</v>
      </c>
      <c r="B9" s="258">
        <f>Summary!$D$7</f>
        <v>0.9</v>
      </c>
      <c r="C9" s="257">
        <v>-476722.55407572235</v>
      </c>
      <c r="D9" s="254">
        <v>-500461.31345066061</v>
      </c>
      <c r="E9" s="254">
        <v>39935.937194371749</v>
      </c>
      <c r="F9" s="254">
        <v>80024.812110752246</v>
      </c>
      <c r="G9" s="254">
        <v>125240.32233749944</v>
      </c>
      <c r="H9" s="254">
        <v>137187.17383414911</v>
      </c>
      <c r="I9" s="254">
        <v>162876.54006048039</v>
      </c>
      <c r="J9" s="254">
        <v>163073.49505294239</v>
      </c>
      <c r="K9" s="254">
        <v>169907.10922579534</v>
      </c>
      <c r="L9" s="254">
        <v>170037.60349858738</v>
      </c>
      <c r="M9" s="253">
        <v>142089.67839111021</v>
      </c>
      <c r="N9" s="256">
        <v>-476722.55407572235</v>
      </c>
      <c r="O9" s="254">
        <v>-204548.66838206869</v>
      </c>
      <c r="P9" s="255">
        <v>0.11535053886483726</v>
      </c>
      <c r="Q9" s="254" t="str">
        <v>8 Yrs</v>
      </c>
      <c r="R9" s="253" t="str">
        <v>7 mths</v>
      </c>
    </row>
    <row r="10" spans="1:18" ht="20.100000000000001" customHeight="1" x14ac:dyDescent="0.4">
      <c r="A10" s="252" t="str">
        <f>" - If Sales is Up / (less) by "&amp;Summary!$E$6*100&amp;"%"</f>
        <v xml:space="preserve"> - If Sales is Up / (less) by -15%</v>
      </c>
      <c r="B10" s="258">
        <f>Summary!$E$7</f>
        <v>0.85</v>
      </c>
      <c r="C10" s="257">
        <v>-476722.55407572235</v>
      </c>
      <c r="D10" s="254">
        <v>-500461.31345066061</v>
      </c>
      <c r="E10" s="254">
        <v>36799.181080890659</v>
      </c>
      <c r="F10" s="254">
        <v>74553.591921617102</v>
      </c>
      <c r="G10" s="254">
        <v>117169.0038594708</v>
      </c>
      <c r="H10" s="254">
        <v>127281.85239654288</v>
      </c>
      <c r="I10" s="254">
        <v>152388.67950679766</v>
      </c>
      <c r="J10" s="254">
        <v>152545.63449925967</v>
      </c>
      <c r="K10" s="254">
        <v>158939.70955603613</v>
      </c>
      <c r="L10" s="254">
        <v>159031.20382882818</v>
      </c>
      <c r="M10" s="253">
        <v>130644.73960527452</v>
      </c>
      <c r="N10" s="256">
        <v>-476722.55407572235</v>
      </c>
      <c r="O10" s="254">
        <v>-252691.69318946358</v>
      </c>
      <c r="P10" s="255">
        <v>0.10637368439777095</v>
      </c>
      <c r="Q10" s="254" t="str">
        <v>8 Yrs</v>
      </c>
      <c r="R10" s="253" t="str">
        <v>12 mths</v>
      </c>
    </row>
    <row r="11" spans="1:18" ht="20.100000000000001" customHeight="1" x14ac:dyDescent="0.4">
      <c r="A11" s="252" t="str">
        <f>" - If Sales is Up / (less) by "&amp;Summary!$F$6*100&amp;"%"</f>
        <v xml:space="preserve"> - If Sales is Up / (less) by -20%</v>
      </c>
      <c r="B11" s="258">
        <f>Summary!$F$7</f>
        <v>0.8</v>
      </c>
      <c r="C11" s="257">
        <v>-476722.55407572235</v>
      </c>
      <c r="D11" s="254">
        <v>-500461.31345066061</v>
      </c>
      <c r="E11" s="254">
        <v>33661.424967409584</v>
      </c>
      <c r="F11" s="254">
        <v>69083.371732481988</v>
      </c>
      <c r="G11" s="254">
        <v>109098.68538144216</v>
      </c>
      <c r="H11" s="254">
        <v>117376.5309589367</v>
      </c>
      <c r="I11" s="254">
        <v>141899.818953115</v>
      </c>
      <c r="J11" s="254">
        <v>142017.77394557701</v>
      </c>
      <c r="K11" s="254">
        <v>147973.30988627698</v>
      </c>
      <c r="L11" s="254">
        <v>148024.80415906903</v>
      </c>
      <c r="M11" s="253">
        <v>119198.80081943885</v>
      </c>
      <c r="N11" s="256">
        <v>-476722.55407572235</v>
      </c>
      <c r="O11" s="254">
        <v>-300834.56301768735</v>
      </c>
      <c r="P11" s="255">
        <v>9.6997270557046766E-2</v>
      </c>
      <c r="Q11" s="254" t="str">
        <v>9 Yrs</v>
      </c>
      <c r="R11" s="253" t="str">
        <v>7 mths</v>
      </c>
    </row>
    <row r="12" spans="1:18" ht="20.100000000000001" customHeight="1" thickBot="1" x14ac:dyDescent="0.45">
      <c r="A12" s="252" t="str">
        <f>" - If Sales is Up / (less) by "&amp;Summary!$G$6*100&amp;"%"</f>
        <v xml:space="preserve"> - If Sales is Up / (less) by -25%</v>
      </c>
      <c r="B12" s="251">
        <f>Summary!$G$7</f>
        <v>0.75</v>
      </c>
      <c r="C12" s="250">
        <v>-476722.55407572235</v>
      </c>
      <c r="D12" s="247">
        <v>-500461.31345066061</v>
      </c>
      <c r="E12" s="247">
        <v>30524.668853928502</v>
      </c>
      <c r="F12" s="247">
        <v>63612.151543346845</v>
      </c>
      <c r="G12" s="247">
        <v>101027.36690341349</v>
      </c>
      <c r="H12" s="247">
        <v>107472.20952133046</v>
      </c>
      <c r="I12" s="247">
        <v>131410.95839943227</v>
      </c>
      <c r="J12" s="247">
        <v>131489.91339189428</v>
      </c>
      <c r="K12" s="247">
        <v>137005.91021651778</v>
      </c>
      <c r="L12" s="247">
        <v>137018.40448930982</v>
      </c>
      <c r="M12" s="246">
        <v>107752.86203360316</v>
      </c>
      <c r="N12" s="249">
        <v>-476722.55407572235</v>
      </c>
      <c r="O12" s="247">
        <v>-348977.49267132016</v>
      </c>
      <c r="P12" s="248">
        <v>8.7162651965210003E-2</v>
      </c>
      <c r="Q12" s="247" t="str">
        <v>10 Yrs</v>
      </c>
      <c r="R12" s="246" t="str">
        <v>3 mths</v>
      </c>
    </row>
    <row r="13" spans="1:18" ht="20.100000000000001" customHeight="1" x14ac:dyDescent="0.4">
      <c r="A13" s="244" t="s">
        <v>583</v>
      </c>
      <c r="B13" s="245"/>
      <c r="C13" s="244"/>
      <c r="D13" s="244"/>
      <c r="E13" s="243"/>
      <c r="F13" s="243"/>
      <c r="G13" s="243"/>
    </row>
    <row r="14" spans="1:18" ht="20.100000000000001" customHeight="1" x14ac:dyDescent="0.4"/>
  </sheetData>
  <mergeCells count="1">
    <mergeCell ref="C5:M5"/>
  </mergeCells>
  <printOptions horizontalCentered="1"/>
  <pageMargins left="0.25" right="0.25" top="1" bottom="1" header="0.5" footer="0.5"/>
  <pageSetup paperSize="9" scale="83"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1"/>
  <sheetViews>
    <sheetView zoomScale="80" zoomScaleNormal="80" workbookViewId="0">
      <pane xSplit="4" ySplit="3" topLeftCell="O31" activePane="bottomRight" state="frozen"/>
      <selection pane="topRight" activeCell="D1" sqref="D1"/>
      <selection pane="bottomLeft" activeCell="A3" sqref="A3"/>
      <selection pane="bottomRight" activeCell="P52" sqref="P52"/>
    </sheetView>
  </sheetViews>
  <sheetFormatPr defaultColWidth="11.59765625" defaultRowHeight="15.4" x14ac:dyDescent="0.45"/>
  <cols>
    <col min="1" max="1" width="3.73046875" style="290" customWidth="1"/>
    <col min="2" max="2" width="26.73046875" style="291" customWidth="1"/>
    <col min="3" max="3" width="7.73046875" style="293" customWidth="1"/>
    <col min="4" max="4" width="4.73046875" style="292" customWidth="1"/>
    <col min="5" max="7" width="8.73046875" style="291" customWidth="1"/>
    <col min="8" max="24" width="8.73046875" style="290" customWidth="1"/>
    <col min="25" max="25" width="12.73046875" style="290" customWidth="1"/>
    <col min="26" max="16384" width="11.59765625" style="290"/>
  </cols>
  <sheetData>
    <row r="1" spans="1:25" ht="21.95" customHeight="1" thickBot="1" x14ac:dyDescent="0.5">
      <c r="B1" s="392" t="s">
        <v>585</v>
      </c>
      <c r="C1" s="391">
        <f>Scenario_Sheet!B3</f>
        <v>1</v>
      </c>
      <c r="D1" s="386"/>
      <c r="E1" s="389"/>
      <c r="F1" s="390" t="s">
        <v>602</v>
      </c>
      <c r="G1" s="389"/>
      <c r="H1" s="389"/>
      <c r="I1" s="389"/>
      <c r="J1" s="389"/>
      <c r="K1" s="389"/>
      <c r="L1" s="389"/>
      <c r="M1" s="389"/>
      <c r="N1" s="389"/>
      <c r="O1" s="389"/>
      <c r="P1" s="389"/>
      <c r="Q1" s="389"/>
      <c r="R1" s="389"/>
      <c r="S1" s="389"/>
      <c r="T1" s="389"/>
      <c r="U1" s="389"/>
      <c r="V1" s="389"/>
      <c r="W1" s="389"/>
      <c r="X1" s="389"/>
    </row>
    <row r="2" spans="1:25" ht="21.95" customHeight="1" x14ac:dyDescent="0.45">
      <c r="B2" s="388" t="str">
        <f>Rev!A1</f>
        <v>Ali Bin Ali Establishment, Manteq Project</v>
      </c>
      <c r="C2" s="387"/>
      <c r="D2" s="386"/>
      <c r="E2" s="385"/>
      <c r="F2" s="385"/>
      <c r="G2" s="385"/>
      <c r="H2" s="385"/>
      <c r="I2" s="385"/>
      <c r="J2" s="385"/>
      <c r="K2" s="385"/>
      <c r="L2" s="385"/>
      <c r="M2" s="385"/>
      <c r="N2" s="385"/>
      <c r="O2" s="385"/>
      <c r="P2" s="385"/>
      <c r="Q2" s="385"/>
      <c r="R2" s="385"/>
      <c r="S2" s="385"/>
      <c r="T2" s="385"/>
      <c r="U2" s="385"/>
      <c r="V2" s="385"/>
      <c r="W2" s="385"/>
      <c r="X2" s="385"/>
    </row>
    <row r="3" spans="1:25" s="153" customFormat="1" ht="21.95" customHeight="1" thickBot="1" x14ac:dyDescent="0.5">
      <c r="B3" s="384"/>
      <c r="C3" s="383"/>
      <c r="D3" s="382"/>
      <c r="E3" s="381" t="s">
        <v>577</v>
      </c>
      <c r="F3" s="381" t="s">
        <v>576</v>
      </c>
      <c r="G3" s="381" t="s">
        <v>575</v>
      </c>
      <c r="H3" s="381" t="s">
        <v>574</v>
      </c>
      <c r="I3" s="381" t="s">
        <v>573</v>
      </c>
      <c r="J3" s="381" t="s">
        <v>572</v>
      </c>
      <c r="K3" s="381" t="s">
        <v>571</v>
      </c>
      <c r="L3" s="381" t="s">
        <v>570</v>
      </c>
      <c r="M3" s="381" t="s">
        <v>569</v>
      </c>
      <c r="N3" s="381" t="s">
        <v>568</v>
      </c>
      <c r="O3" s="381" t="s">
        <v>567</v>
      </c>
      <c r="P3" s="381" t="s">
        <v>566</v>
      </c>
      <c r="Q3" s="381" t="s">
        <v>565</v>
      </c>
      <c r="R3" s="381" t="s">
        <v>564</v>
      </c>
      <c r="S3" s="381" t="s">
        <v>563</v>
      </c>
      <c r="T3" s="381" t="s">
        <v>562</v>
      </c>
      <c r="U3" s="381" t="s">
        <v>561</v>
      </c>
      <c r="V3" s="381" t="s">
        <v>560</v>
      </c>
      <c r="W3" s="381" t="s">
        <v>559</v>
      </c>
      <c r="X3" s="381" t="s">
        <v>558</v>
      </c>
    </row>
    <row r="4" spans="1:25" s="139" customFormat="1" ht="21.95" customHeight="1" x14ac:dyDescent="0.45">
      <c r="A4" s="380"/>
      <c r="B4" s="380"/>
      <c r="C4" s="380"/>
      <c r="D4" s="380"/>
      <c r="E4" s="380"/>
      <c r="F4" s="380"/>
      <c r="G4" s="380"/>
      <c r="H4" s="380"/>
      <c r="I4" s="380"/>
      <c r="J4" s="380"/>
      <c r="K4" s="380"/>
      <c r="L4" s="380"/>
      <c r="M4" s="380"/>
      <c r="N4" s="380"/>
      <c r="O4" s="380"/>
      <c r="P4" s="380"/>
      <c r="Q4" s="380"/>
      <c r="R4" s="380"/>
      <c r="S4" s="380"/>
      <c r="T4" s="380"/>
      <c r="U4" s="380"/>
      <c r="V4" s="380"/>
      <c r="W4" s="380"/>
      <c r="X4" s="380"/>
    </row>
    <row r="5" spans="1:25" s="374" customFormat="1" ht="21.95" customHeight="1" thickBot="1" x14ac:dyDescent="0.5">
      <c r="A5" s="379"/>
      <c r="B5" s="378" t="s">
        <v>601</v>
      </c>
      <c r="C5" s="377"/>
      <c r="D5" s="376"/>
      <c r="E5" s="375"/>
      <c r="F5" s="375"/>
      <c r="G5" s="375"/>
      <c r="H5" s="375"/>
      <c r="I5" s="375"/>
      <c r="J5" s="375"/>
      <c r="K5" s="375"/>
      <c r="L5" s="375"/>
      <c r="M5" s="375"/>
      <c r="N5" s="375"/>
      <c r="O5" s="375"/>
      <c r="P5" s="375"/>
      <c r="Q5" s="375"/>
      <c r="R5" s="375"/>
      <c r="S5" s="375"/>
      <c r="T5" s="375"/>
      <c r="U5" s="375"/>
      <c r="V5" s="375"/>
      <c r="W5" s="375"/>
      <c r="X5" s="375"/>
    </row>
    <row r="6" spans="1:25" s="139" customFormat="1" ht="21.95" customHeight="1" x14ac:dyDescent="0.45">
      <c r="A6" s="157"/>
      <c r="B6" s="373" t="s">
        <v>600</v>
      </c>
      <c r="C6" s="372"/>
      <c r="D6" s="371"/>
      <c r="E6" s="370">
        <f>Revenue!$C$56/1000</f>
        <v>0</v>
      </c>
      <c r="F6" s="369">
        <f>Revenue!$O$56/1000</f>
        <v>0</v>
      </c>
      <c r="G6" s="368">
        <f>Revenue!$AA$56/1000</f>
        <v>68355.122269621614</v>
      </c>
      <c r="H6" s="368">
        <f>Revenue!$AM$56/1000</f>
        <v>113104.40378270266</v>
      </c>
      <c r="I6" s="368">
        <f>Revenue!$AY$56/1000</f>
        <v>165746.36956057299</v>
      </c>
      <c r="J6" s="368">
        <f>Revenue!$BK$56/1000</f>
        <v>200986.42875212431</v>
      </c>
      <c r="K6" s="368">
        <f>Revenue!$BW$56/1000</f>
        <v>210557.21107365415</v>
      </c>
      <c r="L6" s="368">
        <f>Revenue!$CI$56/1000</f>
        <v>210557.21107365415</v>
      </c>
      <c r="M6" s="368">
        <f>Revenue!$CU$56/1000</f>
        <v>220127.99339518393</v>
      </c>
      <c r="N6" s="368">
        <f>Revenue!$DG$56/1000</f>
        <v>220127.99339518393</v>
      </c>
      <c r="O6" s="368">
        <f>Revenue!$DS$56/1000</f>
        <v>229698.77571671357</v>
      </c>
      <c r="P6" s="368">
        <f>Revenue!$EE$56/1000</f>
        <v>229698.77571671357</v>
      </c>
      <c r="Q6" s="368">
        <f>Revenue!$EQ$56/1000</f>
        <v>239269.55803824338</v>
      </c>
      <c r="R6" s="368">
        <f>Revenue!$FC$56/1000</f>
        <v>239269.55803824338</v>
      </c>
      <c r="S6" s="368">
        <f>Revenue!$FO$56/1000</f>
        <v>248840.34035977302</v>
      </c>
      <c r="T6" s="368">
        <f>Revenue!$GA$56/1000</f>
        <v>248840.34035977302</v>
      </c>
      <c r="U6" s="368">
        <f>Revenue!$GM$56/1000</f>
        <v>258411.12268130278</v>
      </c>
      <c r="V6" s="368">
        <f>Revenue!$GY$56/1000</f>
        <v>258411.12268130278</v>
      </c>
      <c r="W6" s="368">
        <f>Revenue!$HK$56/1000</f>
        <v>267981.90500283253</v>
      </c>
      <c r="X6" s="367">
        <f>Revenue!$HW$56/1000</f>
        <v>267981.90500283253</v>
      </c>
      <c r="Y6" s="366"/>
    </row>
    <row r="7" spans="1:25" s="139" customFormat="1" ht="21.95" customHeight="1" x14ac:dyDescent="0.45">
      <c r="A7" s="157">
        <v>1</v>
      </c>
      <c r="B7" s="359" t="s">
        <v>599</v>
      </c>
      <c r="C7" s="365"/>
      <c r="D7" s="364"/>
      <c r="E7" s="363"/>
      <c r="F7" s="362">
        <f t="shared" ref="F7:X7" si="0">F6*$C$1</f>
        <v>0</v>
      </c>
      <c r="G7" s="361">
        <f t="shared" si="0"/>
        <v>68355.122269621614</v>
      </c>
      <c r="H7" s="361">
        <f t="shared" si="0"/>
        <v>113104.40378270266</v>
      </c>
      <c r="I7" s="361">
        <f t="shared" si="0"/>
        <v>165746.36956057299</v>
      </c>
      <c r="J7" s="361">
        <f t="shared" si="0"/>
        <v>200986.42875212431</v>
      </c>
      <c r="K7" s="361">
        <f t="shared" si="0"/>
        <v>210557.21107365415</v>
      </c>
      <c r="L7" s="361">
        <f t="shared" si="0"/>
        <v>210557.21107365415</v>
      </c>
      <c r="M7" s="361">
        <f t="shared" si="0"/>
        <v>220127.99339518393</v>
      </c>
      <c r="N7" s="361">
        <f t="shared" si="0"/>
        <v>220127.99339518393</v>
      </c>
      <c r="O7" s="361">
        <f t="shared" si="0"/>
        <v>229698.77571671357</v>
      </c>
      <c r="P7" s="361">
        <f t="shared" si="0"/>
        <v>229698.77571671357</v>
      </c>
      <c r="Q7" s="361">
        <f t="shared" si="0"/>
        <v>239269.55803824338</v>
      </c>
      <c r="R7" s="361">
        <f t="shared" si="0"/>
        <v>239269.55803824338</v>
      </c>
      <c r="S7" s="361">
        <f t="shared" si="0"/>
        <v>248840.34035977302</v>
      </c>
      <c r="T7" s="361">
        <f t="shared" si="0"/>
        <v>248840.34035977302</v>
      </c>
      <c r="U7" s="361">
        <f t="shared" si="0"/>
        <v>258411.12268130278</v>
      </c>
      <c r="V7" s="361">
        <f t="shared" si="0"/>
        <v>258411.12268130278</v>
      </c>
      <c r="W7" s="361">
        <f t="shared" si="0"/>
        <v>267981.90500283253</v>
      </c>
      <c r="X7" s="360">
        <f t="shared" si="0"/>
        <v>267981.90500283253</v>
      </c>
    </row>
    <row r="8" spans="1:25" s="139" customFormat="1" ht="21.95" customHeight="1" x14ac:dyDescent="0.45">
      <c r="A8" s="157">
        <v>2</v>
      </c>
      <c r="B8" s="359" t="s">
        <v>598</v>
      </c>
      <c r="C8" s="358">
        <v>1</v>
      </c>
      <c r="D8" s="357"/>
      <c r="E8" s="356"/>
      <c r="F8" s="355"/>
      <c r="G8" s="354"/>
      <c r="H8" s="354"/>
      <c r="I8" s="354"/>
      <c r="J8" s="354"/>
      <c r="K8" s="354"/>
      <c r="L8" s="354"/>
      <c r="M8" s="354"/>
      <c r="N8" s="354"/>
      <c r="O8" s="354"/>
      <c r="P8" s="354"/>
      <c r="Q8" s="354"/>
      <c r="R8" s="354"/>
      <c r="S8" s="354"/>
      <c r="T8" s="354"/>
      <c r="U8" s="354"/>
      <c r="V8" s="354"/>
      <c r="W8" s="354"/>
      <c r="X8" s="353"/>
    </row>
    <row r="9" spans="1:25" s="139" customFormat="1" ht="21.95" customHeight="1" thickBot="1" x14ac:dyDescent="0.5">
      <c r="A9" s="157">
        <v>3</v>
      </c>
      <c r="B9" s="329" t="s">
        <v>597</v>
      </c>
      <c r="C9" s="352"/>
      <c r="D9" s="351"/>
      <c r="E9" s="350"/>
      <c r="F9" s="349">
        <f t="shared" ref="F9:X9" si="1">F7*$C$8</f>
        <v>0</v>
      </c>
      <c r="G9" s="348">
        <f t="shared" si="1"/>
        <v>68355.122269621614</v>
      </c>
      <c r="H9" s="348">
        <f t="shared" si="1"/>
        <v>113104.40378270266</v>
      </c>
      <c r="I9" s="348">
        <f t="shared" si="1"/>
        <v>165746.36956057299</v>
      </c>
      <c r="J9" s="348">
        <f t="shared" si="1"/>
        <v>200986.42875212431</v>
      </c>
      <c r="K9" s="348">
        <f t="shared" si="1"/>
        <v>210557.21107365415</v>
      </c>
      <c r="L9" s="348">
        <f t="shared" si="1"/>
        <v>210557.21107365415</v>
      </c>
      <c r="M9" s="348">
        <f t="shared" si="1"/>
        <v>220127.99339518393</v>
      </c>
      <c r="N9" s="348">
        <f t="shared" si="1"/>
        <v>220127.99339518393</v>
      </c>
      <c r="O9" s="348">
        <f t="shared" si="1"/>
        <v>229698.77571671357</v>
      </c>
      <c r="P9" s="348">
        <f t="shared" si="1"/>
        <v>229698.77571671357</v>
      </c>
      <c r="Q9" s="348">
        <f t="shared" si="1"/>
        <v>239269.55803824338</v>
      </c>
      <c r="R9" s="348">
        <f t="shared" si="1"/>
        <v>239269.55803824338</v>
      </c>
      <c r="S9" s="348">
        <f t="shared" si="1"/>
        <v>248840.34035977302</v>
      </c>
      <c r="T9" s="348">
        <f t="shared" si="1"/>
        <v>248840.34035977302</v>
      </c>
      <c r="U9" s="348">
        <f t="shared" si="1"/>
        <v>258411.12268130278</v>
      </c>
      <c r="V9" s="348">
        <f t="shared" si="1"/>
        <v>258411.12268130278</v>
      </c>
      <c r="W9" s="348">
        <f t="shared" si="1"/>
        <v>267981.90500283253</v>
      </c>
      <c r="X9" s="347">
        <f t="shared" si="1"/>
        <v>267981.90500283253</v>
      </c>
    </row>
    <row r="10" spans="1:25" ht="4.9000000000000004" customHeight="1" thickBot="1" x14ac:dyDescent="0.5">
      <c r="A10" s="299"/>
    </row>
    <row r="11" spans="1:25" s="139" customFormat="1" ht="21.95" customHeight="1" thickBot="1" x14ac:dyDescent="0.5">
      <c r="A11" s="157">
        <v>4</v>
      </c>
      <c r="B11" s="346" t="s">
        <v>596</v>
      </c>
      <c r="C11" s="345"/>
      <c r="D11" s="345"/>
      <c r="E11" s="344"/>
      <c r="F11" s="344"/>
      <c r="G11" s="344"/>
      <c r="H11" s="344"/>
      <c r="I11" s="344"/>
      <c r="J11" s="344"/>
      <c r="K11" s="344"/>
      <c r="L11" s="344"/>
      <c r="M11" s="344"/>
      <c r="N11" s="344"/>
      <c r="O11" s="344"/>
      <c r="P11" s="344"/>
      <c r="Q11" s="344"/>
      <c r="R11" s="344"/>
      <c r="S11" s="344"/>
      <c r="T11" s="344"/>
      <c r="U11" s="344"/>
      <c r="V11" s="344"/>
      <c r="W11" s="344"/>
      <c r="X11" s="344"/>
    </row>
    <row r="12" spans="1:25" ht="4.9000000000000004" customHeight="1" thickBot="1" x14ac:dyDescent="0.5">
      <c r="A12" s="299"/>
    </row>
    <row r="13" spans="1:25" s="139" customFormat="1" ht="21.95" customHeight="1" x14ac:dyDescent="0.45">
      <c r="A13" s="139">
        <v>5</v>
      </c>
      <c r="B13" s="339" t="s">
        <v>264</v>
      </c>
      <c r="C13" s="338"/>
      <c r="D13" s="337"/>
      <c r="E13" s="336">
        <f>SUM(Costs!$C$13:$N$13)/1000</f>
        <v>0</v>
      </c>
      <c r="F13" s="336">
        <f>SUM(Costs!$O$13:$Z$13)/1000</f>
        <v>517.37600000000009</v>
      </c>
      <c r="G13" s="336">
        <f>SUM(Costs!$AA$13:$AL$13)/1000</f>
        <v>517.37600000000009</v>
      </c>
      <c r="H13" s="336">
        <f>SUM(Costs!$AM$13:$AX$13)/1000</f>
        <v>517.37600000000009</v>
      </c>
      <c r="I13" s="336">
        <f>SUM(Costs!$AY$13:$BJ$13)/1000</f>
        <v>517.37600000000009</v>
      </c>
      <c r="J13" s="336">
        <f>SUM(Costs!$BK$13:$BV$13)/1000</f>
        <v>517.37600000000009</v>
      </c>
      <c r="K13" s="336">
        <f>SUM(Costs!$BW$13:$CH$13)/1000</f>
        <v>517.37600000000009</v>
      </c>
      <c r="L13" s="336">
        <f>SUM(Costs!$CI$13:$CT$13)/1000</f>
        <v>517.37600000000009</v>
      </c>
      <c r="M13" s="336">
        <f>SUM(Costs!$CU$13:$DF$13)/1000</f>
        <v>517.37600000000009</v>
      </c>
      <c r="N13" s="336">
        <f>SUM(Costs!$DG$13:$DR$13)/1000</f>
        <v>517.37600000000009</v>
      </c>
      <c r="O13" s="336">
        <f>SUM(Costs!$DS$13:$ED$13)/1000</f>
        <v>517.37600000000009</v>
      </c>
      <c r="P13" s="336">
        <f>SUM(Costs!$EE$13:$EP$13)/1000</f>
        <v>517.37600000000009</v>
      </c>
      <c r="Q13" s="336">
        <f>SUM(Costs!$EQ$13:$FB$13)/1000</f>
        <v>517.37600000000009</v>
      </c>
      <c r="R13" s="336">
        <f>SUM(Costs!$FC$13:$FN$13)/1000</f>
        <v>517.37600000000009</v>
      </c>
      <c r="S13" s="336">
        <f>SUM(Costs!$FO$13:$FZ$13)/1000</f>
        <v>517.37600000000009</v>
      </c>
      <c r="T13" s="336">
        <f>SUM(Costs!$GA$13:$GL$13)/1000</f>
        <v>517.37600000000009</v>
      </c>
      <c r="U13" s="336">
        <f>SUM(Costs!$GM$13:$GX$13)/1000</f>
        <v>517.37600000000009</v>
      </c>
      <c r="V13" s="336">
        <f>SUM(Costs!$GY$13:$HJ$13)/1000</f>
        <v>517.37600000000009</v>
      </c>
      <c r="W13" s="336">
        <f>SUM(Costs!$HK$13:$HV$13)/1000</f>
        <v>517.37600000000009</v>
      </c>
      <c r="X13" s="335">
        <f>SUM(Costs!$HW$13:$IH$13)/1000</f>
        <v>517.37600000000009</v>
      </c>
    </row>
    <row r="14" spans="1:25" s="139" customFormat="1" ht="21.95" customHeight="1" x14ac:dyDescent="0.45">
      <c r="A14" s="139">
        <v>6</v>
      </c>
      <c r="B14" s="334" t="s">
        <v>357</v>
      </c>
      <c r="C14" s="333"/>
      <c r="D14" s="332"/>
      <c r="E14" s="331">
        <f>SUM(Costs!$C$14:$N$14)/1000</f>
        <v>0</v>
      </c>
      <c r="F14" s="331">
        <f>SUM(Costs!$O$14:$Z$14)/1000</f>
        <v>0</v>
      </c>
      <c r="G14" s="331">
        <f>SUM(Costs!$AA$14:$AL$14)/1000</f>
        <v>2050.6536680886479</v>
      </c>
      <c r="H14" s="331">
        <f>SUM(Costs!$AM$14:$AX$14)/1000</f>
        <v>3393.1321134810796</v>
      </c>
      <c r="I14" s="331">
        <f>SUM(Costs!$AY$14:$BJ$14)/1000</f>
        <v>4972.3910868171879</v>
      </c>
      <c r="J14" s="331">
        <f>SUM(Costs!$BK$14:$BV$14)/1000</f>
        <v>6029.5928625637289</v>
      </c>
      <c r="K14" s="331">
        <f>SUM(Costs!$BW$14:$CH$14)/1000</f>
        <v>6316.716332209623</v>
      </c>
      <c r="L14" s="331">
        <f>SUM(Costs!$CI$14:$CT$14)/1000</f>
        <v>6316.716332209623</v>
      </c>
      <c r="M14" s="331">
        <f>SUM(Costs!$CU$14:$DF$14)/1000</f>
        <v>6603.8398018555163</v>
      </c>
      <c r="N14" s="331">
        <f>SUM(Costs!$DG$14:$DR$14)/1000</f>
        <v>6603.8398018555163</v>
      </c>
      <c r="O14" s="331">
        <f>SUM(Costs!$DS$14:$ED$14)/1000</f>
        <v>6890.9632715014059</v>
      </c>
      <c r="P14" s="331">
        <f>SUM(Costs!$EE$14:$EP$14)/1000</f>
        <v>6890.9632715014059</v>
      </c>
      <c r="Q14" s="331">
        <f>SUM(Costs!$EQ$14:$FB$14)/1000</f>
        <v>7178.0867411472991</v>
      </c>
      <c r="R14" s="331">
        <f>SUM(Costs!$FC$14:$FN$14)/1000</f>
        <v>7178.0867411472991</v>
      </c>
      <c r="S14" s="331">
        <f>SUM(Costs!$FO$14:$FZ$14)/1000</f>
        <v>7465.2102107931923</v>
      </c>
      <c r="T14" s="331">
        <f>SUM(Costs!$GA$14:$GL$14)/1000</f>
        <v>7465.2102107931923</v>
      </c>
      <c r="U14" s="331">
        <f>SUM(Costs!$GM$14:$GX$14)/1000</f>
        <v>7752.333680439081</v>
      </c>
      <c r="V14" s="331">
        <f>SUM(Costs!$GY$14:$HJ$14)/1000</f>
        <v>7752.333680439081</v>
      </c>
      <c r="W14" s="331">
        <f>SUM(Costs!$HK$14:$HV$14)/1000</f>
        <v>8039.4571500849734</v>
      </c>
      <c r="X14" s="330">
        <f>SUM(Costs!$HW$14:$IH$14)/1000</f>
        <v>8039.4571500849734</v>
      </c>
    </row>
    <row r="15" spans="1:25" s="139" customFormat="1" ht="21.95" customHeight="1" x14ac:dyDescent="0.45">
      <c r="A15" s="139">
        <v>7</v>
      </c>
      <c r="B15" s="334" t="s">
        <v>358</v>
      </c>
      <c r="C15" s="333"/>
      <c r="D15" s="332"/>
      <c r="E15" s="331">
        <f>SUM(Costs!$C$15:$N$15)/1000</f>
        <v>0</v>
      </c>
      <c r="F15" s="331">
        <f>SUM(Costs!$O$15:$Z$15)/1000</f>
        <v>0</v>
      </c>
      <c r="G15" s="331">
        <f>SUM(Costs!$AA$15:$AL$15)/1000</f>
        <v>240</v>
      </c>
      <c r="H15" s="331">
        <f>SUM(Costs!$AM$15:$AX$15)/1000</f>
        <v>240</v>
      </c>
      <c r="I15" s="331">
        <f>SUM(Costs!$AY$15:$BJ$15)/1000</f>
        <v>240</v>
      </c>
      <c r="J15" s="331">
        <f>SUM(Costs!$BK$15:$BV$15)/1000</f>
        <v>240</v>
      </c>
      <c r="K15" s="331">
        <f>SUM(Costs!$BW$15:$CH$15)/1000</f>
        <v>240</v>
      </c>
      <c r="L15" s="331">
        <f>SUM(Costs!$CI$15:$CT$15)/1000</f>
        <v>240</v>
      </c>
      <c r="M15" s="331">
        <f>SUM(Costs!$CU$15:$DF$15)/1000</f>
        <v>240</v>
      </c>
      <c r="N15" s="331">
        <f>SUM(Costs!$DG$15:$DR$15)/1000</f>
        <v>240</v>
      </c>
      <c r="O15" s="331">
        <f>SUM(Costs!$DS$15:$ED$15)/1000</f>
        <v>240</v>
      </c>
      <c r="P15" s="331">
        <f>SUM(Costs!$EE$15:$EP$15)/1000</f>
        <v>240</v>
      </c>
      <c r="Q15" s="331">
        <f>SUM(Costs!$EQ$15:$FB$15)/1000</f>
        <v>240</v>
      </c>
      <c r="R15" s="331">
        <f>SUM(Costs!$FC$15:$FN$15)/1000</f>
        <v>240</v>
      </c>
      <c r="S15" s="331">
        <f>SUM(Costs!$FO$15:$FZ$15)/1000</f>
        <v>240</v>
      </c>
      <c r="T15" s="331">
        <f>SUM(Costs!$GA$15:$GL$15)/1000</f>
        <v>240</v>
      </c>
      <c r="U15" s="331">
        <f>SUM(Costs!$GM$15:$GX$15)/1000</f>
        <v>240</v>
      </c>
      <c r="V15" s="331">
        <f>SUM(Costs!$GY$15:$HJ$15)/1000</f>
        <v>240</v>
      </c>
      <c r="W15" s="331">
        <f>SUM(Costs!$HK$15:$HV$15)/1000</f>
        <v>240</v>
      </c>
      <c r="X15" s="330">
        <f>SUM(Costs!$HW$15:$IH$15)/1000</f>
        <v>240</v>
      </c>
    </row>
    <row r="16" spans="1:25" s="139" customFormat="1" ht="21.95" customHeight="1" thickBot="1" x14ac:dyDescent="0.5">
      <c r="A16" s="157"/>
      <c r="B16" s="329" t="s">
        <v>595</v>
      </c>
      <c r="C16" s="328"/>
      <c r="D16" s="327"/>
      <c r="E16" s="326">
        <f t="shared" ref="E16:X16" si="2">SUM(E13:E15)</f>
        <v>0</v>
      </c>
      <c r="F16" s="326">
        <f t="shared" si="2"/>
        <v>517.37600000000009</v>
      </c>
      <c r="G16" s="326">
        <f t="shared" si="2"/>
        <v>2808.0296680886481</v>
      </c>
      <c r="H16" s="326">
        <f t="shared" si="2"/>
        <v>4150.5081134810798</v>
      </c>
      <c r="I16" s="326">
        <f t="shared" si="2"/>
        <v>5729.7670868171881</v>
      </c>
      <c r="J16" s="326">
        <f t="shared" si="2"/>
        <v>6786.9688625637291</v>
      </c>
      <c r="K16" s="326">
        <f t="shared" si="2"/>
        <v>7074.0923322096232</v>
      </c>
      <c r="L16" s="326">
        <f t="shared" si="2"/>
        <v>7074.0923322096232</v>
      </c>
      <c r="M16" s="326">
        <f t="shared" si="2"/>
        <v>7361.2158018555165</v>
      </c>
      <c r="N16" s="326">
        <f t="shared" si="2"/>
        <v>7361.2158018555165</v>
      </c>
      <c r="O16" s="326">
        <f t="shared" si="2"/>
        <v>7648.3392715014061</v>
      </c>
      <c r="P16" s="326">
        <f t="shared" si="2"/>
        <v>7648.3392715014061</v>
      </c>
      <c r="Q16" s="326">
        <f t="shared" si="2"/>
        <v>7935.4627411472993</v>
      </c>
      <c r="R16" s="326">
        <f t="shared" si="2"/>
        <v>7935.4627411472993</v>
      </c>
      <c r="S16" s="326">
        <f t="shared" si="2"/>
        <v>8222.5862107931935</v>
      </c>
      <c r="T16" s="326">
        <f t="shared" si="2"/>
        <v>8222.5862107931935</v>
      </c>
      <c r="U16" s="326">
        <f t="shared" si="2"/>
        <v>8509.7096804390803</v>
      </c>
      <c r="V16" s="326">
        <f t="shared" si="2"/>
        <v>8509.7096804390803</v>
      </c>
      <c r="W16" s="326">
        <f t="shared" si="2"/>
        <v>8796.8331500849727</v>
      </c>
      <c r="X16" s="325">
        <f t="shared" si="2"/>
        <v>8796.8331500849727</v>
      </c>
    </row>
    <row r="17" spans="1:24" ht="21.95" customHeight="1" x14ac:dyDescent="0.45">
      <c r="A17" s="299"/>
      <c r="B17" s="158" t="s">
        <v>594</v>
      </c>
      <c r="C17" s="343"/>
      <c r="D17" s="342"/>
      <c r="E17" s="341">
        <f t="shared" ref="E17:X17" si="3">IF(E$7=0,0,E16/E$7)</f>
        <v>0</v>
      </c>
      <c r="F17" s="341">
        <f t="shared" si="3"/>
        <v>0</v>
      </c>
      <c r="G17" s="341">
        <f t="shared" si="3"/>
        <v>4.1080018217399823E-2</v>
      </c>
      <c r="H17" s="341">
        <f t="shared" si="3"/>
        <v>3.6696255624626944E-2</v>
      </c>
      <c r="I17" s="341">
        <f t="shared" si="3"/>
        <v>3.4569487717938892E-2</v>
      </c>
      <c r="J17" s="341">
        <f t="shared" si="3"/>
        <v>3.3768294231119794E-2</v>
      </c>
      <c r="K17" s="341">
        <f t="shared" si="3"/>
        <v>3.3597008129705251E-2</v>
      </c>
      <c r="L17" s="341">
        <f t="shared" si="3"/>
        <v>3.3597008129705251E-2</v>
      </c>
      <c r="M17" s="341">
        <f t="shared" si="3"/>
        <v>3.3440616471891976E-2</v>
      </c>
      <c r="N17" s="341">
        <f t="shared" si="3"/>
        <v>3.3440616471891976E-2</v>
      </c>
      <c r="O17" s="341">
        <f t="shared" si="3"/>
        <v>3.3297257452229813E-2</v>
      </c>
      <c r="P17" s="341">
        <f t="shared" si="3"/>
        <v>3.3297257452229813E-2</v>
      </c>
      <c r="Q17" s="341">
        <f t="shared" si="3"/>
        <v>3.3165367154140618E-2</v>
      </c>
      <c r="R17" s="341">
        <f t="shared" si="3"/>
        <v>3.3165367154140618E-2</v>
      </c>
      <c r="S17" s="341">
        <f t="shared" si="3"/>
        <v>3.3043622263596771E-2</v>
      </c>
      <c r="T17" s="341">
        <f t="shared" si="3"/>
        <v>3.3043622263596771E-2</v>
      </c>
      <c r="U17" s="341">
        <f t="shared" si="3"/>
        <v>3.293089551309316E-2</v>
      </c>
      <c r="V17" s="341">
        <f t="shared" si="3"/>
        <v>3.293089551309316E-2</v>
      </c>
      <c r="W17" s="341">
        <f t="shared" si="3"/>
        <v>3.2826220673339832E-2</v>
      </c>
      <c r="X17" s="341">
        <f t="shared" si="3"/>
        <v>3.2826220673339832E-2</v>
      </c>
    </row>
    <row r="18" spans="1:24" ht="4.9000000000000004" customHeight="1" thickBot="1" x14ac:dyDescent="0.5">
      <c r="A18" s="299"/>
      <c r="B18" s="340"/>
    </row>
    <row r="19" spans="1:24" s="139" customFormat="1" ht="21.95" customHeight="1" x14ac:dyDescent="0.45">
      <c r="A19" s="139">
        <v>8</v>
      </c>
      <c r="B19" s="339" t="s">
        <v>422</v>
      </c>
      <c r="C19" s="338"/>
      <c r="D19" s="337"/>
      <c r="E19" s="336">
        <f>SUM(Costs!$C19:$N19)/1000</f>
        <v>900</v>
      </c>
      <c r="F19" s="336">
        <f>SUM(Costs!$O19:$Z19)/1000</f>
        <v>900</v>
      </c>
      <c r="G19" s="336">
        <f>SUM(Costs!$AA19:$AL19)/1000</f>
        <v>0</v>
      </c>
      <c r="H19" s="336">
        <f>SUM(Costs!$AM19:$AX19)/1000</f>
        <v>0</v>
      </c>
      <c r="I19" s="336">
        <f>SUM(Costs!$AY19:$BJ19)/1000</f>
        <v>0</v>
      </c>
      <c r="J19" s="336">
        <f>SUM(Costs!$BK19:$BV19)/1000</f>
        <v>0</v>
      </c>
      <c r="K19" s="336">
        <f>SUM(Costs!$BW19:$CH19)/1000</f>
        <v>0</v>
      </c>
      <c r="L19" s="336">
        <f>SUM(Costs!$CI19:$CT19)/1000</f>
        <v>0</v>
      </c>
      <c r="M19" s="336">
        <f>SUM(Costs!$CU19:$DF19)/1000</f>
        <v>0</v>
      </c>
      <c r="N19" s="336">
        <f>SUM(Costs!$DG19:$DR19)/1000</f>
        <v>0</v>
      </c>
      <c r="O19" s="336">
        <f>SUM(Costs!$DS19:$ED19)/1000</f>
        <v>0</v>
      </c>
      <c r="P19" s="336">
        <f>SUM(Costs!$EE19:$EP19)/1000</f>
        <v>0</v>
      </c>
      <c r="Q19" s="336">
        <f>SUM(Costs!$EQ19:$FB19)/1000</f>
        <v>0</v>
      </c>
      <c r="R19" s="336">
        <f>SUM(Costs!$FC19:$FN19)/1000</f>
        <v>0</v>
      </c>
      <c r="S19" s="336">
        <f>SUM(Costs!$FO19:$FZ19)/1000</f>
        <v>0</v>
      </c>
      <c r="T19" s="336">
        <f>SUM(Costs!$GA19:$GL19)/1000</f>
        <v>0</v>
      </c>
      <c r="U19" s="336">
        <f>SUM(Costs!$GM19:$GX19)/1000</f>
        <v>0</v>
      </c>
      <c r="V19" s="336">
        <f>SUM(Costs!$GY19:$HJ19)/1000</f>
        <v>0</v>
      </c>
      <c r="W19" s="336">
        <f>SUM(Costs!$HK19:$HV19)/1000</f>
        <v>0</v>
      </c>
      <c r="X19" s="335">
        <f>SUM(Costs!$HW19:$IH19)/1000</f>
        <v>0</v>
      </c>
    </row>
    <row r="20" spans="1:24" s="139" customFormat="1" ht="21.95" customHeight="1" x14ac:dyDescent="0.45">
      <c r="A20" s="139">
        <v>9</v>
      </c>
      <c r="B20" s="334" t="s">
        <v>424</v>
      </c>
      <c r="C20" s="333"/>
      <c r="D20" s="332"/>
      <c r="E20" s="331">
        <f>SUM(Costs!$C20:$N20)/1000</f>
        <v>30</v>
      </c>
      <c r="F20" s="331">
        <f>SUM(Costs!$O20:$Z20)/1000</f>
        <v>30</v>
      </c>
      <c r="G20" s="331">
        <f>SUM(Costs!$AA20:$AL20)/1000</f>
        <v>90</v>
      </c>
      <c r="H20" s="331">
        <f>SUM(Costs!$AM20:$AX20)/1000</f>
        <v>90</v>
      </c>
      <c r="I20" s="331">
        <f>SUM(Costs!$AY20:$BJ20)/1000</f>
        <v>90</v>
      </c>
      <c r="J20" s="331">
        <f>SUM(Costs!$BK20:$BV20)/1000</f>
        <v>90</v>
      </c>
      <c r="K20" s="331">
        <f>SUM(Costs!$BW20:$CH20)/1000</f>
        <v>120</v>
      </c>
      <c r="L20" s="331">
        <f>SUM(Costs!$CI20:$CT20)/1000</f>
        <v>122.1</v>
      </c>
      <c r="M20" s="331">
        <f>SUM(Costs!$CU20:$DF20)/1000</f>
        <v>127.2</v>
      </c>
      <c r="N20" s="331">
        <f>SUM(Costs!$DG20:$DR20)/1000</f>
        <v>130.80000000000001</v>
      </c>
      <c r="O20" s="331">
        <f>SUM(Costs!$DS20:$ED20)/1000</f>
        <v>134.40000000000003</v>
      </c>
      <c r="P20" s="331">
        <f>SUM(Costs!$EE20:$EP20)/1000</f>
        <v>138.00000000000003</v>
      </c>
      <c r="Q20" s="331">
        <f>SUM(Costs!$EQ20:$FB20)/1000</f>
        <v>141.60000000000002</v>
      </c>
      <c r="R20" s="331">
        <f>SUM(Costs!$FC20:$FN20)/1000</f>
        <v>145.20000000000002</v>
      </c>
      <c r="S20" s="331">
        <f>SUM(Costs!$FO20:$FZ20)/1000</f>
        <v>148.80000000000004</v>
      </c>
      <c r="T20" s="331">
        <f>SUM(Costs!$GA20:$GL20)/1000</f>
        <v>152.40000000000003</v>
      </c>
      <c r="U20" s="331">
        <f>SUM(Costs!$GM20:$GX20)/1000</f>
        <v>156.00000000000003</v>
      </c>
      <c r="V20" s="331">
        <f>SUM(Costs!$GY20:$HJ20)/1000</f>
        <v>159.60000000000002</v>
      </c>
      <c r="W20" s="331">
        <f>SUM(Costs!$HK20:$HV20)/1000</f>
        <v>159.60000000000002</v>
      </c>
      <c r="X20" s="330">
        <f>SUM(Costs!$HW20:$IH20)/1000</f>
        <v>159.60000000000002</v>
      </c>
    </row>
    <row r="21" spans="1:24" s="139" customFormat="1" ht="21.95" customHeight="1" x14ac:dyDescent="0.45">
      <c r="A21" s="139">
        <v>10</v>
      </c>
      <c r="B21" s="334" t="s">
        <v>237</v>
      </c>
      <c r="C21" s="333"/>
      <c r="D21" s="332"/>
      <c r="E21" s="331">
        <f>SUM(Costs!$C21:$N21)/1000</f>
        <v>30</v>
      </c>
      <c r="F21" s="331">
        <f>SUM(Costs!$O21:$Z21)/1000</f>
        <v>30</v>
      </c>
      <c r="G21" s="331">
        <f>SUM(Costs!$AA21:$AL21)/1000</f>
        <v>90</v>
      </c>
      <c r="H21" s="331">
        <f>SUM(Costs!$AM21:$AX21)/1000</f>
        <v>90</v>
      </c>
      <c r="I21" s="331">
        <f>SUM(Costs!$AY21:$BJ21)/1000</f>
        <v>90</v>
      </c>
      <c r="J21" s="331">
        <f>SUM(Costs!$BK21:$BV21)/1000</f>
        <v>90</v>
      </c>
      <c r="K21" s="331">
        <f>SUM(Costs!$BW21:$CH21)/1000</f>
        <v>120</v>
      </c>
      <c r="L21" s="331">
        <f>SUM(Costs!$CI21:$CT21)/1000</f>
        <v>122.1</v>
      </c>
      <c r="M21" s="331">
        <f>SUM(Costs!$CU21:$DF21)/1000</f>
        <v>127.2</v>
      </c>
      <c r="N21" s="331">
        <f>SUM(Costs!$DG21:$DR21)/1000</f>
        <v>130.80000000000001</v>
      </c>
      <c r="O21" s="331">
        <f>SUM(Costs!$DS21:$ED21)/1000</f>
        <v>134.40000000000003</v>
      </c>
      <c r="P21" s="331">
        <f>SUM(Costs!$EE21:$EP21)/1000</f>
        <v>138.00000000000003</v>
      </c>
      <c r="Q21" s="331">
        <f>SUM(Costs!$EQ21:$FB21)/1000</f>
        <v>141.60000000000002</v>
      </c>
      <c r="R21" s="331">
        <f>SUM(Costs!$FC21:$FN21)/1000</f>
        <v>145.20000000000002</v>
      </c>
      <c r="S21" s="331">
        <f>SUM(Costs!$FO21:$FZ21)/1000</f>
        <v>148.80000000000004</v>
      </c>
      <c r="T21" s="331">
        <f>SUM(Costs!$GA21:$GL21)/1000</f>
        <v>152.40000000000003</v>
      </c>
      <c r="U21" s="331">
        <f>SUM(Costs!$GM21:$GX21)/1000</f>
        <v>156.00000000000003</v>
      </c>
      <c r="V21" s="331">
        <f>SUM(Costs!$GY21:$HJ21)/1000</f>
        <v>159.60000000000002</v>
      </c>
      <c r="W21" s="331">
        <f>SUM(Costs!$HK21:$HV21)/1000</f>
        <v>159.60000000000002</v>
      </c>
      <c r="X21" s="330">
        <f>SUM(Costs!$HW21:$IH21)/1000</f>
        <v>159.60000000000002</v>
      </c>
    </row>
    <row r="22" spans="1:24" s="139" customFormat="1" ht="21.95" customHeight="1" x14ac:dyDescent="0.45">
      <c r="A22" s="139">
        <v>11</v>
      </c>
      <c r="B22" s="334" t="s">
        <v>222</v>
      </c>
      <c r="C22" s="333"/>
      <c r="D22" s="332"/>
      <c r="E22" s="331">
        <f>SUM(Costs!$C22:$N22)/1000</f>
        <v>135</v>
      </c>
      <c r="F22" s="331">
        <f>SUM(Costs!$O22:$Z22)/1000</f>
        <v>135</v>
      </c>
      <c r="G22" s="331">
        <f>SUM(Costs!$AA22:$AL22)/1000</f>
        <v>405</v>
      </c>
      <c r="H22" s="331">
        <f>SUM(Costs!$AM22:$AX22)/1000</f>
        <v>405</v>
      </c>
      <c r="I22" s="331">
        <f>SUM(Costs!$AY22:$BJ22)/1000</f>
        <v>405</v>
      </c>
      <c r="J22" s="331">
        <f>SUM(Costs!$BK22:$BV22)/1000</f>
        <v>405</v>
      </c>
      <c r="K22" s="331">
        <f>SUM(Costs!$BW22:$CH22)/1000</f>
        <v>540</v>
      </c>
      <c r="L22" s="331">
        <f>SUM(Costs!$CI22:$CT22)/1000</f>
        <v>549.45000000000005</v>
      </c>
      <c r="M22" s="331">
        <f>SUM(Costs!$CU22:$DF22)/1000</f>
        <v>572.4</v>
      </c>
      <c r="N22" s="331">
        <f>SUM(Costs!$DG22:$DR22)/1000</f>
        <v>588.6</v>
      </c>
      <c r="O22" s="331">
        <f>SUM(Costs!$DS22:$ED22)/1000</f>
        <v>604.80000000000007</v>
      </c>
      <c r="P22" s="331">
        <f>SUM(Costs!$EE22:$EP22)/1000</f>
        <v>621.00000000000011</v>
      </c>
      <c r="Q22" s="331">
        <f>SUM(Costs!$EQ22:$FB22)/1000</f>
        <v>637.20000000000016</v>
      </c>
      <c r="R22" s="331">
        <f>SUM(Costs!$FC22:$FN22)/1000</f>
        <v>653.40000000000009</v>
      </c>
      <c r="S22" s="331">
        <f>SUM(Costs!$FO22:$FZ22)/1000</f>
        <v>669.60000000000014</v>
      </c>
      <c r="T22" s="331">
        <f>SUM(Costs!$GA22:$GL22)/1000</f>
        <v>685.80000000000007</v>
      </c>
      <c r="U22" s="331">
        <f>SUM(Costs!$GM22:$GX22)/1000</f>
        <v>702.00000000000011</v>
      </c>
      <c r="V22" s="331">
        <f>SUM(Costs!$GY22:$HJ22)/1000</f>
        <v>718.20000000000016</v>
      </c>
      <c r="W22" s="331">
        <f>SUM(Costs!$HK22:$HV22)/1000</f>
        <v>718.20000000000016</v>
      </c>
      <c r="X22" s="330">
        <f>SUM(Costs!$HW22:$IH22)/1000</f>
        <v>718.20000000000016</v>
      </c>
    </row>
    <row r="23" spans="1:24" s="139" customFormat="1" ht="21.95" customHeight="1" x14ac:dyDescent="0.45">
      <c r="A23" s="139">
        <v>12</v>
      </c>
      <c r="B23" s="334" t="s">
        <v>244</v>
      </c>
      <c r="C23" s="333"/>
      <c r="D23" s="332"/>
      <c r="E23" s="331">
        <f>SUM(Costs!$C23:$N23)/1000</f>
        <v>851.18789339968782</v>
      </c>
      <c r="F23" s="331">
        <f>SUM(Costs!$O23:$Z23)/1000</f>
        <v>851.18789339968782</v>
      </c>
      <c r="G23" s="331">
        <f>SUM(Costs!$AA23:$AL23)/1000</f>
        <v>2553.5636801990631</v>
      </c>
      <c r="H23" s="331">
        <f>SUM(Costs!$AM23:$AX23)/1000</f>
        <v>2553.5636801990631</v>
      </c>
      <c r="I23" s="331">
        <f>SUM(Costs!$AY23:$BJ23)/1000</f>
        <v>2553.5636801990631</v>
      </c>
      <c r="J23" s="331">
        <f>SUM(Costs!$BK23:$BV23)/1000</f>
        <v>2553.5636801990631</v>
      </c>
      <c r="K23" s="331">
        <f>SUM(Costs!$BW23:$CH23)/1000</f>
        <v>3404.7515735987513</v>
      </c>
      <c r="L23" s="331">
        <f>SUM(Costs!$CI23:$CT23)/1000</f>
        <v>3464.3347261367294</v>
      </c>
      <c r="M23" s="331">
        <f>SUM(Costs!$CU23:$DF23)/1000</f>
        <v>3609.0366680146767</v>
      </c>
      <c r="N23" s="331">
        <f>SUM(Costs!$DG23:$DR23)/1000</f>
        <v>3711.1792152226385</v>
      </c>
      <c r="O23" s="331">
        <f>SUM(Costs!$DS23:$ED23)/1000</f>
        <v>3813.3217624306012</v>
      </c>
      <c r="P23" s="331">
        <f>SUM(Costs!$EE23:$EP23)/1000</f>
        <v>3915.4643096385639</v>
      </c>
      <c r="Q23" s="331">
        <f>SUM(Costs!$EQ23:$FB23)/1000</f>
        <v>4017.6068568465266</v>
      </c>
      <c r="R23" s="331">
        <f>SUM(Costs!$FC23:$FN23)/1000</f>
        <v>4119.7494040544898</v>
      </c>
      <c r="S23" s="331">
        <f>SUM(Costs!$FO23:$FZ23)/1000</f>
        <v>4221.8919512624525</v>
      </c>
      <c r="T23" s="331">
        <f>SUM(Costs!$GA23:$GL23)/1000</f>
        <v>4324.0344984704125</v>
      </c>
      <c r="U23" s="331">
        <f>SUM(Costs!$GM23:$GX23)/1000</f>
        <v>4426.1770456783752</v>
      </c>
      <c r="V23" s="331">
        <f>SUM(Costs!$GY23:$HJ23)/1000</f>
        <v>4528.3195928863379</v>
      </c>
      <c r="W23" s="331">
        <f>SUM(Costs!$HK23:$HV23)/1000</f>
        <v>4528.3195928863379</v>
      </c>
      <c r="X23" s="330">
        <f>SUM(Costs!$HW23:$IH23)/1000</f>
        <v>4528.3195928863379</v>
      </c>
    </row>
    <row r="24" spans="1:24" s="139" customFormat="1" ht="21.95" customHeight="1" x14ac:dyDescent="0.45">
      <c r="A24" s="139">
        <v>13</v>
      </c>
      <c r="B24" s="334" t="s">
        <v>223</v>
      </c>
      <c r="C24" s="333"/>
      <c r="D24" s="332"/>
      <c r="E24" s="331">
        <f>SUM(Costs!$C24:$N24)/1000</f>
        <v>60</v>
      </c>
      <c r="F24" s="331">
        <f>SUM(Costs!$O24:$Z24)/1000</f>
        <v>60</v>
      </c>
      <c r="G24" s="331">
        <f>SUM(Costs!$AA24:$AL24)/1000</f>
        <v>180</v>
      </c>
      <c r="H24" s="331">
        <f>SUM(Costs!$AM24:$AX24)/1000</f>
        <v>180</v>
      </c>
      <c r="I24" s="331">
        <f>SUM(Costs!$AY24:$BJ24)/1000</f>
        <v>180</v>
      </c>
      <c r="J24" s="331">
        <f>SUM(Costs!$BK24:$BV24)/1000</f>
        <v>180</v>
      </c>
      <c r="K24" s="331">
        <f>SUM(Costs!$BW24:$CH24)/1000</f>
        <v>240</v>
      </c>
      <c r="L24" s="331">
        <f>SUM(Costs!$CI24:$CT24)/1000</f>
        <v>244.2</v>
      </c>
      <c r="M24" s="331">
        <f>SUM(Costs!$CU24:$DF24)/1000</f>
        <v>254.4</v>
      </c>
      <c r="N24" s="331">
        <f>SUM(Costs!$DG24:$DR24)/1000</f>
        <v>261.60000000000002</v>
      </c>
      <c r="O24" s="331">
        <f>SUM(Costs!$DS24:$ED24)/1000</f>
        <v>268.80000000000007</v>
      </c>
      <c r="P24" s="331">
        <f>SUM(Costs!$EE24:$EP24)/1000</f>
        <v>276.00000000000006</v>
      </c>
      <c r="Q24" s="331">
        <f>SUM(Costs!$EQ24:$FB24)/1000</f>
        <v>283.20000000000005</v>
      </c>
      <c r="R24" s="331">
        <f>SUM(Costs!$FC24:$FN24)/1000</f>
        <v>290.40000000000003</v>
      </c>
      <c r="S24" s="331">
        <f>SUM(Costs!$FO24:$FZ24)/1000</f>
        <v>297.60000000000008</v>
      </c>
      <c r="T24" s="331">
        <f>SUM(Costs!$GA24:$GL24)/1000</f>
        <v>304.80000000000007</v>
      </c>
      <c r="U24" s="331">
        <f>SUM(Costs!$GM24:$GX24)/1000</f>
        <v>312.00000000000006</v>
      </c>
      <c r="V24" s="331">
        <f>SUM(Costs!$GY24:$HJ24)/1000</f>
        <v>319.20000000000005</v>
      </c>
      <c r="W24" s="331">
        <f>SUM(Costs!$HK24:$HV24)/1000</f>
        <v>319.20000000000005</v>
      </c>
      <c r="X24" s="330">
        <f>SUM(Costs!$HW24:$IH24)/1000</f>
        <v>319.20000000000005</v>
      </c>
    </row>
    <row r="25" spans="1:24" s="139" customFormat="1" ht="21.95" customHeight="1" x14ac:dyDescent="0.45">
      <c r="A25" s="139">
        <v>14</v>
      </c>
      <c r="B25" s="334" t="s">
        <v>224</v>
      </c>
      <c r="C25" s="333"/>
      <c r="D25" s="332"/>
      <c r="E25" s="331">
        <f>SUM(Costs!$C25:$N25)/1000</f>
        <v>150</v>
      </c>
      <c r="F25" s="331">
        <f>SUM(Costs!$O25:$Z25)/1000</f>
        <v>150</v>
      </c>
      <c r="G25" s="331">
        <f>SUM(Costs!$AA25:$AL25)/1000</f>
        <v>450</v>
      </c>
      <c r="H25" s="331">
        <f>SUM(Costs!$AM25:$AX25)/1000</f>
        <v>450</v>
      </c>
      <c r="I25" s="331">
        <f>SUM(Costs!$AY25:$BJ25)/1000</f>
        <v>450</v>
      </c>
      <c r="J25" s="331">
        <f>SUM(Costs!$BK25:$BV25)/1000</f>
        <v>450</v>
      </c>
      <c r="K25" s="331">
        <f>SUM(Costs!$BW25:$CH25)/1000</f>
        <v>600</v>
      </c>
      <c r="L25" s="331">
        <f>SUM(Costs!$CI25:$CT25)/1000</f>
        <v>610.5</v>
      </c>
      <c r="M25" s="331">
        <f>SUM(Costs!$CU25:$DF25)/1000</f>
        <v>636</v>
      </c>
      <c r="N25" s="331">
        <f>SUM(Costs!$DG25:$DR25)/1000</f>
        <v>654.00000000000011</v>
      </c>
      <c r="O25" s="331">
        <f>SUM(Costs!$DS25:$ED25)/1000</f>
        <v>672.00000000000011</v>
      </c>
      <c r="P25" s="331">
        <f>SUM(Costs!$EE25:$EP25)/1000</f>
        <v>690.00000000000011</v>
      </c>
      <c r="Q25" s="331">
        <f>SUM(Costs!$EQ25:$FB25)/1000</f>
        <v>708.00000000000011</v>
      </c>
      <c r="R25" s="331">
        <f>SUM(Costs!$FC25:$FN25)/1000</f>
        <v>726.00000000000011</v>
      </c>
      <c r="S25" s="331">
        <f>SUM(Costs!$FO25:$FZ25)/1000</f>
        <v>744.00000000000011</v>
      </c>
      <c r="T25" s="331">
        <f>SUM(Costs!$GA25:$GL25)/1000</f>
        <v>762.00000000000011</v>
      </c>
      <c r="U25" s="331">
        <f>SUM(Costs!$GM25:$GX25)/1000</f>
        <v>780.00000000000011</v>
      </c>
      <c r="V25" s="331">
        <f>SUM(Costs!$GY25:$HJ25)/1000</f>
        <v>798.00000000000011</v>
      </c>
      <c r="W25" s="331">
        <f>SUM(Costs!$HK25:$HV25)/1000</f>
        <v>798.00000000000011</v>
      </c>
      <c r="X25" s="330">
        <f>SUM(Costs!$HW25:$IH25)/1000</f>
        <v>798.00000000000011</v>
      </c>
    </row>
    <row r="26" spans="1:24" s="139" customFormat="1" ht="21.95" customHeight="1" x14ac:dyDescent="0.45">
      <c r="A26" s="139">
        <v>15</v>
      </c>
      <c r="B26" s="334" t="s">
        <v>225</v>
      </c>
      <c r="C26" s="333"/>
      <c r="D26" s="332"/>
      <c r="E26" s="331">
        <f>SUM(Costs!$C26:$N26)/1000</f>
        <v>310</v>
      </c>
      <c r="F26" s="331">
        <f>SUM(Costs!$O26:$Z26)/1000</f>
        <v>260</v>
      </c>
      <c r="G26" s="331">
        <f>SUM(Costs!$AA26:$AL26)/1000</f>
        <v>120</v>
      </c>
      <c r="H26" s="331">
        <f>SUM(Costs!$AM26:$AX26)/1000</f>
        <v>120</v>
      </c>
      <c r="I26" s="331">
        <f>SUM(Costs!$AY26:$BJ26)/1000</f>
        <v>120</v>
      </c>
      <c r="J26" s="331">
        <f>SUM(Costs!$BK26:$BV26)/1000</f>
        <v>120</v>
      </c>
      <c r="K26" s="331">
        <f>SUM(Costs!$BW26:$CH26)/1000</f>
        <v>120</v>
      </c>
      <c r="L26" s="331">
        <f>SUM(Costs!$CI26:$CT26)/1000</f>
        <v>120</v>
      </c>
      <c r="M26" s="331">
        <f>SUM(Costs!$CU26:$DF26)/1000</f>
        <v>120</v>
      </c>
      <c r="N26" s="331">
        <f>SUM(Costs!$DG26:$DR26)/1000</f>
        <v>120</v>
      </c>
      <c r="O26" s="331">
        <f>SUM(Costs!$DS26:$ED26)/1000</f>
        <v>120</v>
      </c>
      <c r="P26" s="331">
        <f>SUM(Costs!$EE26:$EP26)/1000</f>
        <v>120</v>
      </c>
      <c r="Q26" s="331">
        <f>SUM(Costs!$EQ26:$FB26)/1000</f>
        <v>120</v>
      </c>
      <c r="R26" s="331">
        <f>SUM(Costs!$FC26:$FN26)/1000</f>
        <v>120</v>
      </c>
      <c r="S26" s="331">
        <f>SUM(Costs!$FO26:$FZ26)/1000</f>
        <v>120</v>
      </c>
      <c r="T26" s="331">
        <f>SUM(Costs!$GA26:$GL26)/1000</f>
        <v>120</v>
      </c>
      <c r="U26" s="331">
        <f>SUM(Costs!$GM26:$GX26)/1000</f>
        <v>120</v>
      </c>
      <c r="V26" s="331">
        <f>SUM(Costs!$GY26:$HJ26)/1000</f>
        <v>120</v>
      </c>
      <c r="W26" s="331">
        <f>SUM(Costs!$HK26:$HV26)/1000</f>
        <v>120</v>
      </c>
      <c r="X26" s="330">
        <f>SUM(Costs!$HW26:$IH26)/1000</f>
        <v>120</v>
      </c>
    </row>
    <row r="27" spans="1:24" s="139" customFormat="1" ht="21.95" customHeight="1" x14ac:dyDescent="0.45">
      <c r="A27" s="139">
        <v>16</v>
      </c>
      <c r="B27" s="334" t="s">
        <v>230</v>
      </c>
      <c r="C27" s="333"/>
      <c r="D27" s="332"/>
      <c r="E27" s="331">
        <f>SUM(Costs!$C27:$N27)/1000</f>
        <v>1050</v>
      </c>
      <c r="F27" s="331">
        <f>SUM(Costs!$O27:$Z27)/1000</f>
        <v>1050</v>
      </c>
      <c r="G27" s="331">
        <f>SUM(Costs!$AA27:$AL27)/1000</f>
        <v>3150</v>
      </c>
      <c r="H27" s="331">
        <f>SUM(Costs!$AM27:$AX27)/1000</f>
        <v>3150</v>
      </c>
      <c r="I27" s="331">
        <f>SUM(Costs!$AY27:$BJ27)/1000</f>
        <v>3150</v>
      </c>
      <c r="J27" s="331">
        <f>SUM(Costs!$BK27:$BV27)/1000</f>
        <v>3150</v>
      </c>
      <c r="K27" s="331">
        <f>SUM(Costs!$BW27:$CH27)/1000</f>
        <v>4200</v>
      </c>
      <c r="L27" s="331">
        <f>SUM(Costs!$CI27:$CT27)/1000</f>
        <v>4273.5</v>
      </c>
      <c r="M27" s="331">
        <f>SUM(Costs!$CU27:$DF27)/1000</f>
        <v>4452</v>
      </c>
      <c r="N27" s="331">
        <f>SUM(Costs!$DG27:$DR27)/1000</f>
        <v>4578</v>
      </c>
      <c r="O27" s="331">
        <f>SUM(Costs!$DS27:$ED27)/1000</f>
        <v>4704.0000000000009</v>
      </c>
      <c r="P27" s="331">
        <f>SUM(Costs!$EE27:$EP27)/1000</f>
        <v>4830.0000000000009</v>
      </c>
      <c r="Q27" s="331">
        <f>SUM(Costs!$EQ27:$FB27)/1000</f>
        <v>4956.0000000000009</v>
      </c>
      <c r="R27" s="331">
        <f>SUM(Costs!$FC27:$FN27)/1000</f>
        <v>5082.0000000000009</v>
      </c>
      <c r="S27" s="331">
        <f>SUM(Costs!$FO27:$FZ27)/1000</f>
        <v>5208.0000000000009</v>
      </c>
      <c r="T27" s="331">
        <f>SUM(Costs!$GA27:$GL27)/1000</f>
        <v>5334.0000000000009</v>
      </c>
      <c r="U27" s="331">
        <f>SUM(Costs!$GM27:$GX27)/1000</f>
        <v>5460.0000000000009</v>
      </c>
      <c r="V27" s="331">
        <f>SUM(Costs!$GY27:$HJ27)/1000</f>
        <v>5586.0000000000009</v>
      </c>
      <c r="W27" s="331">
        <f>SUM(Costs!$HK27:$HV27)/1000</f>
        <v>5586.0000000000009</v>
      </c>
      <c r="X27" s="330">
        <f>SUM(Costs!$HW27:$IH27)/1000</f>
        <v>5586.0000000000009</v>
      </c>
    </row>
    <row r="28" spans="1:24" s="139" customFormat="1" ht="21.95" customHeight="1" x14ac:dyDescent="0.45">
      <c r="A28" s="139">
        <v>17</v>
      </c>
      <c r="B28" s="334" t="s">
        <v>226</v>
      </c>
      <c r="C28" s="333"/>
      <c r="D28" s="332"/>
      <c r="E28" s="331">
        <f>SUM(Costs!$C28:$N28)/1000</f>
        <v>651</v>
      </c>
      <c r="F28" s="331">
        <f>SUM(Costs!$O28:$Z28)/1000</f>
        <v>651</v>
      </c>
      <c r="G28" s="331">
        <f>SUM(Costs!$AA28:$AL28)/1000</f>
        <v>1953</v>
      </c>
      <c r="H28" s="331">
        <f>SUM(Costs!$AM28:$AX28)/1000</f>
        <v>1953</v>
      </c>
      <c r="I28" s="331">
        <f>SUM(Costs!$AY28:$BJ28)/1000</f>
        <v>1953</v>
      </c>
      <c r="J28" s="331">
        <f>SUM(Costs!$BK28:$BV28)/1000</f>
        <v>1953</v>
      </c>
      <c r="K28" s="331">
        <f>SUM(Costs!$BW28:$CH28)/1000</f>
        <v>2604</v>
      </c>
      <c r="L28" s="331">
        <f>SUM(Costs!$CI28:$CT28)/1000</f>
        <v>2649.57</v>
      </c>
      <c r="M28" s="331">
        <f>SUM(Costs!$CU28:$DF28)/1000</f>
        <v>2760.24</v>
      </c>
      <c r="N28" s="331">
        <f>SUM(Costs!$DG28:$DR28)/1000</f>
        <v>2838.3600000000006</v>
      </c>
      <c r="O28" s="331">
        <f>SUM(Costs!$DS28:$ED28)/1000</f>
        <v>2916.4800000000005</v>
      </c>
      <c r="P28" s="331">
        <f>SUM(Costs!$EE28:$EP28)/1000</f>
        <v>2994.6000000000004</v>
      </c>
      <c r="Q28" s="331">
        <f>SUM(Costs!$EQ28:$FB28)/1000</f>
        <v>3072.7200000000003</v>
      </c>
      <c r="R28" s="331">
        <f>SUM(Costs!$FC28:$FN28)/1000</f>
        <v>3150.8400000000006</v>
      </c>
      <c r="S28" s="331">
        <f>SUM(Costs!$FO28:$FZ28)/1000</f>
        <v>3228.9600000000005</v>
      </c>
      <c r="T28" s="331">
        <f>SUM(Costs!$GA28:$GL28)/1000</f>
        <v>3307.0800000000004</v>
      </c>
      <c r="U28" s="331">
        <f>SUM(Costs!$GM28:$GX28)/1000</f>
        <v>3385.2000000000003</v>
      </c>
      <c r="V28" s="331">
        <f>SUM(Costs!$GY28:$HJ28)/1000</f>
        <v>3463.3200000000006</v>
      </c>
      <c r="W28" s="331">
        <f>SUM(Costs!$HK28:$HV28)/1000</f>
        <v>3463.3200000000006</v>
      </c>
      <c r="X28" s="330">
        <f>SUM(Costs!$HW28:$IH28)/1000</f>
        <v>3463.3200000000006</v>
      </c>
    </row>
    <row r="29" spans="1:24" s="139" customFormat="1" ht="21.95" customHeight="1" x14ac:dyDescent="0.45">
      <c r="A29" s="139">
        <v>18</v>
      </c>
      <c r="B29" s="334" t="s">
        <v>189</v>
      </c>
      <c r="C29" s="333"/>
      <c r="D29" s="332"/>
      <c r="E29" s="331">
        <f>SUM(Costs!$C29:$N29)/1000</f>
        <v>225</v>
      </c>
      <c r="F29" s="331">
        <f>SUM(Costs!$O29:$Z29)/1000</f>
        <v>225</v>
      </c>
      <c r="G29" s="331">
        <f>SUM(Costs!$AA29:$AL29)/1000</f>
        <v>675</v>
      </c>
      <c r="H29" s="331">
        <f>SUM(Costs!$AM29:$AX29)/1000</f>
        <v>675</v>
      </c>
      <c r="I29" s="331">
        <f>SUM(Costs!$AY29:$BJ29)/1000</f>
        <v>675</v>
      </c>
      <c r="J29" s="331">
        <f>SUM(Costs!$BK29:$BV29)/1000</f>
        <v>675</v>
      </c>
      <c r="K29" s="331">
        <f>SUM(Costs!$BW29:$CH29)/1000</f>
        <v>900</v>
      </c>
      <c r="L29" s="331">
        <f>SUM(Costs!$CI29:$CT29)/1000</f>
        <v>915.75</v>
      </c>
      <c r="M29" s="331">
        <f>SUM(Costs!$CU29:$DF29)/1000</f>
        <v>954</v>
      </c>
      <c r="N29" s="331">
        <f>SUM(Costs!$DG29:$DR29)/1000</f>
        <v>981</v>
      </c>
      <c r="O29" s="331">
        <f>SUM(Costs!$DS29:$ED29)/1000</f>
        <v>1008.0000000000001</v>
      </c>
      <c r="P29" s="331">
        <f>SUM(Costs!$EE29:$EP29)/1000</f>
        <v>1035.0000000000002</v>
      </c>
      <c r="Q29" s="331">
        <f>SUM(Costs!$EQ29:$FB29)/1000</f>
        <v>1062.0000000000002</v>
      </c>
      <c r="R29" s="331">
        <f>SUM(Costs!$FC29:$FN29)/1000</f>
        <v>1089.0000000000002</v>
      </c>
      <c r="S29" s="331">
        <f>SUM(Costs!$FO29:$FZ29)/1000</f>
        <v>1116.0000000000002</v>
      </c>
      <c r="T29" s="331">
        <f>SUM(Costs!$GA29:$GL29)/1000</f>
        <v>1143.0000000000002</v>
      </c>
      <c r="U29" s="331">
        <f>SUM(Costs!$GM29:$GX29)/1000</f>
        <v>1170.0000000000002</v>
      </c>
      <c r="V29" s="331">
        <f>SUM(Costs!$GY29:$HJ29)/1000</f>
        <v>1197.0000000000002</v>
      </c>
      <c r="W29" s="331">
        <f>SUM(Costs!$HK29:$HV29)/1000</f>
        <v>1197.0000000000002</v>
      </c>
      <c r="X29" s="330">
        <f>SUM(Costs!$HW29:$IH29)/1000</f>
        <v>1197.0000000000002</v>
      </c>
    </row>
    <row r="30" spans="1:24" s="139" customFormat="1" ht="21.95" customHeight="1" x14ac:dyDescent="0.45">
      <c r="A30" s="139">
        <v>19</v>
      </c>
      <c r="B30" s="334" t="s">
        <v>227</v>
      </c>
      <c r="C30" s="333"/>
      <c r="D30" s="332"/>
      <c r="E30" s="331">
        <f>SUM(Costs!$C30:$N30)/1000</f>
        <v>45</v>
      </c>
      <c r="F30" s="331">
        <f>SUM(Costs!$O30:$Z30)/1000</f>
        <v>45</v>
      </c>
      <c r="G30" s="331">
        <f>SUM(Costs!$AA30:$AL30)/1000</f>
        <v>135</v>
      </c>
      <c r="H30" s="331">
        <f>SUM(Costs!$AM30:$AX30)/1000</f>
        <v>135</v>
      </c>
      <c r="I30" s="331">
        <f>SUM(Costs!$AY30:$BJ30)/1000</f>
        <v>135</v>
      </c>
      <c r="J30" s="331">
        <f>SUM(Costs!$BK30:$BV30)/1000</f>
        <v>135</v>
      </c>
      <c r="K30" s="331">
        <f>SUM(Costs!$BW30:$CH30)/1000</f>
        <v>180</v>
      </c>
      <c r="L30" s="331">
        <f>SUM(Costs!$CI30:$CT30)/1000</f>
        <v>183.15</v>
      </c>
      <c r="M30" s="331">
        <f>SUM(Costs!$CU30:$DF30)/1000</f>
        <v>190.8</v>
      </c>
      <c r="N30" s="331">
        <f>SUM(Costs!$DG30:$DR30)/1000</f>
        <v>196.20000000000002</v>
      </c>
      <c r="O30" s="331">
        <f>SUM(Costs!$DS30:$ED30)/1000</f>
        <v>201.6</v>
      </c>
      <c r="P30" s="331">
        <f>SUM(Costs!$EE30:$EP30)/1000</f>
        <v>207.00000000000003</v>
      </c>
      <c r="Q30" s="331">
        <f>SUM(Costs!$EQ30:$FB30)/1000</f>
        <v>212.40000000000003</v>
      </c>
      <c r="R30" s="331">
        <f>SUM(Costs!$FC30:$FN30)/1000</f>
        <v>217.80000000000004</v>
      </c>
      <c r="S30" s="331">
        <f>SUM(Costs!$FO30:$FZ30)/1000</f>
        <v>223.20000000000002</v>
      </c>
      <c r="T30" s="331">
        <f>SUM(Costs!$GA30:$GL30)/1000</f>
        <v>228.60000000000002</v>
      </c>
      <c r="U30" s="331">
        <f>SUM(Costs!$GM30:$GX30)/1000</f>
        <v>234.00000000000003</v>
      </c>
      <c r="V30" s="331">
        <f>SUM(Costs!$GY30:$HJ30)/1000</f>
        <v>239.40000000000003</v>
      </c>
      <c r="W30" s="331">
        <f>SUM(Costs!$HK30:$HV30)/1000</f>
        <v>239.40000000000003</v>
      </c>
      <c r="X30" s="330">
        <f>SUM(Costs!$HW30:$IH30)/1000</f>
        <v>239.40000000000003</v>
      </c>
    </row>
    <row r="31" spans="1:24" s="139" customFormat="1" ht="21.95" customHeight="1" x14ac:dyDescent="0.45">
      <c r="A31" s="139">
        <v>20</v>
      </c>
      <c r="B31" s="334" t="s">
        <v>228</v>
      </c>
      <c r="C31" s="333"/>
      <c r="D31" s="332"/>
      <c r="E31" s="331">
        <f>SUM(Costs!$C31:$N31)/1000</f>
        <v>450</v>
      </c>
      <c r="F31" s="331">
        <f>SUM(Costs!$O31:$Z31)/1000</f>
        <v>450</v>
      </c>
      <c r="G31" s="331">
        <f>SUM(Costs!$AA31:$AL31)/1000</f>
        <v>1350</v>
      </c>
      <c r="H31" s="331">
        <f>SUM(Costs!$AM31:$AX31)/1000</f>
        <v>1350</v>
      </c>
      <c r="I31" s="331">
        <f>SUM(Costs!$AY31:$BJ31)/1000</f>
        <v>1350</v>
      </c>
      <c r="J31" s="331">
        <f>SUM(Costs!$BK31:$BV31)/1000</f>
        <v>1350</v>
      </c>
      <c r="K31" s="331">
        <f>SUM(Costs!$BW31:$CH31)/1000</f>
        <v>1800</v>
      </c>
      <c r="L31" s="331">
        <f>SUM(Costs!$CI31:$CT31)/1000</f>
        <v>1831.5</v>
      </c>
      <c r="M31" s="331">
        <f>SUM(Costs!$CU31:$DF31)/1000</f>
        <v>1908</v>
      </c>
      <c r="N31" s="331">
        <f>SUM(Costs!$DG31:$DR31)/1000</f>
        <v>1962</v>
      </c>
      <c r="O31" s="331">
        <f>SUM(Costs!$DS31:$ED31)/1000</f>
        <v>2016.0000000000002</v>
      </c>
      <c r="P31" s="331">
        <f>SUM(Costs!$EE31:$EP31)/1000</f>
        <v>2070.0000000000005</v>
      </c>
      <c r="Q31" s="331">
        <f>SUM(Costs!$EQ31:$FB31)/1000</f>
        <v>2124.0000000000005</v>
      </c>
      <c r="R31" s="331">
        <f>SUM(Costs!$FC31:$FN31)/1000</f>
        <v>2178.0000000000005</v>
      </c>
      <c r="S31" s="331">
        <f>SUM(Costs!$FO31:$FZ31)/1000</f>
        <v>2232.0000000000005</v>
      </c>
      <c r="T31" s="331">
        <f>SUM(Costs!$GA31:$GL31)/1000</f>
        <v>2286.0000000000005</v>
      </c>
      <c r="U31" s="331">
        <f>SUM(Costs!$GM31:$GX31)/1000</f>
        <v>2340.0000000000005</v>
      </c>
      <c r="V31" s="331">
        <f>SUM(Costs!$GY31:$HJ31)/1000</f>
        <v>2394.0000000000005</v>
      </c>
      <c r="W31" s="331">
        <f>SUM(Costs!$HK31:$HV31)/1000</f>
        <v>2394.0000000000005</v>
      </c>
      <c r="X31" s="330">
        <f>SUM(Costs!$HW31:$IH31)/1000</f>
        <v>2394.0000000000005</v>
      </c>
    </row>
    <row r="32" spans="1:24" s="139" customFormat="1" ht="21.95" customHeight="1" x14ac:dyDescent="0.45">
      <c r="A32" s="139">
        <v>21</v>
      </c>
      <c r="B32" s="334" t="s">
        <v>231</v>
      </c>
      <c r="C32" s="333"/>
      <c r="D32" s="332"/>
      <c r="E32" s="331">
        <f>SUM(Costs!$C32:$N32)/1000</f>
        <v>77.026499999999913</v>
      </c>
      <c r="F32" s="331">
        <f>SUM(Costs!$O32:$Z32)/1000</f>
        <v>77.026499999999913</v>
      </c>
      <c r="G32" s="331">
        <f>SUM(Costs!$AA32:$AL32)/1000</f>
        <v>231.07949999999968</v>
      </c>
      <c r="H32" s="331">
        <f>SUM(Costs!$AM32:$AX32)/1000</f>
        <v>231.07949999999968</v>
      </c>
      <c r="I32" s="331">
        <f>SUM(Costs!$AY32:$BJ32)/1000</f>
        <v>231.07949999999968</v>
      </c>
      <c r="J32" s="331">
        <f>SUM(Costs!$BK32:$BV32)/1000</f>
        <v>231.07949999999968</v>
      </c>
      <c r="K32" s="331">
        <f>SUM(Costs!$BW32:$CH32)/1000</f>
        <v>308.10599999999965</v>
      </c>
      <c r="L32" s="331">
        <f>SUM(Costs!$CI32:$CT32)/1000</f>
        <v>313.49785499999956</v>
      </c>
      <c r="M32" s="331">
        <f>SUM(Costs!$CU32:$DF32)/1000</f>
        <v>326.59235999999964</v>
      </c>
      <c r="N32" s="331">
        <f>SUM(Costs!$DG32:$DR32)/1000</f>
        <v>335.83553999999975</v>
      </c>
      <c r="O32" s="331">
        <f>SUM(Costs!$DS32:$ED32)/1000</f>
        <v>345.07871999999963</v>
      </c>
      <c r="P32" s="331">
        <f>SUM(Costs!$EE32:$EP32)/1000</f>
        <v>354.32189999999963</v>
      </c>
      <c r="Q32" s="331">
        <f>SUM(Costs!$EQ32:$FB32)/1000</f>
        <v>363.56507999999968</v>
      </c>
      <c r="R32" s="331">
        <f>SUM(Costs!$FC32:$FN32)/1000</f>
        <v>372.80825999999973</v>
      </c>
      <c r="S32" s="331">
        <f>SUM(Costs!$FO32:$FZ32)/1000</f>
        <v>382.05143999999973</v>
      </c>
      <c r="T32" s="331">
        <f>SUM(Costs!$GA32:$GL32)/1000</f>
        <v>391.29461999999961</v>
      </c>
      <c r="U32" s="331">
        <f>SUM(Costs!$GM32:$GX32)/1000</f>
        <v>400.53779999999966</v>
      </c>
      <c r="V32" s="331">
        <f>SUM(Costs!$GY32:$HJ32)/1000</f>
        <v>409.78097999999972</v>
      </c>
      <c r="W32" s="331">
        <f>SUM(Costs!$HK32:$HV32)/1000</f>
        <v>409.78097999999972</v>
      </c>
      <c r="X32" s="330">
        <f>SUM(Costs!$HW32:$IH32)/1000</f>
        <v>409.78097999999972</v>
      </c>
    </row>
    <row r="33" spans="1:26" s="139" customFormat="1" ht="21.95" customHeight="1" x14ac:dyDescent="0.45">
      <c r="A33" s="139">
        <v>22</v>
      </c>
      <c r="B33" s="334" t="s">
        <v>425</v>
      </c>
      <c r="C33" s="333"/>
      <c r="D33" s="332"/>
      <c r="E33" s="331">
        <f>SUM(Costs!$C33:$N33)/1000</f>
        <v>720</v>
      </c>
      <c r="F33" s="331">
        <f>SUM(Costs!$O33:$Z33)/1000</f>
        <v>720</v>
      </c>
      <c r="G33" s="331">
        <f>SUM(Costs!$AA33:$AL33)/1000</f>
        <v>2160</v>
      </c>
      <c r="H33" s="331">
        <f>SUM(Costs!$AM33:$AX33)/1000</f>
        <v>2160</v>
      </c>
      <c r="I33" s="331">
        <f>SUM(Costs!$AY33:$BJ33)/1000</f>
        <v>2160</v>
      </c>
      <c r="J33" s="331">
        <f>SUM(Costs!$BK33:$BV33)/1000</f>
        <v>2160</v>
      </c>
      <c r="K33" s="331">
        <f>SUM(Costs!$BW33:$CH33)/1000</f>
        <v>2880</v>
      </c>
      <c r="L33" s="331">
        <f>SUM(Costs!$CI33:$CT33)/1000</f>
        <v>2930.4</v>
      </c>
      <c r="M33" s="331">
        <f>SUM(Costs!$CU33:$DF33)/1000</f>
        <v>3052.8</v>
      </c>
      <c r="N33" s="331">
        <f>SUM(Costs!$DG33:$DR33)/1000</f>
        <v>3139.2000000000003</v>
      </c>
      <c r="O33" s="331">
        <f>SUM(Costs!$DS33:$ED33)/1000</f>
        <v>3225.6</v>
      </c>
      <c r="P33" s="331">
        <f>SUM(Costs!$EE33:$EP33)/1000</f>
        <v>3312.0000000000005</v>
      </c>
      <c r="Q33" s="331">
        <f>SUM(Costs!$EQ33:$FB33)/1000</f>
        <v>3398.4000000000005</v>
      </c>
      <c r="R33" s="331">
        <f>SUM(Costs!$FC33:$FN33)/1000</f>
        <v>3484.8000000000006</v>
      </c>
      <c r="S33" s="331">
        <f>SUM(Costs!$FO33:$FZ33)/1000</f>
        <v>3571.2000000000003</v>
      </c>
      <c r="T33" s="331">
        <f>SUM(Costs!$GA33:$GL33)/1000</f>
        <v>3657.6000000000004</v>
      </c>
      <c r="U33" s="331">
        <f>SUM(Costs!$GM33:$GX33)/1000</f>
        <v>3744.0000000000005</v>
      </c>
      <c r="V33" s="331">
        <f>SUM(Costs!$GY33:$HJ33)/1000</f>
        <v>3830.4000000000005</v>
      </c>
      <c r="W33" s="331">
        <f>SUM(Costs!$HK33:$HV33)/1000</f>
        <v>3830.4000000000005</v>
      </c>
      <c r="X33" s="330">
        <f>SUM(Costs!$HW33:$IH33)/1000</f>
        <v>3830.4000000000005</v>
      </c>
    </row>
    <row r="34" spans="1:26" s="139" customFormat="1" ht="21.95" customHeight="1" x14ac:dyDescent="0.45">
      <c r="A34" s="139">
        <v>23</v>
      </c>
      <c r="B34" s="334" t="s">
        <v>233</v>
      </c>
      <c r="C34" s="333"/>
      <c r="D34" s="332"/>
      <c r="E34" s="331">
        <f>SUM(Costs!$C34:$N34)/1000</f>
        <v>120</v>
      </c>
      <c r="F34" s="331">
        <f>SUM(Costs!$O34:$Z34)/1000</f>
        <v>120</v>
      </c>
      <c r="G34" s="331">
        <f>SUM(Costs!$AA34:$AL34)/1000</f>
        <v>360</v>
      </c>
      <c r="H34" s="331">
        <f>SUM(Costs!$AM34:$AX34)/1000</f>
        <v>360</v>
      </c>
      <c r="I34" s="331">
        <f>SUM(Costs!$AY34:$BJ34)/1000</f>
        <v>360</v>
      </c>
      <c r="J34" s="331">
        <f>SUM(Costs!$BK34:$BV34)/1000</f>
        <v>360</v>
      </c>
      <c r="K34" s="331">
        <f>SUM(Costs!$BW34:$CH34)/1000</f>
        <v>480</v>
      </c>
      <c r="L34" s="331">
        <f>SUM(Costs!$CI34:$CT34)/1000</f>
        <v>488.4</v>
      </c>
      <c r="M34" s="331">
        <f>SUM(Costs!$CU34:$DF34)/1000</f>
        <v>508.8</v>
      </c>
      <c r="N34" s="331">
        <f>SUM(Costs!$DG34:$DR34)/1000</f>
        <v>523.20000000000005</v>
      </c>
      <c r="O34" s="331">
        <f>SUM(Costs!$DS34:$ED34)/1000</f>
        <v>537.60000000000014</v>
      </c>
      <c r="P34" s="331">
        <f>SUM(Costs!$EE34:$EP34)/1000</f>
        <v>552.00000000000011</v>
      </c>
      <c r="Q34" s="331">
        <f>SUM(Costs!$EQ34:$FB34)/1000</f>
        <v>566.40000000000009</v>
      </c>
      <c r="R34" s="331">
        <f>SUM(Costs!$FC34:$FN34)/1000</f>
        <v>580.80000000000007</v>
      </c>
      <c r="S34" s="331">
        <f>SUM(Costs!$FO34:$FZ34)/1000</f>
        <v>595.20000000000016</v>
      </c>
      <c r="T34" s="331">
        <f>SUM(Costs!$GA34:$GL34)/1000</f>
        <v>609.60000000000014</v>
      </c>
      <c r="U34" s="331">
        <f>SUM(Costs!$GM34:$GX34)/1000</f>
        <v>624.00000000000011</v>
      </c>
      <c r="V34" s="331">
        <f>SUM(Costs!$GY34:$HJ34)/1000</f>
        <v>638.40000000000009</v>
      </c>
      <c r="W34" s="331">
        <f>SUM(Costs!$HK34:$HV34)/1000</f>
        <v>638.40000000000009</v>
      </c>
      <c r="X34" s="330">
        <f>SUM(Costs!$HW34:$IH34)/1000</f>
        <v>638.40000000000009</v>
      </c>
    </row>
    <row r="35" spans="1:26" s="139" customFormat="1" ht="21.95" customHeight="1" x14ac:dyDescent="0.45">
      <c r="A35" s="139">
        <v>24</v>
      </c>
      <c r="B35" s="334" t="s">
        <v>234</v>
      </c>
      <c r="C35" s="333"/>
      <c r="D35" s="332"/>
      <c r="E35" s="331">
        <f>SUM(Costs!$C35:$N35)/1000</f>
        <v>45</v>
      </c>
      <c r="F35" s="331">
        <f>SUM(Costs!$O35:$Z35)/1000</f>
        <v>45</v>
      </c>
      <c r="G35" s="331">
        <f>SUM(Costs!$AA35:$AL35)/1000</f>
        <v>135</v>
      </c>
      <c r="H35" s="331">
        <f>SUM(Costs!$AM35:$AX35)/1000</f>
        <v>135</v>
      </c>
      <c r="I35" s="331">
        <f>SUM(Costs!$AY35:$BJ35)/1000</f>
        <v>135</v>
      </c>
      <c r="J35" s="331">
        <f>SUM(Costs!$BK35:$BV35)/1000</f>
        <v>135</v>
      </c>
      <c r="K35" s="331">
        <f>SUM(Costs!$BW35:$CH35)/1000</f>
        <v>180</v>
      </c>
      <c r="L35" s="331">
        <f>SUM(Costs!$CI35:$CT35)/1000</f>
        <v>183.15</v>
      </c>
      <c r="M35" s="331">
        <f>SUM(Costs!$CU35:$DF35)/1000</f>
        <v>190.8</v>
      </c>
      <c r="N35" s="331">
        <f>SUM(Costs!$DG35:$DR35)/1000</f>
        <v>196.20000000000002</v>
      </c>
      <c r="O35" s="331">
        <f>SUM(Costs!$DS35:$ED35)/1000</f>
        <v>201.6</v>
      </c>
      <c r="P35" s="331">
        <f>SUM(Costs!$EE35:$EP35)/1000</f>
        <v>207.00000000000003</v>
      </c>
      <c r="Q35" s="331">
        <f>SUM(Costs!$EQ35:$FB35)/1000</f>
        <v>212.40000000000003</v>
      </c>
      <c r="R35" s="331">
        <f>SUM(Costs!$FC35:$FN35)/1000</f>
        <v>217.80000000000004</v>
      </c>
      <c r="S35" s="331">
        <f>SUM(Costs!$FO35:$FZ35)/1000</f>
        <v>223.20000000000002</v>
      </c>
      <c r="T35" s="331">
        <f>SUM(Costs!$GA35:$GL35)/1000</f>
        <v>228.60000000000002</v>
      </c>
      <c r="U35" s="331">
        <f>SUM(Costs!$GM35:$GX35)/1000</f>
        <v>234.00000000000003</v>
      </c>
      <c r="V35" s="331">
        <f>SUM(Costs!$GY35:$HJ35)/1000</f>
        <v>239.40000000000003</v>
      </c>
      <c r="W35" s="331">
        <f>SUM(Costs!$HK35:$HV35)/1000</f>
        <v>239.40000000000003</v>
      </c>
      <c r="X35" s="330">
        <f>SUM(Costs!$HW35:$IH35)/1000</f>
        <v>239.40000000000003</v>
      </c>
    </row>
    <row r="36" spans="1:26" s="139" customFormat="1" ht="21.95" customHeight="1" x14ac:dyDescent="0.45">
      <c r="B36" s="334" t="s">
        <v>235</v>
      </c>
      <c r="C36" s="333"/>
      <c r="D36" s="332"/>
      <c r="E36" s="331">
        <f>SUM(Costs!$C36:$N36)/1000</f>
        <v>282.5</v>
      </c>
      <c r="F36" s="331">
        <f>SUM(Costs!$O36:$Z36)/1000</f>
        <v>90</v>
      </c>
      <c r="G36" s="331">
        <f>SUM(Costs!$AA36:$AL36)/1000</f>
        <v>270</v>
      </c>
      <c r="H36" s="331">
        <f>SUM(Costs!$AM36:$AX36)/1000</f>
        <v>270</v>
      </c>
      <c r="I36" s="331">
        <f>SUM(Costs!$AY36:$BJ36)/1000</f>
        <v>270</v>
      </c>
      <c r="J36" s="331">
        <f>SUM(Costs!$BK36:$BV36)/1000</f>
        <v>270</v>
      </c>
      <c r="K36" s="331">
        <f>SUM(Costs!$BW36:$CH36)/1000</f>
        <v>360</v>
      </c>
      <c r="L36" s="331">
        <f>SUM(Costs!$CI36:$CT36)/1000</f>
        <v>366.3</v>
      </c>
      <c r="M36" s="331">
        <f>SUM(Costs!$CU36:$DF36)/1000</f>
        <v>381.6</v>
      </c>
      <c r="N36" s="331">
        <f>SUM(Costs!$DG36:$DR36)/1000</f>
        <v>392.40000000000003</v>
      </c>
      <c r="O36" s="331">
        <f>SUM(Costs!$DS36:$ED36)/1000</f>
        <v>403.2</v>
      </c>
      <c r="P36" s="331">
        <f>SUM(Costs!$EE36:$EP36)/1000</f>
        <v>414.00000000000006</v>
      </c>
      <c r="Q36" s="331">
        <f>SUM(Costs!$EQ36:$FB36)/1000</f>
        <v>424.80000000000007</v>
      </c>
      <c r="R36" s="331">
        <f>SUM(Costs!$FC36:$FN36)/1000</f>
        <v>435.60000000000008</v>
      </c>
      <c r="S36" s="331">
        <f>SUM(Costs!$FO36:$FZ36)/1000</f>
        <v>446.40000000000003</v>
      </c>
      <c r="T36" s="331">
        <f>SUM(Costs!$GA36:$GL36)/1000</f>
        <v>457.20000000000005</v>
      </c>
      <c r="U36" s="331">
        <f>SUM(Costs!$GM36:$GX36)/1000</f>
        <v>468.00000000000006</v>
      </c>
      <c r="V36" s="331">
        <f>SUM(Costs!$GY36:$HJ36)/1000</f>
        <v>478.80000000000007</v>
      </c>
      <c r="W36" s="331">
        <f>SUM(Costs!$HK36:$HV36)/1000</f>
        <v>478.80000000000007</v>
      </c>
      <c r="X36" s="330">
        <f>SUM(Costs!$HW36:$IH36)/1000</f>
        <v>478.80000000000007</v>
      </c>
    </row>
    <row r="37" spans="1:26" s="139" customFormat="1" ht="21.95" customHeight="1" x14ac:dyDescent="0.45">
      <c r="A37" s="139">
        <v>25</v>
      </c>
      <c r="B37" s="334" t="s">
        <v>236</v>
      </c>
      <c r="C37" s="333"/>
      <c r="D37" s="332"/>
      <c r="E37" s="331">
        <f>SUM(Costs!$C37:$N37)/1000</f>
        <v>0</v>
      </c>
      <c r="F37" s="331">
        <f>SUM(Costs!$O37:$Z37)/1000</f>
        <v>0</v>
      </c>
      <c r="G37" s="331">
        <f>SUM(Costs!$AA37:$AL37)/1000</f>
        <v>0</v>
      </c>
      <c r="H37" s="331">
        <f>SUM(Costs!$AM37:$AX37)/1000</f>
        <v>0</v>
      </c>
      <c r="I37" s="331">
        <f>SUM(Costs!$AY37:$BJ37)/1000</f>
        <v>0</v>
      </c>
      <c r="J37" s="331">
        <f>SUM(Costs!$BK37:$BV37)/1000</f>
        <v>0</v>
      </c>
      <c r="K37" s="331">
        <f>SUM(Costs!$BW37:$CH37)/1000</f>
        <v>0</v>
      </c>
      <c r="L37" s="331">
        <f>SUM(Costs!$CI37:$CT37)/1000</f>
        <v>0</v>
      </c>
      <c r="M37" s="331">
        <f>SUM(Costs!$CU37:$DF37)/1000</f>
        <v>0</v>
      </c>
      <c r="N37" s="331">
        <f>SUM(Costs!$DG37:$DR37)/1000</f>
        <v>0</v>
      </c>
      <c r="O37" s="331">
        <f>SUM(Costs!$DS37:$ED37)/1000</f>
        <v>0</v>
      </c>
      <c r="P37" s="331">
        <f>SUM(Costs!$EE37:$EP37)/1000</f>
        <v>0</v>
      </c>
      <c r="Q37" s="331">
        <f>SUM(Costs!$EQ37:$FB37)/1000</f>
        <v>0</v>
      </c>
      <c r="R37" s="331">
        <f>SUM(Costs!$FC37:$FN37)/1000</f>
        <v>0</v>
      </c>
      <c r="S37" s="331">
        <f>SUM(Costs!$FO37:$FZ37)/1000</f>
        <v>0</v>
      </c>
      <c r="T37" s="331">
        <f>SUM(Costs!$GA37:$GL37)/1000</f>
        <v>0</v>
      </c>
      <c r="U37" s="331">
        <f>SUM(Costs!$GM37:$GX37)/1000</f>
        <v>0</v>
      </c>
      <c r="V37" s="331">
        <f>SUM(Costs!$GY37:$HJ37)/1000</f>
        <v>0</v>
      </c>
      <c r="W37" s="331">
        <f>SUM(Costs!$HK37:$HV37)/1000</f>
        <v>0</v>
      </c>
      <c r="X37" s="330">
        <f>SUM(Costs!$HW37:$IH37)/1000</f>
        <v>0</v>
      </c>
    </row>
    <row r="38" spans="1:26" s="139" customFormat="1" ht="21.95" customHeight="1" thickBot="1" x14ac:dyDescent="0.5">
      <c r="A38" s="157"/>
      <c r="B38" s="329" t="s">
        <v>593</v>
      </c>
      <c r="C38" s="328"/>
      <c r="D38" s="327"/>
      <c r="E38" s="326">
        <f>SUM(E19:E37)</f>
        <v>6131.7143933996877</v>
      </c>
      <c r="F38" s="326">
        <f t="shared" ref="F38:X38" si="4">SUM(F19:F37)</f>
        <v>5889.2143933996877</v>
      </c>
      <c r="G38" s="326">
        <f t="shared" si="4"/>
        <v>14307.643180199062</v>
      </c>
      <c r="H38" s="326">
        <f t="shared" si="4"/>
        <v>14307.643180199062</v>
      </c>
      <c r="I38" s="326">
        <f t="shared" si="4"/>
        <v>14307.643180199062</v>
      </c>
      <c r="J38" s="326">
        <f t="shared" si="4"/>
        <v>14307.643180199062</v>
      </c>
      <c r="K38" s="326">
        <f t="shared" si="4"/>
        <v>19036.857573598751</v>
      </c>
      <c r="L38" s="326">
        <f t="shared" si="4"/>
        <v>19367.902581136732</v>
      </c>
      <c r="M38" s="326">
        <f t="shared" si="4"/>
        <v>20171.869028014673</v>
      </c>
      <c r="N38" s="326">
        <f t="shared" si="4"/>
        <v>20739.374755222645</v>
      </c>
      <c r="O38" s="326">
        <f t="shared" si="4"/>
        <v>21306.880482430603</v>
      </c>
      <c r="P38" s="326">
        <f t="shared" si="4"/>
        <v>21874.386209638567</v>
      </c>
      <c r="Q38" s="326">
        <f t="shared" si="4"/>
        <v>22441.891936846532</v>
      </c>
      <c r="R38" s="326">
        <f t="shared" si="4"/>
        <v>23009.397664054486</v>
      </c>
      <c r="S38" s="326">
        <f t="shared" si="4"/>
        <v>23576.903391262462</v>
      </c>
      <c r="T38" s="326">
        <f t="shared" si="4"/>
        <v>24144.409118470412</v>
      </c>
      <c r="U38" s="326">
        <f t="shared" si="4"/>
        <v>24711.914845678377</v>
      </c>
      <c r="V38" s="326">
        <f t="shared" si="4"/>
        <v>25279.420572886345</v>
      </c>
      <c r="W38" s="326">
        <f t="shared" si="4"/>
        <v>25279.420572886345</v>
      </c>
      <c r="X38" s="326">
        <f t="shared" si="4"/>
        <v>25279.420572886345</v>
      </c>
    </row>
    <row r="39" spans="1:26" ht="4.9000000000000004" customHeight="1" thickBot="1" x14ac:dyDescent="0.5">
      <c r="A39" s="299"/>
    </row>
    <row r="40" spans="1:26" s="139" customFormat="1" ht="21.95" customHeight="1" x14ac:dyDescent="0.45">
      <c r="A40" s="157">
        <v>26</v>
      </c>
      <c r="B40" s="324" t="s">
        <v>592</v>
      </c>
      <c r="C40" s="323"/>
      <c r="D40" s="322"/>
      <c r="E40" s="321"/>
      <c r="F40" s="321"/>
      <c r="G40" s="320"/>
      <c r="H40" s="320"/>
      <c r="I40" s="320"/>
      <c r="J40" s="320"/>
      <c r="K40" s="320"/>
      <c r="L40" s="320"/>
      <c r="M40" s="320"/>
      <c r="N40" s="320"/>
      <c r="O40" s="320"/>
      <c r="P40" s="320"/>
      <c r="Q40" s="320"/>
      <c r="R40" s="320"/>
      <c r="S40" s="320"/>
      <c r="T40" s="320"/>
      <c r="U40" s="320"/>
      <c r="V40" s="320"/>
      <c r="W40" s="320"/>
      <c r="X40" s="320"/>
    </row>
    <row r="41" spans="1:26" s="139" customFormat="1" ht="21.95" customHeight="1" thickBot="1" x14ac:dyDescent="0.5">
      <c r="A41" s="157"/>
      <c r="B41" s="319" t="s">
        <v>591</v>
      </c>
      <c r="C41" s="318"/>
      <c r="D41" s="317"/>
      <c r="E41" s="316"/>
      <c r="F41" s="316"/>
      <c r="G41" s="316"/>
      <c r="H41" s="316"/>
      <c r="I41" s="316"/>
      <c r="J41" s="316"/>
      <c r="K41" s="316"/>
      <c r="L41" s="316"/>
      <c r="M41" s="316"/>
      <c r="N41" s="316"/>
      <c r="O41" s="316"/>
      <c r="P41" s="316"/>
      <c r="Q41" s="316"/>
      <c r="R41" s="316"/>
      <c r="S41" s="316"/>
      <c r="T41" s="316"/>
      <c r="U41" s="316"/>
      <c r="V41" s="316"/>
      <c r="W41" s="316"/>
      <c r="X41" s="316"/>
    </row>
    <row r="42" spans="1:26" ht="4.9000000000000004" customHeight="1" thickBot="1" x14ac:dyDescent="0.5">
      <c r="A42" s="299"/>
    </row>
    <row r="43" spans="1:26" s="300" customFormat="1" ht="22.5" customHeight="1" x14ac:dyDescent="0.4">
      <c r="A43" s="305">
        <v>27</v>
      </c>
      <c r="B43" s="315" t="s">
        <v>590</v>
      </c>
      <c r="C43" s="314"/>
      <c r="D43" s="313"/>
      <c r="E43" s="312"/>
      <c r="F43" s="312">
        <f>C43</f>
        <v>0</v>
      </c>
      <c r="G43" s="312">
        <f t="shared" ref="G43:X43" si="5">F43</f>
        <v>0</v>
      </c>
      <c r="H43" s="312">
        <f t="shared" si="5"/>
        <v>0</v>
      </c>
      <c r="I43" s="312">
        <f t="shared" si="5"/>
        <v>0</v>
      </c>
      <c r="J43" s="312">
        <f t="shared" si="5"/>
        <v>0</v>
      </c>
      <c r="K43" s="312">
        <f t="shared" si="5"/>
        <v>0</v>
      </c>
      <c r="L43" s="312">
        <f t="shared" si="5"/>
        <v>0</v>
      </c>
      <c r="M43" s="312">
        <f t="shared" si="5"/>
        <v>0</v>
      </c>
      <c r="N43" s="312">
        <f t="shared" si="5"/>
        <v>0</v>
      </c>
      <c r="O43" s="312">
        <f t="shared" si="5"/>
        <v>0</v>
      </c>
      <c r="P43" s="312">
        <f t="shared" si="5"/>
        <v>0</v>
      </c>
      <c r="Q43" s="312">
        <f t="shared" si="5"/>
        <v>0</v>
      </c>
      <c r="R43" s="312">
        <f t="shared" si="5"/>
        <v>0</v>
      </c>
      <c r="S43" s="312">
        <f t="shared" si="5"/>
        <v>0</v>
      </c>
      <c r="T43" s="312">
        <f t="shared" si="5"/>
        <v>0</v>
      </c>
      <c r="U43" s="312">
        <f t="shared" si="5"/>
        <v>0</v>
      </c>
      <c r="V43" s="312">
        <f t="shared" si="5"/>
        <v>0</v>
      </c>
      <c r="W43" s="312">
        <f t="shared" si="5"/>
        <v>0</v>
      </c>
      <c r="X43" s="312">
        <f t="shared" si="5"/>
        <v>0</v>
      </c>
      <c r="Y43" s="307">
        <v>0</v>
      </c>
      <c r="Z43" s="306" t="s">
        <v>497</v>
      </c>
    </row>
    <row r="44" spans="1:26" s="300" customFormat="1" ht="22.5" customHeight="1" x14ac:dyDescent="0.4">
      <c r="A44" s="305">
        <v>28</v>
      </c>
      <c r="B44" s="311" t="s">
        <v>589</v>
      </c>
      <c r="C44" s="310">
        <v>30</v>
      </c>
      <c r="D44" s="309"/>
      <c r="E44" s="308"/>
      <c r="F44" s="308">
        <f>C44</f>
        <v>30</v>
      </c>
      <c r="G44" s="308">
        <f t="shared" ref="G44:X44" si="6">F44</f>
        <v>30</v>
      </c>
      <c r="H44" s="308">
        <f t="shared" si="6"/>
        <v>30</v>
      </c>
      <c r="I44" s="308">
        <f t="shared" si="6"/>
        <v>30</v>
      </c>
      <c r="J44" s="308">
        <f t="shared" si="6"/>
        <v>30</v>
      </c>
      <c r="K44" s="308">
        <f t="shared" si="6"/>
        <v>30</v>
      </c>
      <c r="L44" s="308">
        <f t="shared" si="6"/>
        <v>30</v>
      </c>
      <c r="M44" s="308">
        <f t="shared" si="6"/>
        <v>30</v>
      </c>
      <c r="N44" s="308">
        <f t="shared" si="6"/>
        <v>30</v>
      </c>
      <c r="O44" s="308">
        <f t="shared" si="6"/>
        <v>30</v>
      </c>
      <c r="P44" s="308">
        <f t="shared" si="6"/>
        <v>30</v>
      </c>
      <c r="Q44" s="308">
        <f t="shared" si="6"/>
        <v>30</v>
      </c>
      <c r="R44" s="308">
        <f t="shared" si="6"/>
        <v>30</v>
      </c>
      <c r="S44" s="308">
        <f t="shared" si="6"/>
        <v>30</v>
      </c>
      <c r="T44" s="308">
        <f t="shared" si="6"/>
        <v>30</v>
      </c>
      <c r="U44" s="308">
        <f t="shared" si="6"/>
        <v>30</v>
      </c>
      <c r="V44" s="308">
        <f t="shared" si="6"/>
        <v>30</v>
      </c>
      <c r="W44" s="308">
        <f t="shared" si="6"/>
        <v>30</v>
      </c>
      <c r="X44" s="308">
        <f t="shared" si="6"/>
        <v>30</v>
      </c>
    </row>
    <row r="45" spans="1:26" s="300" customFormat="1" ht="22.5" customHeight="1" x14ac:dyDescent="0.4">
      <c r="A45" s="305">
        <v>29</v>
      </c>
      <c r="B45" s="311" t="s">
        <v>588</v>
      </c>
      <c r="C45" s="310">
        <v>15</v>
      </c>
      <c r="D45" s="309"/>
      <c r="E45" s="308"/>
      <c r="F45" s="308">
        <f>C45</f>
        <v>15</v>
      </c>
      <c r="G45" s="308">
        <f t="shared" ref="G45:X45" si="7">F45</f>
        <v>15</v>
      </c>
      <c r="H45" s="308">
        <f t="shared" si="7"/>
        <v>15</v>
      </c>
      <c r="I45" s="308">
        <f t="shared" si="7"/>
        <v>15</v>
      </c>
      <c r="J45" s="308">
        <f t="shared" si="7"/>
        <v>15</v>
      </c>
      <c r="K45" s="308">
        <f t="shared" si="7"/>
        <v>15</v>
      </c>
      <c r="L45" s="308">
        <f t="shared" si="7"/>
        <v>15</v>
      </c>
      <c r="M45" s="308">
        <f t="shared" si="7"/>
        <v>15</v>
      </c>
      <c r="N45" s="308">
        <f t="shared" si="7"/>
        <v>15</v>
      </c>
      <c r="O45" s="308">
        <f t="shared" si="7"/>
        <v>15</v>
      </c>
      <c r="P45" s="308">
        <f t="shared" si="7"/>
        <v>15</v>
      </c>
      <c r="Q45" s="308">
        <f t="shared" si="7"/>
        <v>15</v>
      </c>
      <c r="R45" s="308">
        <f t="shared" si="7"/>
        <v>15</v>
      </c>
      <c r="S45" s="308">
        <f t="shared" si="7"/>
        <v>15</v>
      </c>
      <c r="T45" s="308">
        <f t="shared" si="7"/>
        <v>15</v>
      </c>
      <c r="U45" s="308">
        <f t="shared" si="7"/>
        <v>15</v>
      </c>
      <c r="V45" s="308">
        <f t="shared" si="7"/>
        <v>15</v>
      </c>
      <c r="W45" s="308">
        <f t="shared" si="7"/>
        <v>15</v>
      </c>
      <c r="X45" s="308">
        <f t="shared" si="7"/>
        <v>15</v>
      </c>
      <c r="Y45" s="307">
        <v>1</v>
      </c>
      <c r="Z45" s="306" t="s">
        <v>495</v>
      </c>
    </row>
    <row r="46" spans="1:26" s="300" customFormat="1" ht="22.5" customHeight="1" thickBot="1" x14ac:dyDescent="0.45">
      <c r="A46" s="305">
        <v>30</v>
      </c>
      <c r="B46" s="304" t="s">
        <v>587</v>
      </c>
      <c r="C46" s="303"/>
      <c r="D46" s="302"/>
      <c r="E46" s="301"/>
      <c r="F46" s="301">
        <f>C46</f>
        <v>0</v>
      </c>
      <c r="G46" s="301">
        <f t="shared" ref="G46:X46" si="8">F46</f>
        <v>0</v>
      </c>
      <c r="H46" s="301">
        <f t="shared" si="8"/>
        <v>0</v>
      </c>
      <c r="I46" s="301">
        <f t="shared" si="8"/>
        <v>0</v>
      </c>
      <c r="J46" s="301">
        <f t="shared" si="8"/>
        <v>0</v>
      </c>
      <c r="K46" s="301">
        <f t="shared" si="8"/>
        <v>0</v>
      </c>
      <c r="L46" s="301">
        <f t="shared" si="8"/>
        <v>0</v>
      </c>
      <c r="M46" s="301">
        <f t="shared" si="8"/>
        <v>0</v>
      </c>
      <c r="N46" s="301">
        <f t="shared" si="8"/>
        <v>0</v>
      </c>
      <c r="O46" s="301">
        <f t="shared" si="8"/>
        <v>0</v>
      </c>
      <c r="P46" s="301">
        <f t="shared" si="8"/>
        <v>0</v>
      </c>
      <c r="Q46" s="301">
        <f t="shared" si="8"/>
        <v>0</v>
      </c>
      <c r="R46" s="301">
        <f t="shared" si="8"/>
        <v>0</v>
      </c>
      <c r="S46" s="301">
        <f t="shared" si="8"/>
        <v>0</v>
      </c>
      <c r="T46" s="301">
        <f t="shared" si="8"/>
        <v>0</v>
      </c>
      <c r="U46" s="301">
        <f t="shared" si="8"/>
        <v>0</v>
      </c>
      <c r="V46" s="301">
        <f t="shared" si="8"/>
        <v>0</v>
      </c>
      <c r="W46" s="301">
        <f t="shared" si="8"/>
        <v>0</v>
      </c>
      <c r="X46" s="301">
        <f t="shared" si="8"/>
        <v>0</v>
      </c>
    </row>
    <row r="47" spans="1:26" ht="21.95" customHeight="1" x14ac:dyDescent="0.45">
      <c r="A47" s="299"/>
    </row>
    <row r="48" spans="1:26" ht="20.100000000000001" customHeight="1" x14ac:dyDescent="0.45">
      <c r="A48" s="297"/>
      <c r="B48" s="298" t="s">
        <v>586</v>
      </c>
    </row>
    <row r="49" spans="1:2" s="290" customFormat="1" ht="20.100000000000001" customHeight="1" x14ac:dyDescent="0.45">
      <c r="A49" s="297"/>
      <c r="B49" s="296"/>
    </row>
    <row r="50" spans="1:2" s="290" customFormat="1" ht="20.100000000000001" customHeight="1" x14ac:dyDescent="0.45">
      <c r="A50" s="297"/>
      <c r="B50" s="296"/>
    </row>
    <row r="51" spans="1:2" s="290" customFormat="1" ht="20.100000000000001" customHeight="1" x14ac:dyDescent="0.45">
      <c r="A51" s="297"/>
      <c r="B51" s="296"/>
    </row>
    <row r="52" spans="1:2" s="290" customFormat="1" ht="20.100000000000001" customHeight="1" x14ac:dyDescent="0.45">
      <c r="A52" s="297"/>
      <c r="B52" s="296"/>
    </row>
    <row r="53" spans="1:2" s="290" customFormat="1" ht="20.100000000000001" customHeight="1" x14ac:dyDescent="0.45">
      <c r="A53" s="295"/>
      <c r="B53" s="294"/>
    </row>
    <row r="54" spans="1:2" s="290" customFormat="1" ht="20.100000000000001" customHeight="1" x14ac:dyDescent="0.45">
      <c r="A54" s="295"/>
      <c r="B54" s="294"/>
    </row>
    <row r="55" spans="1:2" s="290" customFormat="1" ht="20.100000000000001" customHeight="1" x14ac:dyDescent="0.45">
      <c r="A55" s="295"/>
      <c r="B55" s="296"/>
    </row>
    <row r="56" spans="1:2" s="290" customFormat="1" ht="20.100000000000001" customHeight="1" x14ac:dyDescent="0.45">
      <c r="A56" s="295"/>
      <c r="B56" s="296"/>
    </row>
    <row r="57" spans="1:2" s="290" customFormat="1" ht="20.100000000000001" customHeight="1" x14ac:dyDescent="0.45">
      <c r="A57" s="295"/>
      <c r="B57" s="296"/>
    </row>
    <row r="58" spans="1:2" s="290" customFormat="1" ht="20.100000000000001" customHeight="1" x14ac:dyDescent="0.45">
      <c r="A58" s="295"/>
      <c r="B58" s="296"/>
    </row>
    <row r="59" spans="1:2" s="290" customFormat="1" ht="20.100000000000001" customHeight="1" x14ac:dyDescent="0.45">
      <c r="A59" s="295"/>
      <c r="B59" s="294"/>
    </row>
    <row r="60" spans="1:2" s="290" customFormat="1" ht="20.100000000000001" customHeight="1" x14ac:dyDescent="0.45">
      <c r="A60" s="295"/>
      <c r="B60" s="294"/>
    </row>
    <row r="61" spans="1:2" s="290" customFormat="1" ht="20.100000000000001" customHeight="1" x14ac:dyDescent="0.45">
      <c r="A61" s="295"/>
      <c r="B61" s="294"/>
    </row>
    <row r="62" spans="1:2" s="290" customFormat="1" ht="20.100000000000001" customHeight="1" x14ac:dyDescent="0.45">
      <c r="A62" s="295"/>
      <c r="B62" s="294"/>
    </row>
    <row r="63" spans="1:2" s="290" customFormat="1" ht="20.100000000000001" customHeight="1" x14ac:dyDescent="0.45">
      <c r="A63" s="295"/>
      <c r="B63" s="294"/>
    </row>
    <row r="64" spans="1:2" s="290" customFormat="1" ht="20.100000000000001" customHeight="1" x14ac:dyDescent="0.45">
      <c r="A64" s="295"/>
      <c r="B64" s="294"/>
    </row>
    <row r="65" spans="1:2" s="290" customFormat="1" ht="20.100000000000001" customHeight="1" x14ac:dyDescent="0.45">
      <c r="A65" s="295"/>
      <c r="B65" s="294"/>
    </row>
    <row r="66" spans="1:2" s="290" customFormat="1" ht="20.100000000000001" customHeight="1" x14ac:dyDescent="0.45">
      <c r="A66" s="295"/>
      <c r="B66" s="294"/>
    </row>
    <row r="67" spans="1:2" s="290" customFormat="1" ht="20.100000000000001" customHeight="1" x14ac:dyDescent="0.45">
      <c r="A67" s="295"/>
      <c r="B67" s="294"/>
    </row>
    <row r="68" spans="1:2" s="290" customFormat="1" ht="20.100000000000001" customHeight="1" x14ac:dyDescent="0.45">
      <c r="A68" s="295"/>
      <c r="B68" s="294"/>
    </row>
    <row r="69" spans="1:2" s="290" customFormat="1" ht="20.100000000000001" customHeight="1" x14ac:dyDescent="0.45">
      <c r="A69" s="295"/>
      <c r="B69" s="294"/>
    </row>
    <row r="70" spans="1:2" s="290" customFormat="1" ht="20.100000000000001" customHeight="1" x14ac:dyDescent="0.45">
      <c r="A70" s="295"/>
      <c r="B70" s="294"/>
    </row>
    <row r="71" spans="1:2" s="290" customFormat="1" ht="20.100000000000001" customHeight="1" x14ac:dyDescent="0.45">
      <c r="A71" s="295"/>
      <c r="B71" s="294"/>
    </row>
    <row r="72" spans="1:2" s="290" customFormat="1" ht="20.100000000000001" customHeight="1" x14ac:dyDescent="0.45">
      <c r="A72" s="295"/>
      <c r="B72" s="294"/>
    </row>
    <row r="73" spans="1:2" s="290" customFormat="1" ht="14.25" customHeight="1" x14ac:dyDescent="0.45">
      <c r="B73" s="291"/>
    </row>
    <row r="74" spans="1:2" s="290" customFormat="1" ht="14.25" customHeight="1" x14ac:dyDescent="0.45">
      <c r="B74" s="291"/>
    </row>
    <row r="75" spans="1:2" s="290" customFormat="1" ht="14.25" customHeight="1" x14ac:dyDescent="0.45">
      <c r="B75" s="291"/>
    </row>
    <row r="76" spans="1:2" s="290" customFormat="1" ht="14.25" customHeight="1" x14ac:dyDescent="0.45">
      <c r="B76" s="291"/>
    </row>
    <row r="77" spans="1:2" s="290" customFormat="1" ht="14.25" customHeight="1" x14ac:dyDescent="0.45">
      <c r="B77" s="291"/>
    </row>
    <row r="78" spans="1:2" s="290" customFormat="1" ht="14.25" customHeight="1" x14ac:dyDescent="0.45">
      <c r="B78" s="291"/>
    </row>
    <row r="79" spans="1:2" s="290" customFormat="1" ht="14.25" customHeight="1" x14ac:dyDescent="0.45">
      <c r="B79" s="291"/>
    </row>
    <row r="80" spans="1:2" s="290" customFormat="1" ht="14.25" customHeight="1" x14ac:dyDescent="0.45">
      <c r="B80" s="291"/>
    </row>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sheetData>
  <printOptions horizontalCentered="1"/>
  <pageMargins left="0.1" right="0.1" top="0.1" bottom="0.1" header="0.25" footer="0.25"/>
  <pageSetup paperSize="9" scale="63" orientation="landscape" horizontalDpi="300" verticalDpi="300" r:id="rId1"/>
  <headerFooter scaleWithDoc="0"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208"/>
  <sheetViews>
    <sheetView zoomScale="55" zoomScaleNormal="55" workbookViewId="0">
      <pane xSplit="3" ySplit="4" topLeftCell="D5" activePane="bottomRight" state="frozen"/>
      <selection pane="topRight" activeCell="D1" sqref="D1"/>
      <selection pane="bottomLeft" activeCell="A4" sqref="A4"/>
      <selection pane="bottomRight" activeCell="C40" sqref="C40"/>
    </sheetView>
  </sheetViews>
  <sheetFormatPr defaultColWidth="11.59765625" defaultRowHeight="15.4" x14ac:dyDescent="0.45"/>
  <cols>
    <col min="1" max="1" width="2.86328125" style="290" customWidth="1"/>
    <col min="2" max="2" width="20.86328125" style="291" customWidth="1"/>
    <col min="3" max="3" width="6.86328125" style="291" customWidth="1"/>
    <col min="4" max="6" width="10.73046875" style="291" customWidth="1"/>
    <col min="7" max="7" width="10.73046875" style="393" customWidth="1"/>
    <col min="8" max="12" width="10.73046875" style="291" customWidth="1"/>
    <col min="13" max="29" width="10.73046875" style="290" customWidth="1"/>
    <col min="30" max="16384" width="11.59765625" style="290"/>
  </cols>
  <sheetData>
    <row r="1" spans="2:29" ht="20.100000000000001" customHeight="1" x14ac:dyDescent="0.45">
      <c r="B1" s="463" t="str">
        <f>Rev!A1</f>
        <v>Ali Bin Ali Establishment, Manteq Project</v>
      </c>
      <c r="X1" s="467"/>
      <c r="Y1" s="467"/>
      <c r="Z1" s="467"/>
      <c r="AA1" s="467"/>
      <c r="AB1" s="467"/>
      <c r="AC1" s="467"/>
    </row>
    <row r="2" spans="2:29" ht="19.899999999999999" customHeight="1" x14ac:dyDescent="0.45">
      <c r="B2" s="463" t="s">
        <v>621</v>
      </c>
      <c r="C2" s="466"/>
      <c r="D2" s="466"/>
      <c r="E2" s="466"/>
      <c r="F2" s="466"/>
      <c r="G2" s="465"/>
      <c r="H2" s="463"/>
      <c r="X2" s="464" t="s">
        <v>620</v>
      </c>
      <c r="Y2" s="464"/>
      <c r="Z2" s="464"/>
      <c r="AA2" s="464"/>
      <c r="AB2" s="464"/>
      <c r="AC2" s="464" t="s">
        <v>620</v>
      </c>
    </row>
    <row r="3" spans="2:29" ht="20.100000000000001" customHeight="1" thickBot="1" x14ac:dyDescent="0.5">
      <c r="B3" s="463"/>
      <c r="C3" s="462" t="s">
        <v>609</v>
      </c>
      <c r="D3" s="461">
        <v>1</v>
      </c>
      <c r="E3" s="461">
        <v>2</v>
      </c>
      <c r="F3" s="461"/>
      <c r="G3" s="461">
        <v>3</v>
      </c>
      <c r="H3" s="461">
        <v>4</v>
      </c>
      <c r="I3" s="461">
        <v>5</v>
      </c>
      <c r="J3" s="461">
        <v>6</v>
      </c>
      <c r="K3" s="461">
        <v>7</v>
      </c>
      <c r="L3" s="461">
        <v>8</v>
      </c>
      <c r="M3" s="461">
        <v>9</v>
      </c>
      <c r="N3" s="461">
        <v>10</v>
      </c>
      <c r="O3" s="461">
        <v>11</v>
      </c>
      <c r="P3" s="461">
        <v>12</v>
      </c>
      <c r="Q3" s="461">
        <v>13</v>
      </c>
      <c r="R3" s="461">
        <v>14</v>
      </c>
      <c r="S3" s="461">
        <v>15</v>
      </c>
      <c r="T3" s="461">
        <v>16</v>
      </c>
      <c r="U3" s="461">
        <v>17</v>
      </c>
      <c r="V3" s="461">
        <v>18</v>
      </c>
      <c r="W3" s="461">
        <v>19</v>
      </c>
      <c r="X3" s="461">
        <v>20</v>
      </c>
      <c r="Y3" s="461">
        <v>21</v>
      </c>
      <c r="Z3" s="461">
        <v>22</v>
      </c>
      <c r="AA3" s="461">
        <v>23</v>
      </c>
      <c r="AB3" s="461">
        <v>24</v>
      </c>
      <c r="AC3" s="461">
        <v>25</v>
      </c>
    </row>
    <row r="4" spans="2:29" ht="20.100000000000001" customHeight="1" x14ac:dyDescent="0.45">
      <c r="B4" s="460" t="s">
        <v>619</v>
      </c>
      <c r="C4" s="459"/>
      <c r="D4" s="458" t="s">
        <v>576</v>
      </c>
      <c r="E4" s="458" t="s">
        <v>575</v>
      </c>
      <c r="F4" s="458" t="s">
        <v>577</v>
      </c>
      <c r="G4" s="458" t="s">
        <v>574</v>
      </c>
      <c r="H4" s="458" t="s">
        <v>573</v>
      </c>
      <c r="I4" s="458" t="s">
        <v>572</v>
      </c>
      <c r="J4" s="458" t="s">
        <v>571</v>
      </c>
      <c r="K4" s="458" t="s">
        <v>570</v>
      </c>
      <c r="L4" s="458" t="s">
        <v>569</v>
      </c>
      <c r="M4" s="458" t="s">
        <v>568</v>
      </c>
      <c r="N4" s="458" t="s">
        <v>567</v>
      </c>
      <c r="O4" s="458" t="s">
        <v>566</v>
      </c>
      <c r="P4" s="458" t="s">
        <v>565</v>
      </c>
      <c r="Q4" s="458" t="s">
        <v>564</v>
      </c>
      <c r="R4" s="458" t="s">
        <v>563</v>
      </c>
      <c r="S4" s="458" t="s">
        <v>562</v>
      </c>
      <c r="T4" s="458" t="s">
        <v>561</v>
      </c>
      <c r="U4" s="458" t="s">
        <v>560</v>
      </c>
      <c r="V4" s="458" t="s">
        <v>559</v>
      </c>
      <c r="W4" s="458" t="s">
        <v>558</v>
      </c>
      <c r="X4" s="458" t="s">
        <v>725</v>
      </c>
      <c r="Y4" s="458" t="s">
        <v>726</v>
      </c>
      <c r="Z4" s="458" t="s">
        <v>727</v>
      </c>
      <c r="AA4" s="458" t="s">
        <v>728</v>
      </c>
      <c r="AB4" s="458" t="s">
        <v>729</v>
      </c>
      <c r="AC4" s="458" t="s">
        <v>730</v>
      </c>
    </row>
    <row r="5" spans="2:29" ht="20.100000000000001" customHeight="1" x14ac:dyDescent="0.45">
      <c r="B5" s="443" t="str">
        <f>Capex_Funding!$C$7</f>
        <v>Building value added</v>
      </c>
      <c r="C5" s="438"/>
      <c r="D5" s="599">
        <f>SUMIF(Capex_Funding!$A$8:$A$307,D$3,Capex_Funding!$C$8:$C$307)</f>
        <v>452038.48685987509</v>
      </c>
      <c r="E5" s="599">
        <f>SUMIF(Capex_Funding!$A$8:$A$307,E$3,Capex_Funding!$C$8:$C$307)</f>
        <v>452038.48685987509</v>
      </c>
      <c r="F5" s="442">
        <f>D5+E5</f>
        <v>904076.97371975018</v>
      </c>
      <c r="G5" s="599">
        <f>SUMIF(Capex_Funding!$A$8:$A$307,G$3,Capex_Funding!$C$8:$C$307)</f>
        <v>0</v>
      </c>
      <c r="H5" s="599">
        <f>SUMIF(Capex_Funding!$A$8:$A$307,H$3,Capex_Funding!$C$8:$C$307)</f>
        <v>0</v>
      </c>
      <c r="I5" s="599">
        <f>SUMIF(Capex_Funding!$A$8:$A$307,I$3,Capex_Funding!$C$8:$C$307)</f>
        <v>0</v>
      </c>
      <c r="J5" s="599">
        <f>SUMIF(Capex_Funding!$A$8:$A$307,J$3,Capex_Funding!$C$8:$C$307)</f>
        <v>0</v>
      </c>
      <c r="K5" s="599">
        <f>SUMIF(Capex_Funding!$A$8:$A$307,K$3,Capex_Funding!$C$8:$C$307)</f>
        <v>0</v>
      </c>
      <c r="L5" s="599">
        <f>SUMIF(Capex_Funding!$A$8:$A$307,L$3,Capex_Funding!$C$8:$C$307)</f>
        <v>0</v>
      </c>
      <c r="M5" s="599">
        <f>SUMIF(Capex_Funding!$A$8:$A$307,M$3,Capex_Funding!$C$8:$C$307)</f>
        <v>0</v>
      </c>
      <c r="N5" s="599">
        <f>SUMIF(Capex_Funding!$A$8:$A$307,N$3,Capex_Funding!$C$8:$C$307)</f>
        <v>0</v>
      </c>
      <c r="O5" s="599">
        <f>SUMIF(Capex_Funding!$A$8:$A$307,O$3,Capex_Funding!$C$8:$C$307)</f>
        <v>0</v>
      </c>
      <c r="P5" s="599">
        <f>SUMIF(Capex_Funding!$A$8:$A$307,P$3,Capex_Funding!$C$8:$C$307)</f>
        <v>0</v>
      </c>
      <c r="Q5" s="599">
        <f>SUMIF(Capex_Funding!$A$8:$A$307,Q$3,Capex_Funding!$C$8:$C$307)</f>
        <v>0</v>
      </c>
      <c r="R5" s="599">
        <f>SUMIF(Capex_Funding!$A$8:$A$307,R$3,Capex_Funding!$C$8:$C$307)</f>
        <v>0</v>
      </c>
      <c r="S5" s="599">
        <f>SUMIF(Capex_Funding!$A$8:$A$307,S$3,Capex_Funding!$C$8:$C$307)</f>
        <v>0</v>
      </c>
      <c r="T5" s="599">
        <f>SUMIF(Capex_Funding!$A$8:$A$307,T$3,Capex_Funding!$C$8:$C$307)</f>
        <v>0</v>
      </c>
      <c r="U5" s="599">
        <f>SUMIF(Capex_Funding!$A$8:$A$307,U$3,Capex_Funding!$C$8:$C$307)</f>
        <v>0</v>
      </c>
      <c r="V5" s="599">
        <f>SUMIF(Capex_Funding!$A$8:$A$307,V$3,Capex_Funding!$C$8:$C$307)</f>
        <v>0</v>
      </c>
      <c r="W5" s="599">
        <f>SUMIF(Capex_Funding!$A$8:$A$307,W$3,Capex_Funding!$C$8:$C$307)</f>
        <v>0</v>
      </c>
      <c r="X5" s="601">
        <f>SUMIF(Capex_Funding!$A$8:$A$307,X$3,Capex_Funding!$C$8:$C$307)</f>
        <v>0</v>
      </c>
      <c r="Y5" s="601">
        <f>SUMIF(Capex_Funding!$A$8:$A$307,Y$3,Capex_Funding!$C$8:$C$307)</f>
        <v>0</v>
      </c>
      <c r="Z5" s="601">
        <f>SUMIF(Capex_Funding!$A$8:$A$307,Z$3,Capex_Funding!$C$8:$C$307)</f>
        <v>0</v>
      </c>
      <c r="AA5" s="601">
        <f>SUMIF(Capex_Funding!$A$8:$A$307,AA$3,Capex_Funding!$C$8:$C$307)</f>
        <v>0</v>
      </c>
      <c r="AB5" s="601">
        <f>SUMIF(Capex_Funding!$A$8:$A$307,AB$3,Capex_Funding!$C$8:$C$307)</f>
        <v>0</v>
      </c>
      <c r="AC5" s="601">
        <f>SUMIF(Capex_Funding!$A$8:$A$307,AC$3,Capex_Funding!$C$8:$C$307)</f>
        <v>0</v>
      </c>
    </row>
    <row r="6" spans="2:29" ht="20.100000000000001" customHeight="1" x14ac:dyDescent="0.45">
      <c r="B6" s="443" t="s">
        <v>618</v>
      </c>
      <c r="C6" s="438"/>
      <c r="D6" s="600">
        <f>-Rev!C36</f>
        <v>6131.7143933996877</v>
      </c>
      <c r="E6" s="600">
        <f>-Rev!D36</f>
        <v>6406.5903933996879</v>
      </c>
      <c r="F6" s="442">
        <f>D6+E6</f>
        <v>12538.304786799376</v>
      </c>
      <c r="G6" s="457"/>
      <c r="H6" s="457"/>
      <c r="I6" s="457"/>
      <c r="J6" s="457"/>
      <c r="K6" s="457"/>
      <c r="L6" s="457"/>
      <c r="M6" s="457"/>
      <c r="N6" s="457"/>
      <c r="O6" s="457"/>
      <c r="P6" s="457"/>
      <c r="Q6" s="457"/>
      <c r="R6" s="457"/>
      <c r="S6" s="457"/>
      <c r="T6" s="457"/>
      <c r="U6" s="457"/>
      <c r="V6" s="457"/>
      <c r="W6" s="457"/>
      <c r="X6" s="456"/>
      <c r="Y6" s="456"/>
      <c r="Z6" s="456"/>
      <c r="AA6" s="456"/>
      <c r="AB6" s="456"/>
      <c r="AC6" s="456"/>
    </row>
    <row r="7" spans="2:29" ht="20.100000000000001" customHeight="1" x14ac:dyDescent="0.45">
      <c r="B7" s="455" t="s">
        <v>617</v>
      </c>
      <c r="C7" s="438"/>
      <c r="D7" s="599">
        <f>SUMIF(Capex_Funding!$A$8:$A$307,D$3,Capex_Funding!$Q$8:$Q$307)</f>
        <v>16552.352822447567</v>
      </c>
      <c r="E7" s="599">
        <f>SUMIF(Capex_Funding!$A$8:$A$307,E$3,Capex_Funding!$Q$8:$Q$307)</f>
        <v>42016.236197385813</v>
      </c>
      <c r="F7" s="442">
        <f>D7+E7</f>
        <v>58568.58901983338</v>
      </c>
      <c r="G7" s="454"/>
      <c r="H7" s="454"/>
      <c r="I7" s="454"/>
      <c r="J7" s="454"/>
      <c r="K7" s="454"/>
      <c r="L7" s="454"/>
      <c r="M7" s="454"/>
      <c r="N7" s="454"/>
      <c r="O7" s="454"/>
      <c r="P7" s="454"/>
      <c r="Q7" s="454"/>
      <c r="R7" s="454"/>
      <c r="S7" s="454"/>
      <c r="T7" s="454"/>
      <c r="U7" s="454"/>
      <c r="V7" s="454"/>
      <c r="W7" s="454"/>
      <c r="X7" s="453"/>
      <c r="Y7" s="453"/>
      <c r="Z7" s="453"/>
      <c r="AA7" s="453"/>
      <c r="AB7" s="453"/>
      <c r="AC7" s="453"/>
    </row>
    <row r="8" spans="2:29" s="161" customFormat="1" ht="20.100000000000001" customHeight="1" x14ac:dyDescent="0.4">
      <c r="B8" s="452" t="str">
        <f>$B$47</f>
        <v>15 Yr Category</v>
      </c>
      <c r="C8" s="451"/>
      <c r="D8" s="448">
        <f t="shared" ref="D8:X8" si="0">SUM(D5:D7)</f>
        <v>474722.55407572235</v>
      </c>
      <c r="E8" s="448">
        <f t="shared" si="0"/>
        <v>500461.31345066061</v>
      </c>
      <c r="F8" s="449">
        <f t="shared" si="0"/>
        <v>975183.86752638291</v>
      </c>
      <c r="G8" s="448">
        <f t="shared" si="0"/>
        <v>0</v>
      </c>
      <c r="H8" s="448">
        <f t="shared" si="0"/>
        <v>0</v>
      </c>
      <c r="I8" s="448">
        <f t="shared" si="0"/>
        <v>0</v>
      </c>
      <c r="J8" s="448">
        <f t="shared" si="0"/>
        <v>0</v>
      </c>
      <c r="K8" s="448">
        <f t="shared" si="0"/>
        <v>0</v>
      </c>
      <c r="L8" s="448">
        <f t="shared" si="0"/>
        <v>0</v>
      </c>
      <c r="M8" s="448">
        <f t="shared" si="0"/>
        <v>0</v>
      </c>
      <c r="N8" s="448">
        <f t="shared" si="0"/>
        <v>0</v>
      </c>
      <c r="O8" s="448">
        <f t="shared" si="0"/>
        <v>0</v>
      </c>
      <c r="P8" s="448">
        <f t="shared" si="0"/>
        <v>0</v>
      </c>
      <c r="Q8" s="448">
        <f t="shared" si="0"/>
        <v>0</v>
      </c>
      <c r="R8" s="448">
        <f t="shared" si="0"/>
        <v>0</v>
      </c>
      <c r="S8" s="448">
        <f t="shared" si="0"/>
        <v>0</v>
      </c>
      <c r="T8" s="448">
        <f t="shared" si="0"/>
        <v>0</v>
      </c>
      <c r="U8" s="448">
        <f t="shared" si="0"/>
        <v>0</v>
      </c>
      <c r="V8" s="448">
        <f t="shared" si="0"/>
        <v>0</v>
      </c>
      <c r="W8" s="448">
        <f t="shared" si="0"/>
        <v>0</v>
      </c>
      <c r="X8" s="447">
        <f t="shared" si="0"/>
        <v>0</v>
      </c>
      <c r="Y8" s="447">
        <f t="shared" ref="Y8:AC8" si="1">SUM(Y5:Y7)</f>
        <v>0</v>
      </c>
      <c r="Z8" s="447">
        <f t="shared" si="1"/>
        <v>0</v>
      </c>
      <c r="AA8" s="447">
        <f t="shared" si="1"/>
        <v>0</v>
      </c>
      <c r="AB8" s="447">
        <f t="shared" si="1"/>
        <v>0</v>
      </c>
      <c r="AC8" s="447">
        <f t="shared" si="1"/>
        <v>0</v>
      </c>
    </row>
    <row r="9" spans="2:29" ht="20.100000000000001" customHeight="1" x14ac:dyDescent="0.45">
      <c r="B9" s="450" t="str">
        <f>Capex_Funding!$D$7</f>
        <v>Cooling Units</v>
      </c>
      <c r="C9" s="438"/>
      <c r="D9" s="599">
        <f>SUMIF(Capex_Funding!$A$8:$A$307,D$3,Capex_Funding!$D$8:$D$307)</f>
        <v>0</v>
      </c>
      <c r="E9" s="599">
        <f>SUMIF(Capex_Funding!$A$8:$A$307,E$3,Capex_Funding!$D$8:$D$307)</f>
        <v>0</v>
      </c>
      <c r="F9" s="442">
        <f>D9+E9</f>
        <v>0</v>
      </c>
      <c r="G9" s="599">
        <f>SUMIF(Capex_Funding!$A$8:$A$307,G$3,Capex_Funding!$D$8:$D$307)</f>
        <v>0</v>
      </c>
      <c r="H9" s="599">
        <f>SUMIF(Capex_Funding!$A$8:$A$307,H$3,Capex_Funding!$D$8:$D$307)</f>
        <v>0</v>
      </c>
      <c r="I9" s="599">
        <f>SUMIF(Capex_Funding!$A$8:$A$307,I$3,Capex_Funding!$D$8:$D$307)</f>
        <v>0</v>
      </c>
      <c r="J9" s="599">
        <f>SUMIF(Capex_Funding!$A$8:$A$307,J$3,Capex_Funding!$D$8:$D$307)</f>
        <v>0</v>
      </c>
      <c r="K9" s="599">
        <f>SUMIF(Capex_Funding!$A$8:$A$307,K$3,Capex_Funding!$D$8:$D$307)</f>
        <v>0</v>
      </c>
      <c r="L9" s="599">
        <f>SUMIF(Capex_Funding!$A$8:$A$307,L$3,Capex_Funding!$D$8:$D$307)</f>
        <v>0</v>
      </c>
      <c r="M9" s="599">
        <f>SUMIF(Capex_Funding!$A$8:$A$307,M$3,Capex_Funding!$D$8:$D$307)</f>
        <v>0</v>
      </c>
      <c r="N9" s="599">
        <f>SUMIF(Capex_Funding!$A$8:$A$307,N$3,Capex_Funding!$D$8:$D$307)</f>
        <v>0</v>
      </c>
      <c r="O9" s="599">
        <f>SUMIF(Capex_Funding!$A$8:$A$307,O$3,Capex_Funding!$D$8:$D$307)</f>
        <v>15000</v>
      </c>
      <c r="P9" s="599">
        <f>SUMIF(Capex_Funding!$A$8:$A$307,P$3,Capex_Funding!$D$8:$D$307)</f>
        <v>15000</v>
      </c>
      <c r="Q9" s="599">
        <f>SUMIF(Capex_Funding!$A$8:$A$307,Q$3,Capex_Funding!$D$8:$D$307)</f>
        <v>5000</v>
      </c>
      <c r="R9" s="599">
        <f>SUMIF(Capex_Funding!$A$8:$A$307,R$3,Capex_Funding!$D$8:$D$307)</f>
        <v>10000</v>
      </c>
      <c r="S9" s="599">
        <f>SUMIF(Capex_Funding!$A$8:$A$307,S$3,Capex_Funding!$D$8:$D$307)</f>
        <v>0</v>
      </c>
      <c r="T9" s="599">
        <f>SUMIF(Capex_Funding!$A$8:$A$307,T$3,Capex_Funding!$D$8:$D$307)</f>
        <v>26569.759999999998</v>
      </c>
      <c r="U9" s="599">
        <f>SUMIF(Capex_Funding!$A$8:$A$307,U$3,Capex_Funding!$D$8:$D$307)</f>
        <v>0</v>
      </c>
      <c r="V9" s="599">
        <f>SUMIF(Capex_Funding!$A$8:$A$307,V$3,Capex_Funding!$D$8:$D$307)</f>
        <v>0</v>
      </c>
      <c r="W9" s="599">
        <f>SUMIF(Capex_Funding!$A$8:$A$307,W$3,Capex_Funding!$D$8:$D$307)</f>
        <v>0</v>
      </c>
      <c r="X9" s="601">
        <f>SUMIF(Capex_Funding!$A$8:$A$307,X$3,Capex_Funding!$D$8:$D$307)</f>
        <v>0</v>
      </c>
      <c r="Y9" s="601">
        <f>SUMIF(Capex_Funding!$A$8:$A$307,Y$3,Capex_Funding!$D$8:$D$307)</f>
        <v>0</v>
      </c>
      <c r="Z9" s="601">
        <f>SUMIF(Capex_Funding!$A$8:$A$307,Z$3,Capex_Funding!$D$8:$D$307)</f>
        <v>0</v>
      </c>
      <c r="AA9" s="601">
        <f>SUMIF(Capex_Funding!$A$8:$A$307,AA$3,Capex_Funding!$D$8:$D$307)</f>
        <v>0</v>
      </c>
      <c r="AB9" s="601">
        <f>SUMIF(Capex_Funding!$A$8:$A$307,AB$3,Capex_Funding!$D$8:$D$307)</f>
        <v>0</v>
      </c>
      <c r="AC9" s="601">
        <f>SUMIF(Capex_Funding!$A$8:$A$307,AC$3,Capex_Funding!$D$8:$D$307)</f>
        <v>0</v>
      </c>
    </row>
    <row r="10" spans="2:29" ht="20.100000000000001" customHeight="1" x14ac:dyDescent="0.45">
      <c r="B10" s="450" t="str">
        <f>Capex_Funding!$E$7</f>
        <v>Firefighting Equipment</v>
      </c>
      <c r="C10" s="438"/>
      <c r="D10" s="599">
        <f>SUMIF(Capex_Funding!$A$8:$A$307,D$3,Capex_Funding!$E$8:$E$307)</f>
        <v>0</v>
      </c>
      <c r="E10" s="599">
        <f>SUMIF(Capex_Funding!$A$8:$A$307,E$3,Capex_Funding!$E$8:$E$307)</f>
        <v>0</v>
      </c>
      <c r="F10" s="442">
        <f>D10+E10</f>
        <v>0</v>
      </c>
      <c r="G10" s="599">
        <f>SUMIF(Capex_Funding!$A$8:$A$307,G$3,Capex_Funding!$E$8:$E$307)</f>
        <v>0</v>
      </c>
      <c r="H10" s="599">
        <f>SUMIF(Capex_Funding!$A$8:$A$307,H$3,Capex_Funding!$E$8:$E$307)</f>
        <v>0</v>
      </c>
      <c r="I10" s="599">
        <f>SUMIF(Capex_Funding!$A$8:$A$307,I$3,Capex_Funding!$E$8:$E$307)</f>
        <v>0</v>
      </c>
      <c r="J10" s="599">
        <f>SUMIF(Capex_Funding!$A$8:$A$307,J$3,Capex_Funding!$E$8:$E$307)</f>
        <v>10000</v>
      </c>
      <c r="K10" s="599">
        <f>SUMIF(Capex_Funding!$A$8:$A$307,K$3,Capex_Funding!$E$8:$E$307)</f>
        <v>0</v>
      </c>
      <c r="L10" s="599">
        <f>SUMIF(Capex_Funding!$A$8:$A$307,L$3,Capex_Funding!$E$8:$E$307)</f>
        <v>0</v>
      </c>
      <c r="M10" s="599">
        <f>SUMIF(Capex_Funding!$A$8:$A$307,M$3,Capex_Funding!$E$8:$E$307)</f>
        <v>0</v>
      </c>
      <c r="N10" s="599">
        <f>SUMIF(Capex_Funding!$A$8:$A$307,N$3,Capex_Funding!$E$8:$E$307)</f>
        <v>0</v>
      </c>
      <c r="O10" s="599">
        <f>SUMIF(Capex_Funding!$A$8:$A$307,O$3,Capex_Funding!$E$8:$E$307)</f>
        <v>10000</v>
      </c>
      <c r="P10" s="599">
        <f>SUMIF(Capex_Funding!$A$8:$A$307,P$3,Capex_Funding!$E$8:$E$307)</f>
        <v>0</v>
      </c>
      <c r="Q10" s="599">
        <f>SUMIF(Capex_Funding!$A$8:$A$307,Q$3,Capex_Funding!$E$8:$E$307)</f>
        <v>0</v>
      </c>
      <c r="R10" s="599">
        <f>SUMIF(Capex_Funding!$A$8:$A$307,R$3,Capex_Funding!$E$8:$E$307)</f>
        <v>0</v>
      </c>
      <c r="S10" s="599">
        <f>SUMIF(Capex_Funding!$A$8:$A$307,S$3,Capex_Funding!$E$8:$E$307)</f>
        <v>0</v>
      </c>
      <c r="T10" s="599">
        <f>SUMIF(Capex_Funding!$A$8:$A$307,T$3,Capex_Funding!$E$8:$E$307)</f>
        <v>10000</v>
      </c>
      <c r="U10" s="599">
        <f>SUMIF(Capex_Funding!$A$8:$A$307,U$3,Capex_Funding!$E$8:$E$307)</f>
        <v>0</v>
      </c>
      <c r="V10" s="599">
        <f>SUMIF(Capex_Funding!$A$8:$A$307,V$3,Capex_Funding!$E$8:$E$307)</f>
        <v>0</v>
      </c>
      <c r="W10" s="599">
        <f>SUMIF(Capex_Funding!$A$8:$A$307,W$3,Capex_Funding!$E$8:$E$307)</f>
        <v>0</v>
      </c>
      <c r="X10" s="601">
        <f>SUMIF(Capex_Funding!$A$8:$A$307,X$3,Capex_Funding!$E$8:$E$307)</f>
        <v>0</v>
      </c>
      <c r="Y10" s="601">
        <f>SUMIF(Capex_Funding!$A$8:$A$307,Y$3,Capex_Funding!$E$8:$E$307)</f>
        <v>0</v>
      </c>
      <c r="Z10" s="601">
        <f>SUMIF(Capex_Funding!$A$8:$A$307,Z$3,Capex_Funding!$E$8:$E$307)</f>
        <v>0</v>
      </c>
      <c r="AA10" s="601">
        <f>SUMIF(Capex_Funding!$A$8:$A$307,AA$3,Capex_Funding!$E$8:$E$307)</f>
        <v>0</v>
      </c>
      <c r="AB10" s="601">
        <f>SUMIF(Capex_Funding!$A$8:$A$307,AB$3,Capex_Funding!$E$8:$E$307)</f>
        <v>0</v>
      </c>
      <c r="AC10" s="601">
        <f>SUMIF(Capex_Funding!$A$8:$A$307,AC$3,Capex_Funding!$E$8:$E$307)</f>
        <v>0</v>
      </c>
    </row>
    <row r="11" spans="2:29" ht="20.100000000000001" customHeight="1" x14ac:dyDescent="0.45">
      <c r="B11" s="450" t="str">
        <f>Capex_Funding!$F$7</f>
        <v>Flooring and Dock Levelers</v>
      </c>
      <c r="C11" s="438"/>
      <c r="D11" s="599">
        <f>SUMIF(Capex_Funding!$A$8:$A$307,D$3,Capex_Funding!$F$8:$F$307)</f>
        <v>0</v>
      </c>
      <c r="E11" s="599">
        <f>SUMIF(Capex_Funding!$A$8:$A$307,E$3,Capex_Funding!$F$8:$F$307)</f>
        <v>0</v>
      </c>
      <c r="F11" s="442">
        <f>D11+E11</f>
        <v>0</v>
      </c>
      <c r="G11" s="599">
        <f>SUMIF(Capex_Funding!$A$8:$A$307,G$3,Capex_Funding!$F$8:$F$307)</f>
        <v>0</v>
      </c>
      <c r="H11" s="599">
        <f>SUMIF(Capex_Funding!$A$8:$A$307,H$3,Capex_Funding!$F$8:$F$307)</f>
        <v>0</v>
      </c>
      <c r="I11" s="599">
        <f>SUMIF(Capex_Funding!$A$8:$A$307,I$3,Capex_Funding!$F$8:$F$307)</f>
        <v>0</v>
      </c>
      <c r="J11" s="599">
        <f>SUMIF(Capex_Funding!$A$8:$A$307,J$3,Capex_Funding!$F$8:$F$307)</f>
        <v>10000</v>
      </c>
      <c r="K11" s="599">
        <f>SUMIF(Capex_Funding!$A$8:$A$307,K$3,Capex_Funding!$F$8:$F$307)</f>
        <v>0</v>
      </c>
      <c r="L11" s="599">
        <f>SUMIF(Capex_Funding!$A$8:$A$307,L$3,Capex_Funding!$F$8:$F$307)</f>
        <v>0</v>
      </c>
      <c r="M11" s="599">
        <f>SUMIF(Capex_Funding!$A$8:$A$307,M$3,Capex_Funding!$F$8:$F$307)</f>
        <v>0</v>
      </c>
      <c r="N11" s="599">
        <f>SUMIF(Capex_Funding!$A$8:$A$307,N$3,Capex_Funding!$F$8:$F$307)</f>
        <v>0</v>
      </c>
      <c r="O11" s="599">
        <f>SUMIF(Capex_Funding!$A$8:$A$307,O$3,Capex_Funding!$F$8:$F$307)</f>
        <v>10000</v>
      </c>
      <c r="P11" s="599">
        <f>SUMIF(Capex_Funding!$A$8:$A$307,P$3,Capex_Funding!$F$8:$F$307)</f>
        <v>0</v>
      </c>
      <c r="Q11" s="599">
        <f>SUMIF(Capex_Funding!$A$8:$A$307,Q$3,Capex_Funding!$F$8:$F$307)</f>
        <v>0</v>
      </c>
      <c r="R11" s="599">
        <f>SUMIF(Capex_Funding!$A$8:$A$307,R$3,Capex_Funding!$F$8:$F$307)</f>
        <v>0</v>
      </c>
      <c r="S11" s="599">
        <f>SUMIF(Capex_Funding!$A$8:$A$307,S$3,Capex_Funding!$F$8:$F$307)</f>
        <v>0</v>
      </c>
      <c r="T11" s="599">
        <f>SUMIF(Capex_Funding!$A$8:$A$307,T$3,Capex_Funding!$F$8:$F$307)</f>
        <v>10000</v>
      </c>
      <c r="U11" s="599">
        <f>SUMIF(Capex_Funding!$A$8:$A$307,U$3,Capex_Funding!$F$8:$F$307)</f>
        <v>0</v>
      </c>
      <c r="V11" s="599">
        <f>SUMIF(Capex_Funding!$A$8:$A$307,V$3,Capex_Funding!$F$8:$F$307)</f>
        <v>0</v>
      </c>
      <c r="W11" s="599">
        <f>SUMIF(Capex_Funding!$A$8:$A$307,W$3,Capex_Funding!$F$8:$F$307)</f>
        <v>0</v>
      </c>
      <c r="X11" s="601">
        <f>SUMIF(Capex_Funding!$A$8:$A$307,X$3,Capex_Funding!$F$8:$F$307)</f>
        <v>0</v>
      </c>
      <c r="Y11" s="601">
        <f>SUMIF(Capex_Funding!$A$8:$A$307,Y$3,Capex_Funding!$F$8:$F$307)</f>
        <v>0</v>
      </c>
      <c r="Z11" s="601">
        <f>SUMIF(Capex_Funding!$A$8:$A$307,Z$3,Capex_Funding!$F$8:$F$307)</f>
        <v>0</v>
      </c>
      <c r="AA11" s="601">
        <f>SUMIF(Capex_Funding!$A$8:$A$307,AA$3,Capex_Funding!$F$8:$F$307)</f>
        <v>0</v>
      </c>
      <c r="AB11" s="601">
        <f>SUMIF(Capex_Funding!$A$8:$A$307,AB$3,Capex_Funding!$F$8:$F$307)</f>
        <v>0</v>
      </c>
      <c r="AC11" s="601">
        <f>SUMIF(Capex_Funding!$A$8:$A$307,AC$3,Capex_Funding!$F$8:$F$307)</f>
        <v>0</v>
      </c>
    </row>
    <row r="12" spans="2:29" ht="20.100000000000001" customHeight="1" x14ac:dyDescent="0.45">
      <c r="B12" s="450" t="str">
        <f>Capex_Funding!$G$7</f>
        <v>Other</v>
      </c>
      <c r="C12" s="438"/>
      <c r="D12" s="599">
        <f>SUMIF(Capex_Funding!$A$8:$A$307,D$3,Capex_Funding!$G$8:$G$307)</f>
        <v>0</v>
      </c>
      <c r="E12" s="599">
        <f>SUMIF(Capex_Funding!$A$8:$A$307,E$3,Capex_Funding!$G$8:$G$307)</f>
        <v>0</v>
      </c>
      <c r="F12" s="442">
        <f>D12+E12</f>
        <v>0</v>
      </c>
      <c r="G12" s="599">
        <f>SUMIF(Capex_Funding!$A$8:$A$307,G$3,Capex_Funding!$G$8:$G$307)</f>
        <v>0</v>
      </c>
      <c r="H12" s="599">
        <f>SUMIF(Capex_Funding!$A$8:$A$307,H$3,Capex_Funding!$G$8:$G$307)</f>
        <v>0</v>
      </c>
      <c r="I12" s="599">
        <f>SUMIF(Capex_Funding!$A$8:$A$307,I$3,Capex_Funding!$G$8:$G$307)</f>
        <v>0</v>
      </c>
      <c r="J12" s="599">
        <f>SUMIF(Capex_Funding!$A$8:$A$307,J$3,Capex_Funding!$G$8:$G$307)</f>
        <v>0</v>
      </c>
      <c r="K12" s="599">
        <f>SUMIF(Capex_Funding!$A$8:$A$307,K$3,Capex_Funding!$G$8:$G$307)</f>
        <v>0</v>
      </c>
      <c r="L12" s="599">
        <f>SUMIF(Capex_Funding!$A$8:$A$307,L$3,Capex_Funding!$G$8:$G$307)</f>
        <v>0</v>
      </c>
      <c r="M12" s="599">
        <f>SUMIF(Capex_Funding!$A$8:$A$307,M$3,Capex_Funding!$G$8:$G$307)</f>
        <v>0</v>
      </c>
      <c r="N12" s="599">
        <f>SUMIF(Capex_Funding!$A$8:$A$307,N$3,Capex_Funding!$G$8:$G$307)</f>
        <v>0</v>
      </c>
      <c r="O12" s="599">
        <f>SUMIF(Capex_Funding!$A$8:$A$307,O$3,Capex_Funding!$G$8:$G$307)</f>
        <v>0</v>
      </c>
      <c r="P12" s="599">
        <f>SUMIF(Capex_Funding!$A$8:$A$307,P$3,Capex_Funding!$G$8:$G$307)</f>
        <v>0</v>
      </c>
      <c r="Q12" s="599">
        <f>SUMIF(Capex_Funding!$A$8:$A$307,Q$3,Capex_Funding!$G$8:$G$307)</f>
        <v>0</v>
      </c>
      <c r="R12" s="599">
        <f>SUMIF(Capex_Funding!$A$8:$A$307,R$3,Capex_Funding!$G$8:$G$307)</f>
        <v>0</v>
      </c>
      <c r="S12" s="599">
        <f>SUMIF(Capex_Funding!$A$8:$A$307,S$3,Capex_Funding!$G$8:$G$307)</f>
        <v>0</v>
      </c>
      <c r="T12" s="599">
        <f>SUMIF(Capex_Funding!$A$8:$A$307,T$3,Capex_Funding!$G$8:$G$307)</f>
        <v>0</v>
      </c>
      <c r="U12" s="599">
        <f>SUMIF(Capex_Funding!$A$8:$A$307,U$3,Capex_Funding!$G$8:$G$307)</f>
        <v>0</v>
      </c>
      <c r="V12" s="599">
        <f>SUMIF(Capex_Funding!$A$8:$A$307,V$3,Capex_Funding!$G$8:$G$307)</f>
        <v>0</v>
      </c>
      <c r="W12" s="599">
        <f>SUMIF(Capex_Funding!$A$8:$A$307,W$3,Capex_Funding!$G$8:$G$307)</f>
        <v>0</v>
      </c>
      <c r="X12" s="601">
        <f>SUMIF(Capex_Funding!$A$8:$A$307,X$3,Capex_Funding!$G$8:$G$307)</f>
        <v>0</v>
      </c>
      <c r="Y12" s="601">
        <f>SUMIF(Capex_Funding!$A$8:$A$307,Y$3,Capex_Funding!$G$8:$G$307)</f>
        <v>0</v>
      </c>
      <c r="Z12" s="601">
        <f>SUMIF(Capex_Funding!$A$8:$A$307,Z$3,Capex_Funding!$G$8:$G$307)</f>
        <v>0</v>
      </c>
      <c r="AA12" s="601">
        <f>SUMIF(Capex_Funding!$A$8:$A$307,AA$3,Capex_Funding!$G$8:$G$307)</f>
        <v>0</v>
      </c>
      <c r="AB12" s="601">
        <f>SUMIF(Capex_Funding!$A$8:$A$307,AB$3,Capex_Funding!$G$8:$G$307)</f>
        <v>0</v>
      </c>
      <c r="AC12" s="601">
        <f>SUMIF(Capex_Funding!$A$8:$A$307,AC$3,Capex_Funding!$G$8:$G$307)</f>
        <v>0</v>
      </c>
    </row>
    <row r="13" spans="2:29" ht="20.100000000000001" customHeight="1" x14ac:dyDescent="0.45">
      <c r="B13" s="439" t="str">
        <f>$B$48</f>
        <v>5 Yr Category</v>
      </c>
      <c r="C13" s="438"/>
      <c r="D13" s="448">
        <f t="shared" ref="D13:X13" si="2">SUM(D9:D12)</f>
        <v>0</v>
      </c>
      <c r="E13" s="448">
        <f t="shared" si="2"/>
        <v>0</v>
      </c>
      <c r="F13" s="449">
        <f t="shared" si="2"/>
        <v>0</v>
      </c>
      <c r="G13" s="448">
        <f t="shared" si="2"/>
        <v>0</v>
      </c>
      <c r="H13" s="448">
        <f t="shared" si="2"/>
        <v>0</v>
      </c>
      <c r="I13" s="448">
        <f t="shared" si="2"/>
        <v>0</v>
      </c>
      <c r="J13" s="448">
        <f t="shared" si="2"/>
        <v>20000</v>
      </c>
      <c r="K13" s="448">
        <f t="shared" si="2"/>
        <v>0</v>
      </c>
      <c r="L13" s="448">
        <f t="shared" si="2"/>
        <v>0</v>
      </c>
      <c r="M13" s="448">
        <f t="shared" si="2"/>
        <v>0</v>
      </c>
      <c r="N13" s="448">
        <f t="shared" si="2"/>
        <v>0</v>
      </c>
      <c r="O13" s="448">
        <f t="shared" si="2"/>
        <v>35000</v>
      </c>
      <c r="P13" s="448">
        <f t="shared" si="2"/>
        <v>15000</v>
      </c>
      <c r="Q13" s="448">
        <f t="shared" si="2"/>
        <v>5000</v>
      </c>
      <c r="R13" s="448">
        <f t="shared" si="2"/>
        <v>10000</v>
      </c>
      <c r="S13" s="448">
        <f t="shared" si="2"/>
        <v>0</v>
      </c>
      <c r="T13" s="448">
        <f t="shared" si="2"/>
        <v>46569.759999999995</v>
      </c>
      <c r="U13" s="448">
        <f t="shared" si="2"/>
        <v>0</v>
      </c>
      <c r="V13" s="448">
        <f t="shared" si="2"/>
        <v>0</v>
      </c>
      <c r="W13" s="448">
        <f t="shared" si="2"/>
        <v>0</v>
      </c>
      <c r="X13" s="447">
        <f t="shared" si="2"/>
        <v>0</v>
      </c>
      <c r="Y13" s="447">
        <f t="shared" ref="Y13:AC13" si="3">SUM(Y9:Y12)</f>
        <v>0</v>
      </c>
      <c r="Z13" s="447">
        <f t="shared" si="3"/>
        <v>0</v>
      </c>
      <c r="AA13" s="447">
        <f t="shared" si="3"/>
        <v>0</v>
      </c>
      <c r="AB13" s="447">
        <f t="shared" si="3"/>
        <v>0</v>
      </c>
      <c r="AC13" s="447">
        <f t="shared" si="3"/>
        <v>0</v>
      </c>
    </row>
    <row r="14" spans="2:29" ht="20.100000000000001" customHeight="1" x14ac:dyDescent="0.45">
      <c r="B14" s="443" t="s">
        <v>616</v>
      </c>
      <c r="C14" s="438"/>
      <c r="D14" s="441"/>
      <c r="E14" s="441"/>
      <c r="F14" s="442">
        <f>D14+E14</f>
        <v>0</v>
      </c>
      <c r="G14" s="445"/>
      <c r="H14" s="445"/>
      <c r="I14" s="445"/>
      <c r="J14" s="445"/>
      <c r="K14" s="441"/>
      <c r="L14" s="445"/>
      <c r="M14" s="445"/>
      <c r="N14" s="445"/>
      <c r="O14" s="445"/>
      <c r="P14" s="445"/>
      <c r="Q14" s="445"/>
      <c r="R14" s="445"/>
      <c r="S14" s="445"/>
      <c r="T14" s="445"/>
      <c r="U14" s="445"/>
      <c r="V14" s="445"/>
      <c r="W14" s="445"/>
      <c r="X14" s="444"/>
      <c r="Y14" s="444"/>
      <c r="Z14" s="444"/>
      <c r="AA14" s="444"/>
      <c r="AB14" s="444"/>
      <c r="AC14" s="444"/>
    </row>
    <row r="15" spans="2:29" ht="20.100000000000001" customHeight="1" x14ac:dyDescent="0.45">
      <c r="B15" s="443"/>
      <c r="C15" s="438"/>
      <c r="D15" s="441"/>
      <c r="E15" s="441"/>
      <c r="F15" s="442">
        <f>D15+E15</f>
        <v>0</v>
      </c>
      <c r="G15" s="441"/>
      <c r="H15" s="441"/>
      <c r="I15" s="441"/>
      <c r="J15" s="441"/>
      <c r="K15" s="441"/>
      <c r="L15" s="441"/>
      <c r="M15" s="441"/>
      <c r="N15" s="441"/>
      <c r="O15" s="441"/>
      <c r="P15" s="441"/>
      <c r="Q15" s="441"/>
      <c r="R15" s="441"/>
      <c r="S15" s="441"/>
      <c r="T15" s="441"/>
      <c r="U15" s="441"/>
      <c r="V15" s="441"/>
      <c r="W15" s="441"/>
      <c r="X15" s="440"/>
      <c r="Y15" s="440"/>
      <c r="Z15" s="440"/>
      <c r="AA15" s="440"/>
      <c r="AB15" s="440"/>
      <c r="AC15" s="440"/>
    </row>
    <row r="16" spans="2:29" ht="20.100000000000001" customHeight="1" x14ac:dyDescent="0.45">
      <c r="B16" s="439" t="str">
        <f>$B$49</f>
        <v>3 Yr Category</v>
      </c>
      <c r="C16" s="438"/>
      <c r="D16" s="448">
        <f t="shared" ref="D16:X16" si="4">SUM(D14:D15)</f>
        <v>0</v>
      </c>
      <c r="E16" s="448">
        <f t="shared" si="4"/>
        <v>0</v>
      </c>
      <c r="F16" s="449">
        <f t="shared" si="4"/>
        <v>0</v>
      </c>
      <c r="G16" s="448">
        <f t="shared" si="4"/>
        <v>0</v>
      </c>
      <c r="H16" s="448">
        <f t="shared" si="4"/>
        <v>0</v>
      </c>
      <c r="I16" s="448">
        <f t="shared" si="4"/>
        <v>0</v>
      </c>
      <c r="J16" s="448">
        <f t="shared" si="4"/>
        <v>0</v>
      </c>
      <c r="K16" s="448">
        <f t="shared" si="4"/>
        <v>0</v>
      </c>
      <c r="L16" s="448">
        <f t="shared" si="4"/>
        <v>0</v>
      </c>
      <c r="M16" s="448">
        <f t="shared" si="4"/>
        <v>0</v>
      </c>
      <c r="N16" s="448">
        <f t="shared" si="4"/>
        <v>0</v>
      </c>
      <c r="O16" s="448">
        <f t="shared" si="4"/>
        <v>0</v>
      </c>
      <c r="P16" s="448">
        <f t="shared" si="4"/>
        <v>0</v>
      </c>
      <c r="Q16" s="448">
        <f t="shared" si="4"/>
        <v>0</v>
      </c>
      <c r="R16" s="448">
        <f t="shared" si="4"/>
        <v>0</v>
      </c>
      <c r="S16" s="448">
        <f t="shared" si="4"/>
        <v>0</v>
      </c>
      <c r="T16" s="448">
        <f t="shared" si="4"/>
        <v>0</v>
      </c>
      <c r="U16" s="448">
        <f t="shared" si="4"/>
        <v>0</v>
      </c>
      <c r="V16" s="448">
        <f t="shared" si="4"/>
        <v>0</v>
      </c>
      <c r="W16" s="448">
        <f t="shared" si="4"/>
        <v>0</v>
      </c>
      <c r="X16" s="447">
        <f t="shared" si="4"/>
        <v>0</v>
      </c>
      <c r="Y16" s="447">
        <f t="shared" ref="Y16:AC16" si="5">SUM(Y14:Y15)</f>
        <v>0</v>
      </c>
      <c r="Z16" s="447">
        <f t="shared" si="5"/>
        <v>0</v>
      </c>
      <c r="AA16" s="447">
        <f t="shared" si="5"/>
        <v>0</v>
      </c>
      <c r="AB16" s="447">
        <f t="shared" si="5"/>
        <v>0</v>
      </c>
      <c r="AC16" s="447">
        <f t="shared" si="5"/>
        <v>0</v>
      </c>
    </row>
    <row r="17" spans="2:29" ht="20.100000000000001" customHeight="1" x14ac:dyDescent="0.45">
      <c r="B17" s="443" t="s">
        <v>615</v>
      </c>
      <c r="C17" s="438"/>
      <c r="D17" s="445"/>
      <c r="E17" s="445"/>
      <c r="F17" s="446">
        <f>D17+E17</f>
        <v>0</v>
      </c>
      <c r="G17" s="445"/>
      <c r="H17" s="445"/>
      <c r="I17" s="445"/>
      <c r="J17" s="445"/>
      <c r="K17" s="445"/>
      <c r="L17" s="445"/>
      <c r="M17" s="445"/>
      <c r="N17" s="445"/>
      <c r="O17" s="445"/>
      <c r="P17" s="445"/>
      <c r="Q17" s="445"/>
      <c r="R17" s="445"/>
      <c r="S17" s="445"/>
      <c r="T17" s="445"/>
      <c r="U17" s="445"/>
      <c r="V17" s="445"/>
      <c r="W17" s="445"/>
      <c r="X17" s="444"/>
      <c r="Y17" s="444"/>
      <c r="Z17" s="444"/>
      <c r="AA17" s="444"/>
      <c r="AB17" s="444"/>
      <c r="AC17" s="444"/>
    </row>
    <row r="18" spans="2:29" ht="20.100000000000001" customHeight="1" x14ac:dyDescent="0.45">
      <c r="B18" s="443"/>
      <c r="C18" s="438"/>
      <c r="D18" s="441"/>
      <c r="E18" s="441"/>
      <c r="F18" s="442">
        <f>D18+E18</f>
        <v>0</v>
      </c>
      <c r="G18" s="441"/>
      <c r="H18" s="441"/>
      <c r="I18" s="441"/>
      <c r="J18" s="441"/>
      <c r="K18" s="441"/>
      <c r="L18" s="441"/>
      <c r="M18" s="441"/>
      <c r="N18" s="441"/>
      <c r="O18" s="441"/>
      <c r="P18" s="441"/>
      <c r="Q18" s="441"/>
      <c r="R18" s="441"/>
      <c r="S18" s="441"/>
      <c r="T18" s="441"/>
      <c r="U18" s="441"/>
      <c r="V18" s="441"/>
      <c r="W18" s="441"/>
      <c r="X18" s="440"/>
      <c r="Y18" s="440"/>
      <c r="Z18" s="440"/>
      <c r="AA18" s="440"/>
      <c r="AB18" s="440"/>
      <c r="AC18" s="440"/>
    </row>
    <row r="19" spans="2:29" ht="20.100000000000001" customHeight="1" x14ac:dyDescent="0.45">
      <c r="B19" s="439" t="str">
        <f>$B$50</f>
        <v>0 Yr Category</v>
      </c>
      <c r="C19" s="438"/>
      <c r="D19" s="436">
        <f t="shared" ref="D19:X19" si="6">SUM(D17:D18)</f>
        <v>0</v>
      </c>
      <c r="E19" s="436">
        <f t="shared" si="6"/>
        <v>0</v>
      </c>
      <c r="F19" s="437">
        <f t="shared" si="6"/>
        <v>0</v>
      </c>
      <c r="G19" s="436">
        <f t="shared" si="6"/>
        <v>0</v>
      </c>
      <c r="H19" s="436">
        <f t="shared" si="6"/>
        <v>0</v>
      </c>
      <c r="I19" s="436">
        <f t="shared" si="6"/>
        <v>0</v>
      </c>
      <c r="J19" s="436">
        <f t="shared" si="6"/>
        <v>0</v>
      </c>
      <c r="K19" s="436">
        <f t="shared" si="6"/>
        <v>0</v>
      </c>
      <c r="L19" s="436">
        <f t="shared" si="6"/>
        <v>0</v>
      </c>
      <c r="M19" s="436">
        <f t="shared" si="6"/>
        <v>0</v>
      </c>
      <c r="N19" s="436">
        <f t="shared" si="6"/>
        <v>0</v>
      </c>
      <c r="O19" s="436">
        <f t="shared" si="6"/>
        <v>0</v>
      </c>
      <c r="P19" s="436">
        <f t="shared" si="6"/>
        <v>0</v>
      </c>
      <c r="Q19" s="436">
        <f t="shared" si="6"/>
        <v>0</v>
      </c>
      <c r="R19" s="436">
        <f t="shared" si="6"/>
        <v>0</v>
      </c>
      <c r="S19" s="436">
        <f t="shared" si="6"/>
        <v>0</v>
      </c>
      <c r="T19" s="436">
        <f t="shared" si="6"/>
        <v>0</v>
      </c>
      <c r="U19" s="436">
        <f t="shared" si="6"/>
        <v>0</v>
      </c>
      <c r="V19" s="436">
        <f t="shared" si="6"/>
        <v>0</v>
      </c>
      <c r="W19" s="436">
        <f t="shared" si="6"/>
        <v>0</v>
      </c>
      <c r="X19" s="435">
        <f t="shared" si="6"/>
        <v>0</v>
      </c>
      <c r="Y19" s="435">
        <f t="shared" ref="Y19:AC19" si="7">SUM(Y17:Y18)</f>
        <v>0</v>
      </c>
      <c r="Z19" s="435">
        <f t="shared" si="7"/>
        <v>0</v>
      </c>
      <c r="AA19" s="435">
        <f t="shared" si="7"/>
        <v>0</v>
      </c>
      <c r="AB19" s="435">
        <f t="shared" si="7"/>
        <v>0</v>
      </c>
      <c r="AC19" s="435">
        <f t="shared" si="7"/>
        <v>0</v>
      </c>
    </row>
    <row r="20" spans="2:29" ht="20.100000000000001" customHeight="1" thickBot="1" x14ac:dyDescent="0.5">
      <c r="B20" s="403" t="s">
        <v>379</v>
      </c>
      <c r="C20" s="434"/>
      <c r="D20" s="401">
        <f t="shared" ref="D20:X20" si="8">D8+D13+D16+D19</f>
        <v>474722.55407572235</v>
      </c>
      <c r="E20" s="401">
        <f t="shared" si="8"/>
        <v>500461.31345066061</v>
      </c>
      <c r="F20" s="433">
        <f t="shared" si="8"/>
        <v>975183.86752638291</v>
      </c>
      <c r="G20" s="401">
        <f t="shared" si="8"/>
        <v>0</v>
      </c>
      <c r="H20" s="401">
        <f t="shared" si="8"/>
        <v>0</v>
      </c>
      <c r="I20" s="401">
        <f t="shared" si="8"/>
        <v>0</v>
      </c>
      <c r="J20" s="401">
        <f t="shared" si="8"/>
        <v>20000</v>
      </c>
      <c r="K20" s="401">
        <f t="shared" si="8"/>
        <v>0</v>
      </c>
      <c r="L20" s="401">
        <f t="shared" si="8"/>
        <v>0</v>
      </c>
      <c r="M20" s="401">
        <f t="shared" si="8"/>
        <v>0</v>
      </c>
      <c r="N20" s="401">
        <f t="shared" si="8"/>
        <v>0</v>
      </c>
      <c r="O20" s="401">
        <f t="shared" si="8"/>
        <v>35000</v>
      </c>
      <c r="P20" s="401">
        <f t="shared" si="8"/>
        <v>15000</v>
      </c>
      <c r="Q20" s="401">
        <f t="shared" si="8"/>
        <v>5000</v>
      </c>
      <c r="R20" s="401">
        <f t="shared" si="8"/>
        <v>10000</v>
      </c>
      <c r="S20" s="401">
        <f t="shared" si="8"/>
        <v>0</v>
      </c>
      <c r="T20" s="401">
        <f t="shared" si="8"/>
        <v>46569.759999999995</v>
      </c>
      <c r="U20" s="401">
        <f t="shared" si="8"/>
        <v>0</v>
      </c>
      <c r="V20" s="401">
        <f t="shared" si="8"/>
        <v>0</v>
      </c>
      <c r="W20" s="401">
        <f t="shared" si="8"/>
        <v>0</v>
      </c>
      <c r="X20" s="400">
        <f t="shared" si="8"/>
        <v>0</v>
      </c>
      <c r="Y20" s="400">
        <f t="shared" ref="Y20:AC20" si="9">Y8+Y13+Y16+Y19</f>
        <v>0</v>
      </c>
      <c r="Z20" s="400">
        <f t="shared" si="9"/>
        <v>0</v>
      </c>
      <c r="AA20" s="400">
        <f t="shared" si="9"/>
        <v>0</v>
      </c>
      <c r="AB20" s="400">
        <f t="shared" si="9"/>
        <v>0</v>
      </c>
      <c r="AC20" s="400">
        <f t="shared" si="9"/>
        <v>0</v>
      </c>
    </row>
    <row r="21" spans="2:29" ht="20.100000000000001" customHeight="1" x14ac:dyDescent="0.45">
      <c r="B21" s="432" t="s">
        <v>614</v>
      </c>
      <c r="C21" s="431"/>
      <c r="D21" s="430"/>
      <c r="E21" s="430"/>
      <c r="F21" s="430"/>
      <c r="G21" s="429"/>
      <c r="H21" s="429"/>
      <c r="I21" s="429"/>
      <c r="J21" s="429"/>
      <c r="K21" s="429"/>
      <c r="L21" s="429"/>
      <c r="M21" s="429"/>
      <c r="N21" s="429"/>
      <c r="O21" s="429"/>
      <c r="P21" s="429"/>
      <c r="Q21" s="429"/>
      <c r="R21" s="429"/>
      <c r="S21" s="429"/>
      <c r="T21" s="429"/>
      <c r="U21" s="429"/>
      <c r="V21" s="429"/>
      <c r="W21" s="429"/>
      <c r="X21" s="428"/>
      <c r="Y21" s="428"/>
      <c r="Z21" s="428"/>
      <c r="AA21" s="428"/>
      <c r="AB21" s="428"/>
      <c r="AC21" s="428"/>
    </row>
    <row r="22" spans="2:29" ht="20.100000000000001" customHeight="1" x14ac:dyDescent="0.45">
      <c r="B22" s="415" t="str">
        <f>$B$47</f>
        <v>15 Yr Category</v>
      </c>
      <c r="C22" s="414"/>
      <c r="D22" s="413"/>
      <c r="E22" s="413"/>
      <c r="F22" s="413">
        <f>+F8</f>
        <v>975183.86752638291</v>
      </c>
      <c r="G22" s="413">
        <f t="shared" ref="G22:X22" si="10">+G8+F22</f>
        <v>975183.86752638291</v>
      </c>
      <c r="H22" s="413">
        <f t="shared" si="10"/>
        <v>975183.86752638291</v>
      </c>
      <c r="I22" s="413">
        <f t="shared" si="10"/>
        <v>975183.86752638291</v>
      </c>
      <c r="J22" s="413">
        <f t="shared" si="10"/>
        <v>975183.86752638291</v>
      </c>
      <c r="K22" s="413">
        <f t="shared" si="10"/>
        <v>975183.86752638291</v>
      </c>
      <c r="L22" s="413">
        <f t="shared" si="10"/>
        <v>975183.86752638291</v>
      </c>
      <c r="M22" s="413">
        <f t="shared" si="10"/>
        <v>975183.86752638291</v>
      </c>
      <c r="N22" s="413">
        <f t="shared" si="10"/>
        <v>975183.86752638291</v>
      </c>
      <c r="O22" s="413">
        <f t="shared" si="10"/>
        <v>975183.86752638291</v>
      </c>
      <c r="P22" s="413">
        <f t="shared" si="10"/>
        <v>975183.86752638291</v>
      </c>
      <c r="Q22" s="413">
        <f t="shared" si="10"/>
        <v>975183.86752638291</v>
      </c>
      <c r="R22" s="413">
        <f t="shared" si="10"/>
        <v>975183.86752638291</v>
      </c>
      <c r="S22" s="413">
        <f t="shared" si="10"/>
        <v>975183.86752638291</v>
      </c>
      <c r="T22" s="413">
        <f t="shared" si="10"/>
        <v>975183.86752638291</v>
      </c>
      <c r="U22" s="413">
        <f t="shared" si="10"/>
        <v>975183.86752638291</v>
      </c>
      <c r="V22" s="413">
        <f t="shared" si="10"/>
        <v>975183.86752638291</v>
      </c>
      <c r="W22" s="413">
        <f t="shared" si="10"/>
        <v>975183.86752638291</v>
      </c>
      <c r="X22" s="412">
        <f t="shared" si="10"/>
        <v>975183.86752638291</v>
      </c>
      <c r="Y22" s="412">
        <f t="shared" ref="Y22" si="11">+Y8+X22</f>
        <v>975183.86752638291</v>
      </c>
      <c r="Z22" s="412">
        <f t="shared" ref="Z22" si="12">+Z8+Y22</f>
        <v>975183.86752638291</v>
      </c>
      <c r="AA22" s="412">
        <f t="shared" ref="AA22" si="13">+AA8+Z22</f>
        <v>975183.86752638291</v>
      </c>
      <c r="AB22" s="412">
        <f t="shared" ref="AB22" si="14">+AB8+AA22</f>
        <v>975183.86752638291</v>
      </c>
      <c r="AC22" s="412">
        <f t="shared" ref="AC22" si="15">+AC8+AB22</f>
        <v>975183.86752638291</v>
      </c>
    </row>
    <row r="23" spans="2:29" ht="20.100000000000001" customHeight="1" x14ac:dyDescent="0.45">
      <c r="B23" s="411" t="str">
        <f>$B$48</f>
        <v>5 Yr Category</v>
      </c>
      <c r="C23" s="410"/>
      <c r="D23" s="409"/>
      <c r="E23" s="409"/>
      <c r="F23" s="409">
        <f>+F13</f>
        <v>0</v>
      </c>
      <c r="G23" s="409">
        <f t="shared" ref="G23:X23" si="16">+G13+F23</f>
        <v>0</v>
      </c>
      <c r="H23" s="409">
        <f t="shared" si="16"/>
        <v>0</v>
      </c>
      <c r="I23" s="409">
        <f t="shared" si="16"/>
        <v>0</v>
      </c>
      <c r="J23" s="409">
        <f t="shared" si="16"/>
        <v>20000</v>
      </c>
      <c r="K23" s="409">
        <f t="shared" si="16"/>
        <v>20000</v>
      </c>
      <c r="L23" s="409">
        <f t="shared" si="16"/>
        <v>20000</v>
      </c>
      <c r="M23" s="409">
        <f t="shared" si="16"/>
        <v>20000</v>
      </c>
      <c r="N23" s="409">
        <f t="shared" si="16"/>
        <v>20000</v>
      </c>
      <c r="O23" s="409">
        <f t="shared" si="16"/>
        <v>55000</v>
      </c>
      <c r="P23" s="409">
        <f t="shared" si="16"/>
        <v>70000</v>
      </c>
      <c r="Q23" s="409">
        <f t="shared" si="16"/>
        <v>75000</v>
      </c>
      <c r="R23" s="409">
        <f t="shared" si="16"/>
        <v>85000</v>
      </c>
      <c r="S23" s="409">
        <f t="shared" si="16"/>
        <v>85000</v>
      </c>
      <c r="T23" s="409">
        <f t="shared" si="16"/>
        <v>131569.76</v>
      </c>
      <c r="U23" s="409">
        <f t="shared" si="16"/>
        <v>131569.76</v>
      </c>
      <c r="V23" s="409">
        <f t="shared" si="16"/>
        <v>131569.76</v>
      </c>
      <c r="W23" s="409">
        <f t="shared" si="16"/>
        <v>131569.76</v>
      </c>
      <c r="X23" s="408">
        <f t="shared" si="16"/>
        <v>131569.76</v>
      </c>
      <c r="Y23" s="408">
        <f t="shared" ref="Y23" si="17">+Y13+X23</f>
        <v>131569.76</v>
      </c>
      <c r="Z23" s="408">
        <f t="shared" ref="Z23" si="18">+Z13+Y23</f>
        <v>131569.76</v>
      </c>
      <c r="AA23" s="408">
        <f t="shared" ref="AA23" si="19">+AA13+Z23</f>
        <v>131569.76</v>
      </c>
      <c r="AB23" s="408">
        <f t="shared" ref="AB23" si="20">+AB13+AA23</f>
        <v>131569.76</v>
      </c>
      <c r="AC23" s="408">
        <f t="shared" ref="AC23" si="21">+AC13+AB23</f>
        <v>131569.76</v>
      </c>
    </row>
    <row r="24" spans="2:29" ht="20.100000000000001" customHeight="1" x14ac:dyDescent="0.45">
      <c r="B24" s="411" t="str">
        <f>$B$49</f>
        <v>3 Yr Category</v>
      </c>
      <c r="C24" s="410"/>
      <c r="D24" s="409"/>
      <c r="E24" s="409"/>
      <c r="F24" s="409">
        <f>+F16</f>
        <v>0</v>
      </c>
      <c r="G24" s="409">
        <f t="shared" ref="G24:X24" si="22">+G16+F24</f>
        <v>0</v>
      </c>
      <c r="H24" s="409">
        <f t="shared" si="22"/>
        <v>0</v>
      </c>
      <c r="I24" s="409">
        <f t="shared" si="22"/>
        <v>0</v>
      </c>
      <c r="J24" s="409">
        <f t="shared" si="22"/>
        <v>0</v>
      </c>
      <c r="K24" s="409">
        <f t="shared" si="22"/>
        <v>0</v>
      </c>
      <c r="L24" s="409">
        <f t="shared" si="22"/>
        <v>0</v>
      </c>
      <c r="M24" s="409">
        <f t="shared" si="22"/>
        <v>0</v>
      </c>
      <c r="N24" s="409">
        <f t="shared" si="22"/>
        <v>0</v>
      </c>
      <c r="O24" s="409">
        <f t="shared" si="22"/>
        <v>0</v>
      </c>
      <c r="P24" s="409">
        <f t="shared" si="22"/>
        <v>0</v>
      </c>
      <c r="Q24" s="409">
        <f t="shared" si="22"/>
        <v>0</v>
      </c>
      <c r="R24" s="409">
        <f t="shared" si="22"/>
        <v>0</v>
      </c>
      <c r="S24" s="409">
        <f t="shared" si="22"/>
        <v>0</v>
      </c>
      <c r="T24" s="409">
        <f t="shared" si="22"/>
        <v>0</v>
      </c>
      <c r="U24" s="409">
        <f t="shared" si="22"/>
        <v>0</v>
      </c>
      <c r="V24" s="409">
        <f t="shared" si="22"/>
        <v>0</v>
      </c>
      <c r="W24" s="409">
        <f t="shared" si="22"/>
        <v>0</v>
      </c>
      <c r="X24" s="408">
        <f t="shared" si="22"/>
        <v>0</v>
      </c>
      <c r="Y24" s="408">
        <f t="shared" ref="Y24" si="23">+Y16+X24</f>
        <v>0</v>
      </c>
      <c r="Z24" s="408">
        <f t="shared" ref="Z24" si="24">+Z16+Y24</f>
        <v>0</v>
      </c>
      <c r="AA24" s="408">
        <f t="shared" ref="AA24" si="25">+AA16+Z24</f>
        <v>0</v>
      </c>
      <c r="AB24" s="408">
        <f t="shared" ref="AB24" si="26">+AB16+AA24</f>
        <v>0</v>
      </c>
      <c r="AC24" s="408">
        <f t="shared" ref="AC24" si="27">+AC16+AB24</f>
        <v>0</v>
      </c>
    </row>
    <row r="25" spans="2:29" ht="20.100000000000001" customHeight="1" x14ac:dyDescent="0.45">
      <c r="B25" s="407" t="str">
        <f>$B$50</f>
        <v>0 Yr Category</v>
      </c>
      <c r="C25" s="406"/>
      <c r="D25" s="405"/>
      <c r="E25" s="405"/>
      <c r="F25" s="405">
        <f>+F19</f>
        <v>0</v>
      </c>
      <c r="G25" s="405">
        <f t="shared" ref="G25:X25" si="28">+G19+F25</f>
        <v>0</v>
      </c>
      <c r="H25" s="405">
        <f t="shared" si="28"/>
        <v>0</v>
      </c>
      <c r="I25" s="405">
        <f t="shared" si="28"/>
        <v>0</v>
      </c>
      <c r="J25" s="405">
        <f t="shared" si="28"/>
        <v>0</v>
      </c>
      <c r="K25" s="405">
        <f t="shared" si="28"/>
        <v>0</v>
      </c>
      <c r="L25" s="405">
        <f t="shared" si="28"/>
        <v>0</v>
      </c>
      <c r="M25" s="405">
        <f t="shared" si="28"/>
        <v>0</v>
      </c>
      <c r="N25" s="405">
        <f t="shared" si="28"/>
        <v>0</v>
      </c>
      <c r="O25" s="405">
        <f t="shared" si="28"/>
        <v>0</v>
      </c>
      <c r="P25" s="405">
        <f t="shared" si="28"/>
        <v>0</v>
      </c>
      <c r="Q25" s="405">
        <f t="shared" si="28"/>
        <v>0</v>
      </c>
      <c r="R25" s="405">
        <f t="shared" si="28"/>
        <v>0</v>
      </c>
      <c r="S25" s="405">
        <f t="shared" si="28"/>
        <v>0</v>
      </c>
      <c r="T25" s="405">
        <f t="shared" si="28"/>
        <v>0</v>
      </c>
      <c r="U25" s="405">
        <f t="shared" si="28"/>
        <v>0</v>
      </c>
      <c r="V25" s="405">
        <f t="shared" si="28"/>
        <v>0</v>
      </c>
      <c r="W25" s="405">
        <f t="shared" si="28"/>
        <v>0</v>
      </c>
      <c r="X25" s="404">
        <f t="shared" si="28"/>
        <v>0</v>
      </c>
      <c r="Y25" s="404">
        <f t="shared" ref="Y25" si="29">+Y19+X25</f>
        <v>0</v>
      </c>
      <c r="Z25" s="404">
        <f t="shared" ref="Z25" si="30">+Z19+Y25</f>
        <v>0</v>
      </c>
      <c r="AA25" s="404">
        <f t="shared" ref="AA25" si="31">+AA19+Z25</f>
        <v>0</v>
      </c>
      <c r="AB25" s="404">
        <f t="shared" ref="AB25" si="32">+AB19+AA25</f>
        <v>0</v>
      </c>
      <c r="AC25" s="404">
        <f t="shared" ref="AC25" si="33">+AC19+AB25</f>
        <v>0</v>
      </c>
    </row>
    <row r="26" spans="2:29" ht="20.100000000000001" customHeight="1" thickBot="1" x14ac:dyDescent="0.5">
      <c r="B26" s="403" t="s">
        <v>379</v>
      </c>
      <c r="C26" s="402"/>
      <c r="D26" s="401"/>
      <c r="E26" s="401"/>
      <c r="F26" s="401">
        <f t="shared" ref="F26:X26" si="34">SUM(F22:F25)</f>
        <v>975183.86752638291</v>
      </c>
      <c r="G26" s="401">
        <f t="shared" si="34"/>
        <v>975183.86752638291</v>
      </c>
      <c r="H26" s="401">
        <f t="shared" si="34"/>
        <v>975183.86752638291</v>
      </c>
      <c r="I26" s="401">
        <f t="shared" si="34"/>
        <v>975183.86752638291</v>
      </c>
      <c r="J26" s="401">
        <f t="shared" si="34"/>
        <v>995183.86752638291</v>
      </c>
      <c r="K26" s="401">
        <f t="shared" si="34"/>
        <v>995183.86752638291</v>
      </c>
      <c r="L26" s="401">
        <f t="shared" si="34"/>
        <v>995183.86752638291</v>
      </c>
      <c r="M26" s="401">
        <f t="shared" si="34"/>
        <v>995183.86752638291</v>
      </c>
      <c r="N26" s="401">
        <f t="shared" si="34"/>
        <v>995183.86752638291</v>
      </c>
      <c r="O26" s="401">
        <f t="shared" si="34"/>
        <v>1030183.8675263829</v>
      </c>
      <c r="P26" s="401">
        <f t="shared" si="34"/>
        <v>1045183.8675263829</v>
      </c>
      <c r="Q26" s="401">
        <f t="shared" si="34"/>
        <v>1050183.8675263829</v>
      </c>
      <c r="R26" s="401">
        <f t="shared" si="34"/>
        <v>1060183.8675263829</v>
      </c>
      <c r="S26" s="401">
        <f t="shared" si="34"/>
        <v>1060183.8675263829</v>
      </c>
      <c r="T26" s="401">
        <f t="shared" si="34"/>
        <v>1106753.6275263829</v>
      </c>
      <c r="U26" s="401">
        <f t="shared" si="34"/>
        <v>1106753.6275263829</v>
      </c>
      <c r="V26" s="401">
        <f t="shared" si="34"/>
        <v>1106753.6275263829</v>
      </c>
      <c r="W26" s="401">
        <f t="shared" si="34"/>
        <v>1106753.6275263829</v>
      </c>
      <c r="X26" s="400">
        <f t="shared" si="34"/>
        <v>1106753.6275263829</v>
      </c>
      <c r="Y26" s="400">
        <f t="shared" ref="Y26:AC26" si="35">SUM(Y22:Y25)</f>
        <v>1106753.6275263829</v>
      </c>
      <c r="Z26" s="400">
        <f t="shared" si="35"/>
        <v>1106753.6275263829</v>
      </c>
      <c r="AA26" s="400">
        <f t="shared" si="35"/>
        <v>1106753.6275263829</v>
      </c>
      <c r="AB26" s="400">
        <f t="shared" si="35"/>
        <v>1106753.6275263829</v>
      </c>
      <c r="AC26" s="400">
        <f t="shared" si="35"/>
        <v>1106753.6275263829</v>
      </c>
    </row>
    <row r="27" spans="2:29" ht="20.100000000000001" customHeight="1" x14ac:dyDescent="0.45">
      <c r="B27" s="420" t="s">
        <v>613</v>
      </c>
      <c r="C27" s="419"/>
      <c r="D27" s="418"/>
      <c r="E27" s="418"/>
      <c r="F27" s="418"/>
      <c r="G27" s="417"/>
      <c r="H27" s="417"/>
      <c r="I27" s="417"/>
      <c r="J27" s="417"/>
      <c r="K27" s="417"/>
      <c r="L27" s="417"/>
      <c r="M27" s="417"/>
      <c r="N27" s="417"/>
      <c r="O27" s="417"/>
      <c r="P27" s="417"/>
      <c r="Q27" s="417"/>
      <c r="R27" s="417"/>
      <c r="S27" s="417"/>
      <c r="T27" s="417"/>
      <c r="U27" s="417"/>
      <c r="V27" s="417"/>
      <c r="W27" s="417"/>
      <c r="X27" s="416"/>
      <c r="Y27" s="416"/>
      <c r="Z27" s="416"/>
      <c r="AA27" s="416"/>
      <c r="AB27" s="416"/>
      <c r="AC27" s="416"/>
    </row>
    <row r="28" spans="2:29" ht="20.100000000000001" customHeight="1" x14ac:dyDescent="0.45">
      <c r="B28" s="415" t="str">
        <f>$B$47</f>
        <v>15 Yr Category</v>
      </c>
      <c r="C28" s="414"/>
      <c r="D28" s="413"/>
      <c r="E28" s="413"/>
      <c r="F28" s="413">
        <f t="shared" ref="F28:X28" si="36">+F22+F40</f>
        <v>975183.86752638291</v>
      </c>
      <c r="G28" s="413">
        <f t="shared" si="36"/>
        <v>910171.60969129077</v>
      </c>
      <c r="H28" s="413">
        <f t="shared" si="36"/>
        <v>845159.35185619851</v>
      </c>
      <c r="I28" s="413">
        <f t="shared" si="36"/>
        <v>780147.09402110637</v>
      </c>
      <c r="J28" s="413">
        <f t="shared" si="36"/>
        <v>715134.83618601412</v>
      </c>
      <c r="K28" s="413">
        <f t="shared" si="36"/>
        <v>650122.57835092198</v>
      </c>
      <c r="L28" s="413">
        <f t="shared" si="36"/>
        <v>585110.32051582984</v>
      </c>
      <c r="M28" s="413">
        <f t="shared" si="36"/>
        <v>520098.06268073758</v>
      </c>
      <c r="N28" s="413">
        <f t="shared" si="36"/>
        <v>455085.80484564538</v>
      </c>
      <c r="O28" s="413">
        <f t="shared" si="36"/>
        <v>390073.54701055319</v>
      </c>
      <c r="P28" s="413">
        <f t="shared" si="36"/>
        <v>325061.28917546105</v>
      </c>
      <c r="Q28" s="413">
        <f t="shared" si="36"/>
        <v>260049.03134036891</v>
      </c>
      <c r="R28" s="413">
        <f t="shared" si="36"/>
        <v>195036.77350527677</v>
      </c>
      <c r="S28" s="413">
        <f t="shared" si="36"/>
        <v>130024.51567018463</v>
      </c>
      <c r="T28" s="413">
        <f t="shared" si="36"/>
        <v>65012.257835092489</v>
      </c>
      <c r="U28" s="413">
        <f t="shared" si="36"/>
        <v>0</v>
      </c>
      <c r="V28" s="413">
        <f t="shared" si="36"/>
        <v>0</v>
      </c>
      <c r="W28" s="413">
        <f t="shared" si="36"/>
        <v>0</v>
      </c>
      <c r="X28" s="412">
        <f t="shared" si="36"/>
        <v>0</v>
      </c>
      <c r="Y28" s="412">
        <f t="shared" ref="Y28:AC28" si="37">+Y22+Y40</f>
        <v>0</v>
      </c>
      <c r="Z28" s="412">
        <f t="shared" si="37"/>
        <v>0</v>
      </c>
      <c r="AA28" s="412">
        <f t="shared" si="37"/>
        <v>0</v>
      </c>
      <c r="AB28" s="412">
        <f t="shared" si="37"/>
        <v>0</v>
      </c>
      <c r="AC28" s="412">
        <f t="shared" si="37"/>
        <v>0</v>
      </c>
    </row>
    <row r="29" spans="2:29" ht="20.100000000000001" customHeight="1" x14ac:dyDescent="0.45">
      <c r="B29" s="411" t="str">
        <f>$B$48</f>
        <v>5 Yr Category</v>
      </c>
      <c r="C29" s="410"/>
      <c r="D29" s="409"/>
      <c r="E29" s="409"/>
      <c r="F29" s="409">
        <f t="shared" ref="F29:X29" si="38">+F23+F41</f>
        <v>0</v>
      </c>
      <c r="G29" s="409">
        <f t="shared" si="38"/>
        <v>0</v>
      </c>
      <c r="H29" s="409">
        <f t="shared" si="38"/>
        <v>0</v>
      </c>
      <c r="I29" s="409">
        <f t="shared" si="38"/>
        <v>0</v>
      </c>
      <c r="J29" s="409">
        <f t="shared" si="38"/>
        <v>16000</v>
      </c>
      <c r="K29" s="409">
        <f t="shared" si="38"/>
        <v>12000</v>
      </c>
      <c r="L29" s="409">
        <f t="shared" si="38"/>
        <v>8000</v>
      </c>
      <c r="M29" s="409">
        <f t="shared" si="38"/>
        <v>4000</v>
      </c>
      <c r="N29" s="409">
        <f t="shared" si="38"/>
        <v>0</v>
      </c>
      <c r="O29" s="409">
        <f t="shared" si="38"/>
        <v>28000</v>
      </c>
      <c r="P29" s="409">
        <f t="shared" si="38"/>
        <v>33000</v>
      </c>
      <c r="Q29" s="409">
        <f t="shared" si="38"/>
        <v>27000</v>
      </c>
      <c r="R29" s="409">
        <f t="shared" si="38"/>
        <v>24000</v>
      </c>
      <c r="S29" s="409">
        <f t="shared" si="38"/>
        <v>11000</v>
      </c>
      <c r="T29" s="409">
        <f t="shared" si="38"/>
        <v>42255.808000000005</v>
      </c>
      <c r="U29" s="409">
        <f t="shared" si="38"/>
        <v>29941.856</v>
      </c>
      <c r="V29" s="409">
        <f t="shared" si="38"/>
        <v>18627.903999999995</v>
      </c>
      <c r="W29" s="409">
        <f t="shared" si="38"/>
        <v>9313.9519999999902</v>
      </c>
      <c r="X29" s="408">
        <f t="shared" si="38"/>
        <v>0</v>
      </c>
      <c r="Y29" s="408">
        <f t="shared" ref="Y29:AC29" si="39">+Y23+Y41</f>
        <v>0</v>
      </c>
      <c r="Z29" s="408">
        <f t="shared" si="39"/>
        <v>0</v>
      </c>
      <c r="AA29" s="408">
        <f t="shared" si="39"/>
        <v>0</v>
      </c>
      <c r="AB29" s="408">
        <f t="shared" si="39"/>
        <v>0</v>
      </c>
      <c r="AC29" s="408">
        <f t="shared" si="39"/>
        <v>0</v>
      </c>
    </row>
    <row r="30" spans="2:29" ht="20.100000000000001" customHeight="1" x14ac:dyDescent="0.45">
      <c r="B30" s="411" t="str">
        <f>$B$49</f>
        <v>3 Yr Category</v>
      </c>
      <c r="C30" s="410"/>
      <c r="D30" s="409"/>
      <c r="E30" s="409"/>
      <c r="F30" s="409">
        <f t="shared" ref="F30:X30" si="40">+F24+F42</f>
        <v>0</v>
      </c>
      <c r="G30" s="409">
        <f t="shared" si="40"/>
        <v>0</v>
      </c>
      <c r="H30" s="409">
        <f t="shared" si="40"/>
        <v>0</v>
      </c>
      <c r="I30" s="409">
        <f t="shared" si="40"/>
        <v>0</v>
      </c>
      <c r="J30" s="409">
        <f t="shared" si="40"/>
        <v>0</v>
      </c>
      <c r="K30" s="409">
        <f t="shared" si="40"/>
        <v>0</v>
      </c>
      <c r="L30" s="409">
        <f t="shared" si="40"/>
        <v>0</v>
      </c>
      <c r="M30" s="409">
        <f t="shared" si="40"/>
        <v>0</v>
      </c>
      <c r="N30" s="409">
        <f t="shared" si="40"/>
        <v>0</v>
      </c>
      <c r="O30" s="409">
        <f t="shared" si="40"/>
        <v>0</v>
      </c>
      <c r="P30" s="409">
        <f t="shared" si="40"/>
        <v>0</v>
      </c>
      <c r="Q30" s="409">
        <f t="shared" si="40"/>
        <v>0</v>
      </c>
      <c r="R30" s="409">
        <f t="shared" si="40"/>
        <v>0</v>
      </c>
      <c r="S30" s="409">
        <f t="shared" si="40"/>
        <v>0</v>
      </c>
      <c r="T30" s="409">
        <f t="shared" si="40"/>
        <v>0</v>
      </c>
      <c r="U30" s="409">
        <f t="shared" si="40"/>
        <v>0</v>
      </c>
      <c r="V30" s="409">
        <f t="shared" si="40"/>
        <v>0</v>
      </c>
      <c r="W30" s="409">
        <f t="shared" si="40"/>
        <v>0</v>
      </c>
      <c r="X30" s="408">
        <f t="shared" si="40"/>
        <v>0</v>
      </c>
      <c r="Y30" s="408">
        <f t="shared" ref="Y30:AC30" si="41">+Y24+Y42</f>
        <v>0</v>
      </c>
      <c r="Z30" s="408">
        <f t="shared" si="41"/>
        <v>0</v>
      </c>
      <c r="AA30" s="408">
        <f t="shared" si="41"/>
        <v>0</v>
      </c>
      <c r="AB30" s="408">
        <f t="shared" si="41"/>
        <v>0</v>
      </c>
      <c r="AC30" s="408">
        <f t="shared" si="41"/>
        <v>0</v>
      </c>
    </row>
    <row r="31" spans="2:29" ht="20.100000000000001" customHeight="1" x14ac:dyDescent="0.45">
      <c r="B31" s="407" t="str">
        <f>$B$50</f>
        <v>0 Yr Category</v>
      </c>
      <c r="C31" s="406"/>
      <c r="D31" s="405"/>
      <c r="E31" s="405"/>
      <c r="F31" s="405">
        <f t="shared" ref="F31:X31" si="42">+F25+F43</f>
        <v>0</v>
      </c>
      <c r="G31" s="405">
        <f t="shared" si="42"/>
        <v>0</v>
      </c>
      <c r="H31" s="405">
        <f t="shared" si="42"/>
        <v>0</v>
      </c>
      <c r="I31" s="405">
        <f t="shared" si="42"/>
        <v>0</v>
      </c>
      <c r="J31" s="405">
        <f t="shared" si="42"/>
        <v>0</v>
      </c>
      <c r="K31" s="405">
        <f t="shared" si="42"/>
        <v>0</v>
      </c>
      <c r="L31" s="405">
        <f t="shared" si="42"/>
        <v>0</v>
      </c>
      <c r="M31" s="405">
        <f t="shared" si="42"/>
        <v>0</v>
      </c>
      <c r="N31" s="405">
        <f t="shared" si="42"/>
        <v>0</v>
      </c>
      <c r="O31" s="405">
        <f t="shared" si="42"/>
        <v>0</v>
      </c>
      <c r="P31" s="405">
        <f t="shared" si="42"/>
        <v>0</v>
      </c>
      <c r="Q31" s="405">
        <f t="shared" si="42"/>
        <v>0</v>
      </c>
      <c r="R31" s="405">
        <f t="shared" si="42"/>
        <v>0</v>
      </c>
      <c r="S31" s="405">
        <f t="shared" si="42"/>
        <v>0</v>
      </c>
      <c r="T31" s="405">
        <f t="shared" si="42"/>
        <v>0</v>
      </c>
      <c r="U31" s="405">
        <f t="shared" si="42"/>
        <v>0</v>
      </c>
      <c r="V31" s="405">
        <f t="shared" si="42"/>
        <v>0</v>
      </c>
      <c r="W31" s="405">
        <f t="shared" si="42"/>
        <v>0</v>
      </c>
      <c r="X31" s="404">
        <f t="shared" si="42"/>
        <v>0</v>
      </c>
      <c r="Y31" s="404">
        <f t="shared" ref="Y31:AC31" si="43">+Y25+Y43</f>
        <v>0</v>
      </c>
      <c r="Z31" s="404">
        <f t="shared" si="43"/>
        <v>0</v>
      </c>
      <c r="AA31" s="404">
        <f t="shared" si="43"/>
        <v>0</v>
      </c>
      <c r="AB31" s="404">
        <f t="shared" si="43"/>
        <v>0</v>
      </c>
      <c r="AC31" s="404">
        <f t="shared" si="43"/>
        <v>0</v>
      </c>
    </row>
    <row r="32" spans="2:29" ht="20.100000000000001" customHeight="1" thickBot="1" x14ac:dyDescent="0.5">
      <c r="B32" s="403" t="s">
        <v>379</v>
      </c>
      <c r="C32" s="402"/>
      <c r="D32" s="401"/>
      <c r="E32" s="401"/>
      <c r="F32" s="401">
        <f t="shared" ref="F32:X32" si="44">SUM(F28:F31)</f>
        <v>975183.86752638291</v>
      </c>
      <c r="G32" s="401">
        <f t="shared" si="44"/>
        <v>910171.60969129077</v>
      </c>
      <c r="H32" s="401">
        <f t="shared" si="44"/>
        <v>845159.35185619851</v>
      </c>
      <c r="I32" s="401">
        <f t="shared" si="44"/>
        <v>780147.09402110637</v>
      </c>
      <c r="J32" s="401">
        <f t="shared" si="44"/>
        <v>731134.83618601412</v>
      </c>
      <c r="K32" s="401">
        <f t="shared" si="44"/>
        <v>662122.57835092198</v>
      </c>
      <c r="L32" s="401">
        <f t="shared" si="44"/>
        <v>593110.32051582984</v>
      </c>
      <c r="M32" s="401">
        <f t="shared" si="44"/>
        <v>524098.06268073758</v>
      </c>
      <c r="N32" s="401">
        <f t="shared" si="44"/>
        <v>455085.80484564538</v>
      </c>
      <c r="O32" s="401">
        <f t="shared" si="44"/>
        <v>418073.54701055319</v>
      </c>
      <c r="P32" s="401">
        <f t="shared" si="44"/>
        <v>358061.28917546105</v>
      </c>
      <c r="Q32" s="401">
        <f t="shared" si="44"/>
        <v>287049.03134036891</v>
      </c>
      <c r="R32" s="401">
        <f t="shared" si="44"/>
        <v>219036.77350527677</v>
      </c>
      <c r="S32" s="401">
        <f t="shared" si="44"/>
        <v>141024.51567018463</v>
      </c>
      <c r="T32" s="401">
        <f t="shared" si="44"/>
        <v>107268.06583509249</v>
      </c>
      <c r="U32" s="401">
        <f t="shared" si="44"/>
        <v>29941.856</v>
      </c>
      <c r="V32" s="401">
        <f t="shared" si="44"/>
        <v>18627.903999999995</v>
      </c>
      <c r="W32" s="401">
        <f t="shared" si="44"/>
        <v>9313.9519999999902</v>
      </c>
      <c r="X32" s="400">
        <f t="shared" si="44"/>
        <v>0</v>
      </c>
      <c r="Y32" s="400">
        <f t="shared" ref="Y32:AC32" si="45">SUM(Y28:Y31)</f>
        <v>0</v>
      </c>
      <c r="Z32" s="400">
        <f t="shared" si="45"/>
        <v>0</v>
      </c>
      <c r="AA32" s="400">
        <f t="shared" si="45"/>
        <v>0</v>
      </c>
      <c r="AB32" s="400">
        <f t="shared" si="45"/>
        <v>0</v>
      </c>
      <c r="AC32" s="400">
        <f t="shared" si="45"/>
        <v>0</v>
      </c>
    </row>
    <row r="33" spans="2:29" ht="20.100000000000001" customHeight="1" x14ac:dyDescent="0.45">
      <c r="B33" s="420" t="s">
        <v>612</v>
      </c>
      <c r="C33" s="419"/>
      <c r="D33" s="418"/>
      <c r="E33" s="418"/>
      <c r="F33" s="418"/>
      <c r="G33" s="417"/>
      <c r="H33" s="417"/>
      <c r="I33" s="417"/>
      <c r="J33" s="417"/>
      <c r="K33" s="417"/>
      <c r="L33" s="417"/>
      <c r="M33" s="417"/>
      <c r="N33" s="417"/>
      <c r="O33" s="417"/>
      <c r="P33" s="417"/>
      <c r="Q33" s="417"/>
      <c r="R33" s="417"/>
      <c r="S33" s="417"/>
      <c r="T33" s="417"/>
      <c r="U33" s="417"/>
      <c r="V33" s="615"/>
      <c r="W33" s="417"/>
      <c r="X33" s="416"/>
      <c r="Y33" s="416"/>
      <c r="Z33" s="416"/>
      <c r="AA33" s="416"/>
      <c r="AB33" s="416"/>
      <c r="AC33" s="416"/>
    </row>
    <row r="34" spans="2:29" ht="20.100000000000001" customHeight="1" x14ac:dyDescent="0.45">
      <c r="B34" s="415" t="str">
        <f>$B$47</f>
        <v>15 Yr Category</v>
      </c>
      <c r="C34" s="427">
        <f>IF(C47=0,0,-1/C47)</f>
        <v>-6.6666666666666666E-2</v>
      </c>
      <c r="D34" s="426"/>
      <c r="E34" s="426"/>
      <c r="F34" s="426"/>
      <c r="G34" s="426">
        <f>IF(G$47&lt;($C47+1),($G8+$F8)*$C34,0)</f>
        <v>-65012.25783509219</v>
      </c>
      <c r="H34" s="426">
        <f>IF(H$47&lt;($C47+1),($G8+$F8)*$C34,0)+IF(H$47&lt;($C47+2),$H8*$C34,0)</f>
        <v>-65012.25783509219</v>
      </c>
      <c r="I34" s="426">
        <f>IF(I$47&lt;($C47+1),($G8+$F8)*$C34,0)+IF(I$47&lt;($C47+2),$H8*$C34,0)+IF(I$47&lt;($C47+3),$I8*$C34,0)</f>
        <v>-65012.25783509219</v>
      </c>
      <c r="J34" s="426">
        <f>IF(J$47&lt;($C47+1),($G8+$F8)*$C34,0)+IF(J$47&lt;($C47+2),$H8*$C34,0)+IF(J$47&lt;($C47+3),$I8*$C34,0)+IF(J$47&lt;($C47+4),$J8*$C34,0)</f>
        <v>-65012.25783509219</v>
      </c>
      <c r="K34" s="426">
        <f>IF(K$47&lt;($C47+1),($G8+$F8)*$C34,0)+IF(K$47&lt;($C47+2),$H8*$C34,0)+IF(K$47&lt;($C47+3),$I8*$C34,0)+IF(K$47&lt;($C47+4),$J8*$C34,0)+IF(K$47&lt;($C47+5),$K8*$C34,0)</f>
        <v>-65012.25783509219</v>
      </c>
      <c r="L34" s="426">
        <f>IF(L$47&lt;($C47+1),($G8+$F8)*$C34,0)+IF(L$47&lt;($C47+2),$H8*$C34,0)+IF(L$47&lt;($C47+3),$I8*$C34,0)+IF(L$47&lt;($C47+4),$J8*$C34,0)+IF(L$47&lt;($C47+5),$K8*$C34,0)+IF(L$47&lt;($C47+6),$L8*$C34,0)</f>
        <v>-65012.25783509219</v>
      </c>
      <c r="M34" s="426">
        <f>IF(M$47&lt;($C47+1),($G8+$F8)*$C34,0)+IF(M$47&lt;($C47+2),$H8*$C34,0)+IF(M$47&lt;($C47+3),$I8*$C34,0)+IF(M$47&lt;($C47+4),$J8*$C34,0)+IF(M$47&lt;($C47+5),$K8*$C34,0)+IF(M$47&lt;($C47+6),$L8*$C34,0)+IF(M$47&lt;($C47+7),$M8*$C34,0)</f>
        <v>-65012.25783509219</v>
      </c>
      <c r="N34" s="426">
        <f>IF(N$47&lt;($C47+1),($G8+$F8)*$C34,0)+IF(N$47&lt;($C47+2),$H8*$C34,0)+IF(N$47&lt;($C47+3),$I8*$C34,0)+IF(N$47&lt;($C47+4),$J8*$C34,0)+IF(N$47&lt;($C47+5),$K8*$C34,0)+IF(N$47&lt;($C47+6),$L8*$C34,0)+IF(N$47&lt;($C47+7),$M8*$C34,0)+IF(N$47&lt;($C47+8),$N8*$C34,0)</f>
        <v>-65012.25783509219</v>
      </c>
      <c r="O34" s="426">
        <f>IF(O$47&lt;($C47+1),($G8+$F8)*$C34,0)+IF(O$47&lt;($C47+2),$H8*$C34,0)+IF(O$47&lt;($C47+3),$I8*$C34,0)+IF(O$47&lt;($C47+4),$J8*$C34,0)+IF(O$47&lt;($C47+5),$K8*$C34,0)+IF(O$47&lt;($C47+6),$L8*$C34,0)+IF(O$47&lt;($C47+7),$M8*$C34,0)+IF(O$47&lt;($C47+8),$N8*$C34,0)+IF(O$47&lt;($C47+9),$O8*$C34,0)</f>
        <v>-65012.25783509219</v>
      </c>
      <c r="P34" s="426">
        <f>IF(P$47&lt;($C47+1),($G8+$F8)*$C34,0)+IF(P$47&lt;($C47+2),$H8*$C34,0)+IF(P$47&lt;($C47+3),$I8*$C34,0)+IF(P$47&lt;($C47+4),$J8*$C34,0)+IF(P$47&lt;($C47+5),$K8*$C34,0)+IF(P$47&lt;($C47+6),$L8*$C34,0)+IF(P$47&lt;($C47+7),$M8*$C34,0)+IF(P$47&lt;($C47+8),$N8*$C34,0)+IF(P$47&lt;($C47+9),$O8*$C34,0)+IF(P$47&lt;($C47+10),$P8*$C34,0)</f>
        <v>-65012.25783509219</v>
      </c>
      <c r="Q34" s="426">
        <f>IF(Q$47&lt;($C47+1),($G8+$F8)*$C34,0)+IF(Q$47&lt;($C47+2),$H8*$C34,0)+IF(Q$47&lt;($C47+3),$I8*$C34,0)+IF(Q$47&lt;($C47+4),$J8*$C34,0)+IF(Q$47&lt;($C47+5),$K8*$C34,0)+IF(Q$47&lt;($C47+6),$L8*$C34,0)+IF(Q$47&lt;($C47+7),$M8*$C34,0)+IF(Q$47&lt;($C47+8),$N8*$C34,0)+IF(Q$47&lt;($C47+9),$O8*$C34,0)+IF(Q$47&lt;($C47+10),$P8*$C34,0)+IF(Q$47&lt;($C47+11),$Q8*$C34,0)</f>
        <v>-65012.25783509219</v>
      </c>
      <c r="R34" s="426">
        <f>IF(R$47&lt;($C47+1),($G8+$F8)*$C34,0)+IF(R$47&lt;($C47+2),$H8*$C34,0)+IF(R$47&lt;($C47+3),$I8*$C34,0)+IF(R$47&lt;($C47+4),$J8*$C34,0)+IF(R$47&lt;($C47+5),$K8*$C34,0)+IF(R$47&lt;($C47+6),$L8*$C34,0)+IF(R$47&lt;($C47+7),$M8*$C34,0)+IF(R$47&lt;($C47+8),$N8*$C34,0)+IF(R$47&lt;($C47+9),$O8*$C34,0)+IF(R$47&lt;($C47+10),$P8*$C34,0)+IF(R$47&lt;($C47+11),$Q8*$C34,0)+IF(R$47&lt;($C47+12),$R8*$C34,0)</f>
        <v>-65012.25783509219</v>
      </c>
      <c r="S34" s="426">
        <f>IF(S$47&lt;($C47+1),($G8+$F8)*$C34,0)+IF(S$47&lt;($C47+2),$H8*$C34,0)+IF(S$47&lt;($C47+3),$I8*$C34,0)+IF(S$47&lt;($C47+4),$J8*$C34,0)+IF(S$47&lt;($C47+5),$K8*$C34,0)+IF(S$47&lt;($C47+6),$L8*$C34,0)+IF(S$47&lt;($C47+7),$M8*$C34,0)+IF(S$47&lt;($C47+8),$N8*$C34,0)+IF(S$47&lt;($C47+9),$O8*$C34,0)+IF(S$47&lt;($C47+10),$P8*$C34,0)+IF(S$47&lt;($C47+11),$Q8*$C34,0)+IF(S$47&lt;($C47+12),$R8*$C34,0)+IF(S$47&lt;($C47+13),$S8*$C34,0)</f>
        <v>-65012.25783509219</v>
      </c>
      <c r="T34" s="426">
        <f>IF(T$47&lt;($C47+1),($G8+$F8)*$C34,0)+IF(T$47&lt;($C47+2),$H8*$C34,0)+IF(T$47&lt;($C47+3),$I8*$C34,0)+IF(T$47&lt;($C47+4),$J8*$C34,0)+IF(T$47&lt;($C47+5),$K8*$C34,0)+IF(T$47&lt;($C47+6),$L8*$C34,0)+IF(T$47&lt;($C47+7),$M8*$C34,0)+IF(T$47&lt;($C47+8),$N8*$C34,0)+IF(T$47&lt;($C47+9),$O8*$C34,0)+IF(T$47&lt;($C47+10),$P8*$C34,0)+IF(T$47&lt;($C47+11),$Q8*$C34,0)+IF(T$47&lt;($C47+12),$R8*$C34,0)+IF(T$47&lt;($C47+13),$S8*$C34,0)+IF(T$47&lt;($C47+14),$T8*$C34,0)</f>
        <v>-65012.25783509219</v>
      </c>
      <c r="U34" s="426">
        <f>IF(U$47&lt;($C47+1),($G8+$F8)*$C34,0)+IF(U$47&lt;($C47+2),$H8*$C34,0)+IF(U$47&lt;($C47+3),$I8*$C34,0)+IF(U$47&lt;($C47+4),$J8*$C34,0)+IF(U$47&lt;($C47+5),$K8*$C34,0)+IF(U$47&lt;($C47+6),$L8*$C34,0)+IF(U$47&lt;($C47+7),$M8*$C34,0)+IF(U$47&lt;($C47+8),$N8*$C34,0)+IF(U$47&lt;($C47+9),$O8*$C34,0)+IF(U$47&lt;($C47+10),$P8*$C34,0)+IF(U$47&lt;($C47+11),$Q8*$C34,0)+IF(U$47&lt;($C47+12),$R8*$C34,0)+IF(U$47&lt;($C47+13),$S8*$C34,0)+IF(U$47&lt;($C47+14),$T8*$C34,0)+IF(U$47&lt;($C47+15),$U8*$C34,0)</f>
        <v>-65012.25783509219</v>
      </c>
      <c r="V34" s="426">
        <f>IF(V$47&lt;($C47+1),($G8+$F8)*$C34,0)+IF(V$47&lt;($C47+2),$H8*$C34,0)+IF(V$47&lt;($C47+3),$I8*$C34,0)+IF(V$47&lt;($C47+4),$J8*$C34,0)+IF(V$47&lt;($C47+5),$K8*$C34,0)+IF(V$47&lt;($C47+6),$L8*$C34,0)+IF(V$47&lt;($C47+7),$M8*$C34,0)+IF(V$47&lt;($C47+8),$N8*$C34,0)+IF(V$47&lt;($C47+9),$O8*$C34,0)+IF(V$47&lt;($C47+10),$P8*$C34,0)+IF(V$47&lt;($C47+11),$Q8*$C34,0)+IF(V$47&lt;($C47+12),$R8*$C34,0)+IF(V$47&lt;($C47+13),$S8*$C34,0)+IF(V$47&lt;($C47+14),$T8*$C34,0)+IF(V$47&lt;($C47+15),$U8*$C34,0)+IF(V$47&lt;($C47+16),$V8*$C34,0)</f>
        <v>0</v>
      </c>
      <c r="W34" s="426">
        <f>IF(W$47&lt;($C47+1),($G8+$F8)*$C34,0)+IF(W$47&lt;($C47+2),$H8*$C34,0)+IF(W$47&lt;($C47+3),$I8*$C34,0)+IF(W$47&lt;($C47+4),$J8*$C34,0)+IF(W$47&lt;($C47+5),$K8*$C34,0)+IF(W$47&lt;($C47+6),$L8*$C34,0)+IF(W$47&lt;($C47+7),$M8*$C34,0)+IF(W$47&lt;($C47+8),$N8*$C34,0)+IF(W$47&lt;($C47+9),$O8*$C34,0)+IF(W$47&lt;($C47+10),$P8*$C34,0)+IF(W$47&lt;($C47+11),$Q8*$C34,0)+IF(W$47&lt;($C47+12),$R8*$C34,0)+IF(W$47&lt;($C47+13),$S8*$C34,0)+IF(W$47&lt;($C47+14),$T8*$C34,0)+IF(W$47&lt;($C47+15),$U8*$C34,0)+IF(W$47&lt;($C47+16),$V8*$C34,0)+IF(W$47&lt;($C47+17),$W8*$C34,0)</f>
        <v>0</v>
      </c>
      <c r="X34" s="426">
        <f>IF(X$47&lt;($C47+1),($G8+$F8)*$C34,0)+IF(X$47&lt;($C47+2),$H8*$C34,0)+IF(X$47&lt;($C47+3),$I8*$C34,0)+IF(X$47&lt;($C47+4),$J8*$C34,0)+IF(X$47&lt;($C47+5),$K8*$C34,0)+IF(X$47&lt;($C47+6),$L8*$C34,0)+IF(X$47&lt;($C47+7),$M8*$C34,0)+IF(X$47&lt;($C47+8),$N8*$C34,0)+IF(X$47&lt;($C47+9),$O8*$C34,0)+IF(X$47&lt;($C47+10),$P8*$C34,0)+IF(X$47&lt;($C47+11),$Q8*$C34,0)+IF(X$47&lt;($C47+12),$R8*$C34,0)+IF(X$47&lt;($C47+13),$S8*$C34,0)+IF(X$47&lt;($C47+14),$T8*$C34,0)+IF(X$47&lt;($C47+15),$U8*$C34,0)+IF(X$47&lt;($C47+16),$V8*$C34,0)+IF(X$47&lt;($C47+17),$W8*$C34,0)+IF(X$47&lt;($C47+18),$X8*$C34,0)</f>
        <v>0</v>
      </c>
      <c r="Y34" s="426">
        <f>IF(Y$47&lt;($C47+1),($G8+$F8)*$C34,0)+IF(Y$47&lt;($C47+2),$H8*$C34,0)+IF(Y$47&lt;($C47+3),$I8*$C34,0)+IF(Y$47&lt;($C47+4),$J8*$C34,0)+IF(Y$47&lt;($C47+5),$K8*$C34,0)+IF(Y$47&lt;($C47+6),$L8*$C34,0)+IF(Y$47&lt;($C47+7),$M8*$C34,0)+IF(Y$47&lt;($C47+8),$N8*$C34,0)+IF(Y$47&lt;($C47+9),$O8*$C34,0)+IF(Y$47&lt;($C47+10),$P8*$C34,0)+IF(Y$47&lt;($C47+11),$Q8*$C34,0)+IF(Y$47&lt;($C47+12),$R8*$C34,0)+IF(Y$47&lt;($C47+13),$S8*$C34,0)+IF(Y$47&lt;($C47+14),$T8*$C34,0)+IF(Y$47&lt;($C47+15),$U8*$C34,0)+IF(Y$47&lt;($C47+16),$V8*$C34,0)+IF(Y$47&lt;($C47+17),$W8*$C34,0)+IF(Y$47&lt;($C47+18),$X8*$C34,0)+IF(Y$47&lt;($C47+19),$Y8*$C34,0)</f>
        <v>0</v>
      </c>
      <c r="Z34" s="426">
        <f>IF(Z$47&lt;($C47+1),($G8+$F8)*$C34,0)+IF(Z$47&lt;($C47+2),$H8*$C34,0)+IF(Z$47&lt;($C47+3),$I8*$C34,0)+IF(Z$47&lt;($C47+4),$J8*$C34,0)+IF(Z$47&lt;($C47+5),$K8*$C34,0)+IF(Z$47&lt;($C47+6),$L8*$C34,0)+IF(Z$47&lt;($C47+7),$M8*$C34,0)+IF(Z$47&lt;($C47+8),$N8*$C34,0)+IF(Z$47&lt;($C47+9),$O8*$C34,0)+IF(Z$47&lt;($C47+10),$P8*$C34,0)+IF(Z$47&lt;($C47+11),$Q8*$C34,0)+IF(Z$47&lt;($C47+12),$R8*$C34,0)+IF(Z$47&lt;($C47+13),$S8*$C34,0)+IF(Z$47&lt;($C47+14),$T8*$C34,0)+IF(Z$47&lt;($C47+15),$U8*$C34,0)+IF(Z$47&lt;($C47+16),$V8*$C34,0)+IF(Z$47&lt;($C47+17),$W8*$C34,0)+IF(Z$47&lt;($C47+18),$X8*$C34,0)+IF(Z$47&lt;($C47+19),$Y8*$C34,0)+IF(Z$47&lt;($C47+20),$Z8*$C34,0)</f>
        <v>0</v>
      </c>
      <c r="AA34" s="426">
        <f>IF(AA$47&lt;($C47+1),($G8+$F8)*$C34,0)+IF(AA$47&lt;($C47+2),$H8*$C34,0)+IF(AA$47&lt;($C47+3),$I8*$C34,0)+IF(AA$47&lt;($C47+4),$J8*$C34,0)+IF(AA$47&lt;($C47+5),$K8*$C34,0)+IF(AA$47&lt;($C47+6),$L8*$C34,0)+IF(AA$47&lt;($C47+7),$M8*$C34,0)+IF(AA$47&lt;($C47+8),$N8*$C34,0)+IF(AA$47&lt;($C47+9),$O8*$C34,0)+IF(AA$47&lt;($C47+10),$P8*$C34,0)+IF(AA$47&lt;($C47+11),$Q8*$C34,0)+IF(AA$47&lt;($C47+12),$R8*$C34,0)+IF(AA$47&lt;($C47+13),$S8*$C34,0)+IF(AA$47&lt;($C47+14),$T8*$C34,0)+IF(AA$47&lt;($C47+15),$U8*$C34,0)+IF(AA$47&lt;($C47+16),$V8*$C34,0)+IF(AA$47&lt;($C47+17),$W8*$C34,0)+IF(AA$47&lt;($C47+18),$X8*$C34,0)+IF(AA$47&lt;($C47+19),$Y8*$C34,0)+IF(AA$47&lt;($C47+20),$Z8*$C34,0)+IF(AA$47&lt;($C47+21),$AA8*$C34,0)</f>
        <v>0</v>
      </c>
      <c r="AB34" s="426">
        <f>IF(AB$47&lt;($C47+1),($G8+$F8)*$C34,0)+IF(AB$47&lt;($C47+2),$H8*$C34,0)+IF(AB$47&lt;($C47+3),$I8*$C34,0)+IF(AB$47&lt;($C47+4),$J8*$C34,0)+IF(AB$47&lt;($C47+5),$K8*$C34,0)+IF(AB$47&lt;($C47+6),$L8*$C34,0)+IF(AB$47&lt;($C47+7),$M8*$C34,0)+IF(AB$47&lt;($C47+8),$N8*$C34,0)+IF(AB$47&lt;($C47+9),$O8*$C34,0)+IF(AB$47&lt;($C47+10),$P8*$C34,0)+IF(AB$47&lt;($C47+11),$Q8*$C34,0)+IF(AB$47&lt;($C47+12),$R8*$C34,0)+IF(AB$47&lt;($C47+13),$S8*$C34,0)+IF(AB$47&lt;($C47+14),$T8*$C34,0)+IF(AB$47&lt;($C47+15),$U8*$C34,0)+IF(AB$47&lt;($C47+16),$V8*$C34,0)+IF(AB$47&lt;($C47+17),$W8*$C34,0)+IF(AB$47&lt;($C47+18),$X8*$C34,0)+IF(AB$47&lt;($C47+19),$Y8*$C34,0)+IF(AB$47&lt;($C47+20),$Z8*$C34,0)+IF(AB$47&lt;($C47+21),$AA8*$C34,0)+IF(AB$47&lt;($C47+22),$AB8*$C34,0)</f>
        <v>0</v>
      </c>
      <c r="AC34" s="426">
        <f>IF(AC$47&lt;($C47+1),($G8+$F8)*$C34,0)+IF(AC$47&lt;($C47+2),$H8*$C34,0)+IF(AC$47&lt;($C47+3),$I8*$C34,0)+IF(AC$47&lt;($C47+4),$J8*$C34,0)+IF(AC$47&lt;($C47+5),$K8*$C34,0)+IF(AC$47&lt;($C47+6),$L8*$C34,0)+IF(AC$47&lt;($C47+7),$M8*$C34,0)+IF(AC$47&lt;($C47+8),$N8*$C34,0)+IF(AC$47&lt;($C47+9),$O8*$C34,0)+IF(AC$47&lt;($C47+10),$P8*$C34,0)+IF(AC$47&lt;($C47+11),$Q8*$C34,0)+IF(AC$47&lt;($C47+12),$R8*$C34,0)+IF(AC$47&lt;($C47+13),$S8*$C34,0)+IF(AC$47&lt;($C47+14),$T8*$C34,0)+IF(AC$47&lt;($C47+15),$U8*$C34,0)+IF(AC$47&lt;($C47+16),$V8*$C34,0)+IF(AC$47&lt;($C47+17),$W8*$C34,0)+IF(AC$47&lt;($C47+18),$X8*$C34,0)+IF(AC$47&lt;($C47+19),$Y8*$C34,0)+IF(AC$47&lt;($C47+20),$Z8*$C34,0)+IF(AC$47&lt;($C47+21),$AA8*$C34,0)+IF(AC$47&lt;($C47+22),$AB8*$C34,0)+IF(AC$47&lt;($C47+23),$AC8*$C34,0)</f>
        <v>0</v>
      </c>
    </row>
    <row r="35" spans="2:29" ht="20.100000000000001" customHeight="1" x14ac:dyDescent="0.45">
      <c r="B35" s="411" t="str">
        <f>$B$48</f>
        <v>5 Yr Category</v>
      </c>
      <c r="C35" s="425">
        <f>IF(C48=0,0,-1/C48)</f>
        <v>-0.2</v>
      </c>
      <c r="D35" s="424"/>
      <c r="E35" s="424"/>
      <c r="F35" s="424"/>
      <c r="G35" s="424">
        <f>IF(G$47&lt;($C48+1),($G13+$F13)*$C35,0)</f>
        <v>0</v>
      </c>
      <c r="H35" s="424">
        <f>IF(H$47&lt;($C48+1),($G13+$F13)*$C35,0)+IF(H$47&lt;($C48+2),$H13*$C35,0)</f>
        <v>0</v>
      </c>
      <c r="I35" s="424">
        <f>IF(I$47&lt;($C48+1),($G13+$F13)*$C35,0)+IF(I$47&lt;($C48+2),$H13*$C35,0)+IF(I$47&lt;($C48+3),$I13*$C35,0)</f>
        <v>0</v>
      </c>
      <c r="J35" s="424">
        <f>IF(J$47&lt;($C48+1),($G13+$F13)*$C35,0)+IF(J$47&lt;($C48+2),$H13*$C35,0)+IF(J$47&lt;($C48+3),$I13*$C35,0)+IF(J$47&lt;($C48+4),$J13*$C35,0)</f>
        <v>-4000</v>
      </c>
      <c r="K35" s="424">
        <f>IF(K$47&lt;($C48+1),($G13+$F13)*$C35,0)+IF(K$47&lt;($C48+2),$H13*$C35,0)+IF(K$47&lt;($C48+3),$I13*$C35,0)+IF(K$47&lt;($C48+4),$J13*$C35,0)+IF(K$47&lt;($C48+5),$K13*$C35,0)</f>
        <v>-4000</v>
      </c>
      <c r="L35" s="424">
        <f>IF(L$47&lt;($C48+1),($G13+$F13)*$C35,0)+IF(L$47&lt;($C48+2),$H13*$C35,0)+IF(L$47&lt;($C48+3),$I13*$C35,0)+IF(L$47&lt;($C48+4),$J13*$C35,0)+IF(L$47&lt;($C48+5),$K13*$C35,0)+IF(L$47&lt;($C48+6),$L13*$C35,0)</f>
        <v>-4000</v>
      </c>
      <c r="M35" s="424">
        <f>IF(M$47&lt;($C48+1),($G13+$F13)*$C35,0)+IF(M$47&lt;($C48+2),$H13*$C35,0)+IF(M$47&lt;($C48+3),$I13*$C35,0)+IF(M$47&lt;($C48+4),$J13*$C35,0)+IF(M$47&lt;($C48+5),$K13*$C35,0)+IF(M$47&lt;($C48+6),$L13*$C35,0)+IF(M$47&lt;($C48+7),$M13*$C35,0)</f>
        <v>-4000</v>
      </c>
      <c r="N35" s="424">
        <f>IF(N$47&lt;($C48+1),($G13+$F13)*$C35,0)+IF(N$47&lt;($C48+2),$H13*$C35,0)+IF(N$47&lt;($C48+3),$I13*$C35,0)+IF(N$47&lt;($C48+4),$J13*$C35,0)+IF(N$47&lt;($C48+5),$K13*$C35,0)+IF(N$47&lt;($C48+6),$L13*$C35,0)+IF(N$47&lt;($C48+7),$M13*$C35,0)+IF(N$47&lt;($C48+8),$N13*$C35,0)</f>
        <v>-4000</v>
      </c>
      <c r="O35" s="424">
        <f>IF(O$47&lt;($C48+1),($G13+$F13)*$C35,0)+IF(O$47&lt;($C48+2),$H13*$C35,0)+IF(O$47&lt;($C48+3),$I13*$C35,0)+IF(O$47&lt;($C48+4),$J13*$C35,0)+IF(O$47&lt;($C48+5),$K13*$C35,0)+IF(O$47&lt;($C48+6),$L13*$C35,0)+IF(O$47&lt;($C48+7),$M13*$C35,0)+IF(O$47&lt;($C48+8),$N13*$C35,0)+IF(O$47&lt;($C48+9),$O13*$C35,0)</f>
        <v>-7000</v>
      </c>
      <c r="P35" s="424">
        <f>IF(P$47&lt;($C48+1),($G13+$F13)*$C35,0)+IF(P$47&lt;($C48+2),$H13*$C35,0)+IF(P$47&lt;($C48+3),$I13*$C35,0)+IF(P$47&lt;($C48+4),$J13*$C35,0)+IF(P$47&lt;($C48+5),$K13*$C35,0)+IF(P$47&lt;($C48+6),$L13*$C35,0)+IF(P$47&lt;($C48+7),$M13*$C35,0)+IF(P$47&lt;($C48+8),$N13*$C35,0)+IF(P$47&lt;($C48+9),$O13*$C35,0)+IF(P$47&lt;($C48+10),$P13*$C35,0)</f>
        <v>-10000</v>
      </c>
      <c r="Q35" s="424">
        <f>IF(Q$47&lt;($C48+1),($G13+$F13)*$C35,0)+IF(Q$47&lt;($C48+2),$H13*$C35,0)+IF(Q$47&lt;($C48+3),$I13*$C35,0)+IF(Q$47&lt;($C48+4),$J13*$C35,0)+IF(Q$47&lt;($C48+5),$K13*$C35,0)+IF(Q$47&lt;($C48+6),$L13*$C35,0)+IF(Q$47&lt;($C48+7),$M13*$C35,0)+IF(Q$47&lt;($C48+8),$N13*$C35,0)+IF(Q$47&lt;($C48+9),$O13*$C35,0)+IF(Q$47&lt;($C48+10),$P13*$C35,0)+IF(Q$47&lt;($C48+11),$Q13*$C35,0)</f>
        <v>-11000</v>
      </c>
      <c r="R35" s="424">
        <f>IF(R$47&lt;($C48+1),($G13+$F13)*$C35,0)+IF(R$47&lt;($C48+2),$H13*$C35,0)+IF(R$47&lt;($C48+3),$I13*$C35,0)+IF(R$47&lt;($C48+4),$J13*$C35,0)+IF(R$47&lt;($C48+5),$K13*$C35,0)+IF(R$47&lt;($C48+6),$L13*$C35,0)+IF(R$47&lt;($C48+7),$M13*$C35,0)+IF(R$47&lt;($C48+8),$N13*$C35,0)+IF(R$47&lt;($C48+9),$O13*$C35,0)+IF(R$47&lt;($C48+10),$P13*$C35,0)+IF(R$47&lt;($C48+11),$Q13*$C35,0)+IF(R$47&lt;($C48+12),$R13*$C35,0)</f>
        <v>-13000</v>
      </c>
      <c r="S35" s="424">
        <f>IF(S$47&lt;($C48+1),($G13+$F13)*$C35,0)+IF(S$47&lt;($C48+2),$H13*$C35,0)+IF(S$47&lt;($C48+3),$I13*$C35,0)+IF(S$47&lt;($C48+4),$J13*$C35,0)+IF(S$47&lt;($C48+5),$K13*$C35,0)+IF(S$47&lt;($C48+6),$L13*$C35,0)+IF(S$47&lt;($C48+7),$M13*$C35,0)+IF(S$47&lt;($C48+8),$N13*$C35,0)+IF(S$47&lt;($C48+9),$O13*$C35,0)+IF(S$47&lt;($C48+10),$P13*$C35,0)+IF(S$47&lt;($C48+11),$Q13*$C35,0)+IF(S$47&lt;($C48+12),$R13*$C35,0)+IF(S$47&lt;($C48+13),$S13*$C35,0)</f>
        <v>-13000</v>
      </c>
      <c r="T35" s="424">
        <f>IF(T$47&lt;($C48+1),($G13+$F13)*$C35,0)+IF(T$47&lt;($C48+2),$H13*$C35,0)+IF(T$47&lt;($C48+3),$I13*$C35,0)+IF(T$47&lt;($C48+4),$J13*$C35,0)+IF(T$47&lt;($C48+5),$K13*$C35,0)+IF(T$47&lt;($C48+6),$L13*$C35,0)+IF(T$47&lt;($C48+7),$M13*$C35,0)+IF(T$47&lt;($C48+8),$N13*$C35,0)+IF(T$47&lt;($C48+9),$O13*$C35,0)+IF(T$47&lt;($C48+10),$P13*$C35,0)+IF(T$47&lt;($C48+11),$Q13*$C35,0)+IF(T$47&lt;($C48+12),$R13*$C35,0)+IF(T$47&lt;($C48+13),$S13*$C35,0)+IF(T$47&lt;($C48+14),$T13*$C35,0)</f>
        <v>-15313.951999999999</v>
      </c>
      <c r="U35" s="424">
        <f>IF(U$47&lt;($C48+1),($G13+$F13)*$C35,0)+IF(U$47&lt;($C48+2),$H13*$C35,0)+IF(U$47&lt;($C48+3),$I13*$C35,0)+IF(U$47&lt;($C48+4),$J13*$C35,0)+IF(U$47&lt;($C48+5),$K13*$C35,0)+IF(U$47&lt;($C48+6),$L13*$C35,0)+IF(U$47&lt;($C48+7),$M13*$C35,0)+IF(U$47&lt;($C48+8),$N13*$C35,0)+IF(U$47&lt;($C48+9),$O13*$C35,0)+IF(U$47&lt;($C48+10),$P13*$C35,0)+IF(U$47&lt;($C48+11),$Q13*$C35,0)+IF(U$47&lt;($C48+12),$R13*$C35,0)+IF(U$47&lt;($C48+13),$S13*$C35,0)+IF(U$47&lt;($C48+14),$T13*$C35,0)+IF(U$47&lt;($C48+15),$U13*$C35,0)</f>
        <v>-12313.951999999999</v>
      </c>
      <c r="V35" s="424">
        <f>IF(V$47&lt;($C48+1),($G13+$F13)*$C35,0)+IF(V$47&lt;($C48+2),$H13*$C35,0)+IF(V$47&lt;($C48+3),$I13*$C35,0)+IF(V$47&lt;($C48+4),$J13*$C35,0)+IF(V$47&lt;($C48+5),$K13*$C35,0)+IF(V$47&lt;($C48+6),$L13*$C35,0)+IF(V$47&lt;($C48+7),$M13*$C35,0)+IF(V$47&lt;($C48+8),$N13*$C35,0)+IF(V$47&lt;($C48+9),$O13*$C35,0)+IF(V$47&lt;($C48+10),$P13*$C35,0)+IF(V$47&lt;($C48+11),$Q13*$C35,0)+IF(V$47&lt;($C48+12),$R13*$C35,0)+IF(V$47&lt;($C48+13),$S13*$C35,0)+IF(V$47&lt;($C48+14),$T13*$C35,0)+IF(V$47&lt;($C48+15),$U13*$C35,0)+IF(V$47&lt;($C48+16),$V13*$C35,0)</f>
        <v>-11313.951999999999</v>
      </c>
      <c r="W35" s="424">
        <f>IF(W$47&lt;($C48+1),($G13+$F13)*$C35,0)+IF(W$47&lt;($C48+2),$H13*$C35,0)+IF(W$47&lt;($C48+3),$I13*$C35,0)+IF(W$47&lt;($C48+4),$J13*$C35,0)+IF(W$47&lt;($C48+5),$K13*$C35,0)+IF(W$47&lt;($C48+6),$L13*$C35,0)+IF(W$47&lt;($C48+7),$M13*$C35,0)+IF(W$47&lt;($C48+8),$N13*$C35,0)+IF(W$47&lt;($C48+9),$O13*$C35,0)+IF(W$47&lt;($C48+10),$P13*$C35,0)+IF(W$47&lt;($C48+11),$Q13*$C35,0)+IF(W$47&lt;($C48+12),$R13*$C35,0)+IF(W$47&lt;($C48+13),$S13*$C35,0)+IF(W$47&lt;($C48+14),$T13*$C35,0)+IF(W$47&lt;($C48+15),$U13*$C35,0)+IF(W$47&lt;($C48+16),$V13*$C35,0)+IF(W$47&lt;($C48+17),$W13*$C35,0)</f>
        <v>-9313.9519999999993</v>
      </c>
      <c r="X35" s="424">
        <f>IF(X$47&lt;($C48+1),($G13+$F13)*$C35,0)+IF(X$47&lt;($C48+2),$H13*$C35,0)+IF(X$47&lt;($C48+3),$I13*$C35,0)+IF(X$47&lt;($C48+4),$J13*$C35,0)+IF(X$47&lt;($C48+5),$K13*$C35,0)+IF(X$47&lt;($C48+6),$L13*$C35,0)+IF(X$47&lt;($C48+7),$M13*$C35,0)+IF(X$47&lt;($C48+8),$N13*$C35,0)+IF(X$47&lt;($C48+9),$O13*$C35,0)+IF(X$47&lt;($C48+10),$P13*$C35,0)+IF(X$47&lt;($C48+11),$Q13*$C35,0)+IF(X$47&lt;($C48+12),$R13*$C35,0)+IF(X$47&lt;($C48+13),$S13*$C35,0)+IF(X$47&lt;($C48+14),$T13*$C35,0)+IF(X$47&lt;($C48+15),$U13*$C35,0)+IF(X$47&lt;($C48+16),$V13*$C35,0)+IF(X$47&lt;($C48+17),$W13*$C35,0)+IF(X$47&lt;($C48+18),$X13*$C35,0)</f>
        <v>-9313.9519999999993</v>
      </c>
      <c r="Y35" s="424">
        <f>IF(Y$47&lt;($C48+1),($G13+$F13)*$C35,0)+IF(Y$47&lt;($C48+2),$H13*$C35,0)+IF(Y$47&lt;($C48+3),$I13*$C35,0)+IF(Y$47&lt;($C48+4),$J13*$C35,0)+IF(Y$47&lt;($C48+5),$K13*$C35,0)+IF(Y$47&lt;($C48+6),$L13*$C35,0)+IF(Y$47&lt;($C48+7),$M13*$C35,0)+IF(Y$47&lt;($C48+8),$N13*$C35,0)+IF(Y$47&lt;($C48+9),$O13*$C35,0)+IF(Y$47&lt;($C48+10),$P13*$C35,0)+IF(Y$47&lt;($C48+11),$Q13*$C35,0)+IF(Y$47&lt;($C48+12),$R13*$C35,0)+IF(Y$47&lt;($C48+13),$S13*$C35,0)+IF(Y$47&lt;($C48+14),$T13*$C35,0)+IF(Y$47&lt;($C48+15),$U13*$C35,0)+IF(Y$47&lt;($C48+16),$V13*$C35,0)+IF(Y$47&lt;($C48+17),$W13*$C35,0)+IF(Y$47&lt;($C48+18),$X13*$C35,0)+IF(Y$47&lt;($C48+19),$Y13*$C35,0)</f>
        <v>0</v>
      </c>
      <c r="Z35" s="424">
        <f>IF(Z$47&lt;($C48+1),($G13+$F13)*$C35,0)+IF(Z$47&lt;($C48+2),$H13*$C35,0)+IF(Z$47&lt;($C48+3),$I13*$C35,0)+IF(Z$47&lt;($C48+4),$J13*$C35,0)+IF(Z$47&lt;($C48+5),$K13*$C35,0)+IF(Z$47&lt;($C48+6),$L13*$C35,0)+IF(Z$47&lt;($C48+7),$M13*$C35,0)+IF(Z$47&lt;($C48+8),$N13*$C35,0)+IF(Z$47&lt;($C48+9),$O13*$C35,0)+IF(Z$47&lt;($C48+10),$P13*$C35,0)+IF(Z$47&lt;($C48+11),$Q13*$C35,0)+IF(Z$47&lt;($C48+12),$R13*$C35,0)+IF(Z$47&lt;($C48+13),$S13*$C35,0)+IF(Z$47&lt;($C48+14),$T13*$C35,0)+IF(Z$47&lt;($C48+15),$U13*$C35,0)+IF(Z$47&lt;($C48+16),$V13*$C35,0)+IF(Z$47&lt;($C48+17),$W13*$C35,0)+IF(Z$47&lt;($C48+18),$X13*$C35,0)+IF(Z$47&lt;($C48+19),$Y13*$C35,0)+IF(Z$47&lt;($C48+20),$Z13*$C35,0)</f>
        <v>0</v>
      </c>
      <c r="AA35" s="424">
        <f>IF(AA$47&lt;($C48+1),($G13+$F13)*$C35,0)+IF(AA$47&lt;($C48+2),$H13*$C35,0)+IF(AA$47&lt;($C48+3),$I13*$C35,0)+IF(AA$47&lt;($C48+4),$J13*$C35,0)+IF(AA$47&lt;($C48+5),$K13*$C35,0)+IF(AA$47&lt;($C48+6),$L13*$C35,0)+IF(AA$47&lt;($C48+7),$M13*$C35,0)+IF(AA$47&lt;($C48+8),$N13*$C35,0)+IF(AA$47&lt;($C48+9),$O13*$C35,0)+IF(AA$47&lt;($C48+10),$P13*$C35,0)+IF(AA$47&lt;($C48+11),$Q13*$C35,0)+IF(AA$47&lt;($C48+12),$R13*$C35,0)+IF(AA$47&lt;($C48+13),$S13*$C35,0)+IF(AA$47&lt;($C48+14),$T13*$C35,0)+IF(AA$47&lt;($C48+15),$U13*$C35,0)+IF(AA$47&lt;($C48+16),$V13*$C35,0)+IF(AA$47&lt;($C48+17),$W13*$C35,0)+IF(AA$47&lt;($C48+18),$X13*$C35,0)+IF(AA$47&lt;($C48+19),$Y13*$C35,0)+IF(AA$47&lt;($C48+20),$Z13*$C35,0)+IF(AA$47&lt;($C48+21),$AA13*$C35,0)</f>
        <v>0</v>
      </c>
      <c r="AB35" s="424">
        <f>IF(AB$47&lt;($C48+1),($G13+$F13)*$C35,0)+IF(AB$47&lt;($C48+2),$H13*$C35,0)+IF(AB$47&lt;($C48+3),$I13*$C35,0)+IF(AB$47&lt;($C48+4),$J13*$C35,0)+IF(AB$47&lt;($C48+5),$K13*$C35,0)+IF(AB$47&lt;($C48+6),$L13*$C35,0)+IF(AB$47&lt;($C48+7),$M13*$C35,0)+IF(AB$47&lt;($C48+8),$N13*$C35,0)+IF(AB$47&lt;($C48+9),$O13*$C35,0)+IF(AB$47&lt;($C48+10),$P13*$C35,0)+IF(AB$47&lt;($C48+11),$Q13*$C35,0)+IF(AB$47&lt;($C48+12),$R13*$C35,0)+IF(AB$47&lt;($C48+13),$S13*$C35,0)+IF(AB$47&lt;($C48+14),$T13*$C35,0)+IF(AB$47&lt;($C48+15),$U13*$C35,0)+IF(AB$47&lt;($C48+16),$V13*$C35,0)+IF(AB$47&lt;($C48+17),$W13*$C35,0)+IF(AB$47&lt;($C48+18),$X13*$C35,0)+IF(AB$47&lt;($C48+19),$Y13*$C35,0)+IF(AB$47&lt;($C48+20),$Z13*$C35,0)+IF(AB$47&lt;($C48+21),$AA13*$C35,0)+IF(AB$47&lt;($C48+22),$AB13*$C35,0)</f>
        <v>0</v>
      </c>
      <c r="AC35" s="424">
        <f>IF(AC$47&lt;($C48+1),($G13+$F13)*$C35,0)+IF(AC$47&lt;($C48+2),$H13*$C35,0)+IF(AC$47&lt;($C48+3),$I13*$C35,0)+IF(AC$47&lt;($C48+4),$J13*$C35,0)+IF(AC$47&lt;($C48+5),$K13*$C35,0)+IF(AC$47&lt;($C48+6),$L13*$C35,0)+IF(AC$47&lt;($C48+7),$M13*$C35,0)+IF(AC$47&lt;($C48+8),$N13*$C35,0)+IF(AC$47&lt;($C48+9),$O13*$C35,0)+IF(AC$47&lt;($C48+10),$P13*$C35,0)+IF(AC$47&lt;($C48+11),$Q13*$C35,0)+IF(AC$47&lt;($C48+12),$R13*$C35,0)+IF(AC$47&lt;($C48+13),$S13*$C35,0)+IF(AC$47&lt;($C48+14),$T13*$C35,0)+IF(AC$47&lt;($C48+15),$U13*$C35,0)+IF(AC$47&lt;($C48+16),$V13*$C35,0)+IF(AC$47&lt;($C48+17),$W13*$C35,0)+IF(AC$47&lt;($C48+18),$X13*$C35,0)+IF(AC$47&lt;($C48+19),$Y13*$C35,0)+IF(AC$47&lt;($C48+20),$Z13*$C35,0)+IF(AC$47&lt;($C48+21),$AA13*$C35,0)+IF(AC$47&lt;($C48+22),$AB13*$C35,0)+IF(AC$47&lt;($C48+23),$AC13*$C35,0)</f>
        <v>0</v>
      </c>
    </row>
    <row r="36" spans="2:29" ht="20.100000000000001" customHeight="1" x14ac:dyDescent="0.45">
      <c r="B36" s="411" t="str">
        <f>$B$49</f>
        <v>3 Yr Category</v>
      </c>
      <c r="C36" s="425">
        <f>IF(C49=0,0,-1/C49)</f>
        <v>-0.33333333333333331</v>
      </c>
      <c r="D36" s="424"/>
      <c r="E36" s="424"/>
      <c r="F36" s="424"/>
      <c r="G36" s="424">
        <f>IF(G$47&lt;($C49+1),($G16+$F16)*$C36,0)</f>
        <v>0</v>
      </c>
      <c r="H36" s="424">
        <f>IF(H$47&lt;($C49+1),($G16+$F16)*$C36,0)+IF(H$47&lt;($C49+2),$H16*$C36,0)</f>
        <v>0</v>
      </c>
      <c r="I36" s="424">
        <f>IF(I$47&lt;($C49+1),($G16+$F16)*$C36,0)+IF(I$47&lt;($C49+2),$H16*$C36,0)+IF(I$47&lt;($C49+3),$I16*$C36,0)</f>
        <v>0</v>
      </c>
      <c r="J36" s="424">
        <f>IF(J$47&lt;($C49+1),($G16+$F16)*$C36,0)+IF(J$47&lt;($C49+2),$H16*$C36,0)+IF(J$47&lt;($C49+3),$I16*$C36,0)+IF(J$47&lt;($C49+4),$J16*$C36,0)</f>
        <v>0</v>
      </c>
      <c r="K36" s="424">
        <f>IF(K$47&lt;($C49+1),($G16+$F16)*$C36,0)+IF(K$47&lt;($C49+2),$H16*$C36,0)+IF(K$47&lt;($C49+3),$I16*$C36,0)+IF(K$47&lt;($C49+4),$J16*$C36,0)+IF(K$47&lt;($C49+5),$K16*$C36,0)</f>
        <v>0</v>
      </c>
      <c r="L36" s="424">
        <f>IF(L$47&lt;($C49+1),($G16+$F16)*$C36,0)+IF(L$47&lt;($C49+2),$H16*$C36,0)+IF(L$47&lt;($C49+3),$I16*$C36,0)+IF(L$47&lt;($C49+4),$J16*$C36,0)+IF(L$47&lt;($C49+5),$K16*$C36,0)+IF(L$47&lt;($C49+6),$L16*$C36,0)</f>
        <v>0</v>
      </c>
      <c r="M36" s="424">
        <f>IF(M$47&lt;($C49+1),($G16+$F16)*$C36,0)+IF(M$47&lt;($C49+2),$H16*$C36,0)+IF(M$47&lt;($C49+3),$I16*$C36,0)+IF(M$47&lt;($C49+4),$J16*$C36,0)+IF(M$47&lt;($C49+5),$K16*$C36,0)+IF(M$47&lt;($C49+6),$L16*$C36,0)+IF(M$47&lt;($C49+7),$M16*$C36,0)</f>
        <v>0</v>
      </c>
      <c r="N36" s="424">
        <f>IF(N$47&lt;($C49+1),($G16+$F16)*$C36,0)+IF(N$47&lt;($C49+2),$H16*$C36,0)+IF(N$47&lt;($C49+3),$I16*$C36,0)+IF(N$47&lt;($C49+4),$J16*$C36,0)+IF(N$47&lt;($C49+5),$K16*$C36,0)+IF(N$47&lt;($C49+6),$L16*$C36,0)+IF(N$47&lt;($C49+7),$M16*$C36,0)+IF(N$47&lt;($C49+8),$N16*$C36,0)</f>
        <v>0</v>
      </c>
      <c r="O36" s="424">
        <f>IF(O$47&lt;($C49+1),($G16+$F16)*$C36,0)+IF(O$47&lt;($C49+2),$H16*$C36,0)+IF(O$47&lt;($C49+3),$I16*$C36,0)+IF(O$47&lt;($C49+4),$J16*$C36,0)+IF(O$47&lt;($C49+5),$K16*$C36,0)+IF(O$47&lt;($C49+6),$L16*$C36,0)+IF(O$47&lt;($C49+7),$M16*$C36,0)+IF(O$47&lt;($C49+8),$N16*$C36,0)+IF(O$47&lt;($C49+9),$O16*$C36,0)</f>
        <v>0</v>
      </c>
      <c r="P36" s="424">
        <f>IF(P$47&lt;($C49+1),($G16+$F16)*$C36,0)+IF(P$47&lt;($C49+2),$H16*$C36,0)+IF(P$47&lt;($C49+3),$I16*$C36,0)+IF(P$47&lt;($C49+4),$J16*$C36,0)+IF(P$47&lt;($C49+5),$K16*$C36,0)+IF(P$47&lt;($C49+6),$L16*$C36,0)+IF(P$47&lt;($C49+7),$M16*$C36,0)+IF(P$47&lt;($C49+8),$N16*$C36,0)+IF(P$47&lt;($C49+9),$O16*$C36,0)+IF(P$47&lt;($C49+10),$P16*$C36,0)</f>
        <v>0</v>
      </c>
      <c r="Q36" s="424">
        <f>IF(Q$47&lt;($C49+1),($G16+$F16)*$C36,0)+IF(Q$47&lt;($C49+2),$H16*$C36,0)+IF(Q$47&lt;($C49+3),$I16*$C36,0)+IF(Q$47&lt;($C49+4),$J16*$C36,0)+IF(Q$47&lt;($C49+5),$K16*$C36,0)+IF(Q$47&lt;($C49+6),$L16*$C36,0)+IF(Q$47&lt;($C49+7),$M16*$C36,0)+IF(Q$47&lt;($C49+8),$N16*$C36,0)+IF(Q$47&lt;($C49+9),$O16*$C36,0)+IF(Q$47&lt;($C49+10),$P16*$C36,0)+IF(Q$47&lt;($C49+11),$Q16*$C36,0)</f>
        <v>0</v>
      </c>
      <c r="R36" s="424">
        <f>IF(R$47&lt;($C49+1),($G16+$F16)*$C36,0)+IF(R$47&lt;($C49+2),$H16*$C36,0)+IF(R$47&lt;($C49+3),$I16*$C36,0)+IF(R$47&lt;($C49+4),$J16*$C36,0)+IF(R$47&lt;($C49+5),$K16*$C36,0)+IF(R$47&lt;($C49+6),$L16*$C36,0)+IF(R$47&lt;($C49+7),$M16*$C36,0)+IF(R$47&lt;($C49+8),$N16*$C36,0)+IF(R$47&lt;($C49+9),$O16*$C36,0)+IF(R$47&lt;($C49+10),$P16*$C36,0)+IF(R$47&lt;($C49+11),$Q16*$C36,0)+IF(R$47&lt;($C49+12),$R16*$C36,0)</f>
        <v>0</v>
      </c>
      <c r="S36" s="424">
        <f>IF(S$47&lt;($C49+1),($G16+$F16)*$C36,0)+IF(S$47&lt;($C49+2),$H16*$C36,0)+IF(S$47&lt;($C49+3),$I16*$C36,0)+IF(S$47&lt;($C49+4),$J16*$C36,0)+IF(S$47&lt;($C49+5),$K16*$C36,0)+IF(S$47&lt;($C49+6),$L16*$C36,0)+IF(S$47&lt;($C49+7),$M16*$C36,0)+IF(S$47&lt;($C49+8),$N16*$C36,0)+IF(S$47&lt;($C49+9),$O16*$C36,0)+IF(S$47&lt;($C49+10),$P16*$C36,0)+IF(S$47&lt;($C49+11),$Q16*$C36,0)+IF(S$47&lt;($C49+12),$R16*$C36,0)+IF(S$47&lt;($C49+13),$S16*$C36,0)</f>
        <v>0</v>
      </c>
      <c r="T36" s="424">
        <f>IF(T$47&lt;($C49+1),($G16+$F16)*$C36,0)+IF(T$47&lt;($C49+2),$H16*$C36,0)+IF(T$47&lt;($C49+3),$I16*$C36,0)+IF(T$47&lt;($C49+4),$J16*$C36,0)+IF(T$47&lt;($C49+5),$K16*$C36,0)+IF(T$47&lt;($C49+6),$L16*$C36,0)+IF(T$47&lt;($C49+7),$M16*$C36,0)+IF(T$47&lt;($C49+8),$N16*$C36,0)+IF(T$47&lt;($C49+9),$O16*$C36,0)+IF(T$47&lt;($C49+10),$P16*$C36,0)+IF(T$47&lt;($C49+11),$Q16*$C36,0)+IF(T$47&lt;($C49+12),$R16*$C36,0)+IF(T$47&lt;($C49+13),$S16*$C36,0)+IF(T$47&lt;($C49+14),$T16*$C36,0)</f>
        <v>0</v>
      </c>
      <c r="U36" s="424">
        <f>IF(U$47&lt;($C49+1),($G16+$F16)*$C36,0)+IF(U$47&lt;($C49+2),$H16*$C36,0)+IF(U$47&lt;($C49+3),$I16*$C36,0)+IF(U$47&lt;($C49+4),$J16*$C36,0)+IF(U$47&lt;($C49+5),$K16*$C36,0)+IF(U$47&lt;($C49+6),$L16*$C36,0)+IF(U$47&lt;($C49+7),$M16*$C36,0)+IF(U$47&lt;($C49+8),$N16*$C36,0)+IF(U$47&lt;($C49+9),$O16*$C36,0)+IF(U$47&lt;($C49+10),$P16*$C36,0)+IF(U$47&lt;($C49+11),$Q16*$C36,0)+IF(U$47&lt;($C49+12),$R16*$C36,0)+IF(U$47&lt;($C49+13),$S16*$C36,0)+IF(U$47&lt;($C49+14),$T16*$C36,0)+IF(U$47&lt;($C49+15),$U16*$C36,0)</f>
        <v>0</v>
      </c>
      <c r="V36" s="424">
        <f>IF(V$47&lt;($C49+1),($G16+$F16)*$C36,0)+IF(V$47&lt;($C49+2),$H16*$C36,0)+IF(V$47&lt;($C49+3),$I16*$C36,0)+IF(V$47&lt;($C49+4),$J16*$C36,0)+IF(V$47&lt;($C49+5),$K16*$C36,0)+IF(V$47&lt;($C49+6),$L16*$C36,0)+IF(V$47&lt;($C49+7),$M16*$C36,0)+IF(V$47&lt;($C49+8),$N16*$C36,0)+IF(V$47&lt;($C49+9),$O16*$C36,0)+IF(V$47&lt;($C49+10),$P16*$C36,0)+IF(V$47&lt;($C49+11),$Q16*$C36,0)+IF(V$47&lt;($C49+12),$R16*$C36,0)+IF(V$47&lt;($C49+13),$S16*$C36,0)+IF(V$47&lt;($C49+14),$T16*$C36,0)+IF(V$47&lt;($C49+15),$U16*$C36,0)+IF(V$47&lt;($C49+16),$V16*$C36,0)</f>
        <v>0</v>
      </c>
      <c r="W36" s="424">
        <f>IF(W$47&lt;($C49+1),($G16+$F16)*$C36,0)+IF(W$47&lt;($C49+2),$H16*$C36,0)+IF(W$47&lt;($C49+3),$I16*$C36,0)+IF(W$47&lt;($C49+4),$J16*$C36,0)+IF(W$47&lt;($C49+5),$K16*$C36,0)+IF(W$47&lt;($C49+6),$L16*$C36,0)+IF(W$47&lt;($C49+7),$M16*$C36,0)+IF(W$47&lt;($C49+8),$N16*$C36,0)+IF(W$47&lt;($C49+9),$O16*$C36,0)+IF(W$47&lt;($C49+10),$P16*$C36,0)+IF(W$47&lt;($C49+11),$Q16*$C36,0)+IF(W$47&lt;($C49+12),$R16*$C36,0)+IF(W$47&lt;($C49+13),$S16*$C36,0)+IF(W$47&lt;($C49+14),$T16*$C36,0)+IF(W$47&lt;($C49+15),$U16*$C36,0)+IF(W$47&lt;($C49+16),$V16*$C36,0)+IF(W$47&lt;($C49+17),$W16*$C36,0)</f>
        <v>0</v>
      </c>
      <c r="X36" s="424">
        <f>IF(X$47&lt;($C49+1),($G16+$F16)*$C36,0)+IF(X$47&lt;($C49+2),$H16*$C36,0)+IF(X$47&lt;($C49+3),$I16*$C36,0)+IF(X$47&lt;($C49+4),$J16*$C36,0)+IF(X$47&lt;($C49+5),$K16*$C36,0)+IF(X$47&lt;($C49+6),$L16*$C36,0)+IF(X$47&lt;($C49+7),$M16*$C36,0)+IF(X$47&lt;($C49+8),$N16*$C36,0)+IF(X$47&lt;($C49+9),$O16*$C36,0)+IF(X$47&lt;($C49+10),$P16*$C36,0)+IF(X$47&lt;($C49+11),$Q16*$C36,0)+IF(X$47&lt;($C49+12),$R16*$C36,0)+IF(X$47&lt;($C49+13),$S16*$C36,0)+IF(X$47&lt;($C49+14),$T16*$C36,0)+IF(X$47&lt;($C49+15),$U16*$C36,0)+IF(X$47&lt;($C49+16),$V16*$C36,0)+IF(X$47&lt;($C49+17),$W16*$C36,0)+IF(X$47&lt;($C49+18),$X16*$C36,0)</f>
        <v>0</v>
      </c>
      <c r="Y36" s="424">
        <f>IF(Y$47&lt;($C49+1),($G16+$F16)*$C36,0)+IF(Y$47&lt;($C49+2),$H16*$C36,0)+IF(Y$47&lt;($C49+3),$I16*$C36,0)+IF(Y$47&lt;($C49+4),$J16*$C36,0)+IF(Y$47&lt;($C49+5),$K16*$C36,0)+IF(Y$47&lt;($C49+6),$L16*$C36,0)+IF(Y$47&lt;($C49+7),$M16*$C36,0)+IF(Y$47&lt;($C49+8),$N16*$C36,0)+IF(Y$47&lt;($C49+9),$O16*$C36,0)+IF(Y$47&lt;($C49+10),$P16*$C36,0)+IF(Y$47&lt;($C49+11),$Q16*$C36,0)+IF(Y$47&lt;($C49+12),$R16*$C36,0)+IF(Y$47&lt;($C49+13),$S16*$C36,0)+IF(Y$47&lt;($C49+14),$T16*$C36,0)+IF(Y$47&lt;($C49+15),$U16*$C36,0)+IF(Y$47&lt;($C49+16),$V16*$C36,0)+IF(Y$47&lt;($C49+17),$W16*$C36,0)+IF(Y$47&lt;($C49+18),$X16*$C36,0)+IF(Y$47&lt;($C49+19),$Y16*$C36,0)</f>
        <v>0</v>
      </c>
      <c r="Z36" s="424">
        <f>IF(Z$47&lt;($C49+1),($G16+$F16)*$C36,0)+IF(Z$47&lt;($C49+2),$H16*$C36,0)+IF(Z$47&lt;($C49+3),$I16*$C36,0)+IF(Z$47&lt;($C49+4),$J16*$C36,0)+IF(Z$47&lt;($C49+5),$K16*$C36,0)+IF(Z$47&lt;($C49+6),$L16*$C36,0)+IF(Z$47&lt;($C49+7),$M16*$C36,0)+IF(Z$47&lt;($C49+8),$N16*$C36,0)+IF(Z$47&lt;($C49+9),$O16*$C36,0)+IF(Z$47&lt;($C49+10),$P16*$C36,0)+IF(Z$47&lt;($C49+11),$Q16*$C36,0)+IF(Z$47&lt;($C49+12),$R16*$C36,0)+IF(Z$47&lt;($C49+13),$S16*$C36,0)+IF(Z$47&lt;($C49+14),$T16*$C36,0)+IF(Z$47&lt;($C49+15),$U16*$C36,0)+IF(Z$47&lt;($C49+16),$V16*$C36,0)+IF(Z$47&lt;($C49+17),$W16*$C36,0)+IF(Z$47&lt;($C49+18),$X16*$C36,0)+IF(Z$47&lt;($C49+19),$Y16*$C36,0)+IF(Z$47&lt;($C49+20),$Z16*$C36,0)</f>
        <v>0</v>
      </c>
      <c r="AA36" s="424">
        <f>IF(AA$47&lt;($C49+1),($G16+$F16)*$C36,0)+IF(AA$47&lt;($C49+2),$H16*$C36,0)+IF(AA$47&lt;($C49+3),$I16*$C36,0)+IF(AA$47&lt;($C49+4),$J16*$C36,0)+IF(AA$47&lt;($C49+5),$K16*$C36,0)+IF(AA$47&lt;($C49+6),$L16*$C36,0)+IF(AA$47&lt;($C49+7),$M16*$C36,0)+IF(AA$47&lt;($C49+8),$N16*$C36,0)+IF(AA$47&lt;($C49+9),$O16*$C36,0)+IF(AA$47&lt;($C49+10),$P16*$C36,0)+IF(AA$47&lt;($C49+11),$Q16*$C36,0)+IF(AA$47&lt;($C49+12),$R16*$C36,0)+IF(AA$47&lt;($C49+13),$S16*$C36,0)+IF(AA$47&lt;($C49+14),$T16*$C36,0)+IF(AA$47&lt;($C49+15),$U16*$C36,0)+IF(AA$47&lt;($C49+16),$V16*$C36,0)+IF(AA$47&lt;($C49+17),$W16*$C36,0)+IF(AA$47&lt;($C49+18),$X16*$C36,0)+IF(AA$47&lt;($C49+19),$Y16*$C36,0)+IF(AA$47&lt;($C49+20),$Z16*$C36,0)+IF(AA$47&lt;($C49+21),$AA16*$C36,0)</f>
        <v>0</v>
      </c>
      <c r="AB36" s="424">
        <f>IF(AB$47&lt;($C49+1),($G16+$F16)*$C36,0)+IF(AB$47&lt;($C49+2),$H16*$C36,0)+IF(AB$47&lt;($C49+3),$I16*$C36,0)+IF(AB$47&lt;($C49+4),$J16*$C36,0)+IF(AB$47&lt;($C49+5),$K16*$C36,0)+IF(AB$47&lt;($C49+6),$L16*$C36,0)+IF(AB$47&lt;($C49+7),$M16*$C36,0)+IF(AB$47&lt;($C49+8),$N16*$C36,0)+IF(AB$47&lt;($C49+9),$O16*$C36,0)+IF(AB$47&lt;($C49+10),$P16*$C36,0)+IF(AB$47&lt;($C49+11),$Q16*$C36,0)+IF(AB$47&lt;($C49+12),$R16*$C36,0)+IF(AB$47&lt;($C49+13),$S16*$C36,0)+IF(AB$47&lt;($C49+14),$T16*$C36,0)+IF(AB$47&lt;($C49+15),$U16*$C36,0)+IF(AB$47&lt;($C49+16),$V16*$C36,0)+IF(AB$47&lt;($C49+17),$W16*$C36,0)+IF(AB$47&lt;($C49+18),$X16*$C36,0)+IF(AB$47&lt;($C49+19),$Y16*$C36,0)+IF(AB$47&lt;($C49+20),$Z16*$C36,0)+IF(AB$47&lt;($C49+21),$AA16*$C36,0)+IF(AB$47&lt;($C49+22),$AB16*$C36,0)</f>
        <v>0</v>
      </c>
      <c r="AC36" s="424">
        <f>IF(AC$47&lt;($C49+1),($G16+$F16)*$C36,0)+IF(AC$47&lt;($C49+2),$H16*$C36,0)+IF(AC$47&lt;($C49+3),$I16*$C36,0)+IF(AC$47&lt;($C49+4),$J16*$C36,0)+IF(AC$47&lt;($C49+5),$K16*$C36,0)+IF(AC$47&lt;($C49+6),$L16*$C36,0)+IF(AC$47&lt;($C49+7),$M16*$C36,0)+IF(AC$47&lt;($C49+8),$N16*$C36,0)+IF(AC$47&lt;($C49+9),$O16*$C36,0)+IF(AC$47&lt;($C49+10),$P16*$C36,0)+IF(AC$47&lt;($C49+11),$Q16*$C36,0)+IF(AC$47&lt;($C49+12),$R16*$C36,0)+IF(AC$47&lt;($C49+13),$S16*$C36,0)+IF(AC$47&lt;($C49+14),$T16*$C36,0)+IF(AC$47&lt;($C49+15),$U16*$C36,0)+IF(AC$47&lt;($C49+16),$V16*$C36,0)+IF(AC$47&lt;($C49+17),$W16*$C36,0)+IF(AC$47&lt;($C49+18),$X16*$C36,0)+IF(AC$47&lt;($C49+19),$Y16*$C36,0)+IF(AC$47&lt;($C49+20),$Z16*$C36,0)+IF(AC$47&lt;($C49+21),$AA16*$C36,0)+IF(AC$47&lt;($C49+22),$AB16*$C36,0)+IF(AC$47&lt;($C49+23),$AC16*$C36,0)</f>
        <v>0</v>
      </c>
    </row>
    <row r="37" spans="2:29" ht="20.100000000000001" customHeight="1" x14ac:dyDescent="0.45">
      <c r="B37" s="407" t="str">
        <f>$B$50</f>
        <v>0 Yr Category</v>
      </c>
      <c r="C37" s="423">
        <f>IF(C50=0,0,-1/C50)</f>
        <v>0</v>
      </c>
      <c r="D37" s="422"/>
      <c r="E37" s="422"/>
      <c r="F37" s="422"/>
      <c r="G37" s="422">
        <f>IF(G$47&lt;($C50+1),($G19+$F19)*$C37,0)</f>
        <v>0</v>
      </c>
      <c r="H37" s="422">
        <f>IF(H$47&lt;($C50+1),($G19+$F19)*$C37,0)+IF(H$47&lt;($C50+2),$H19*$C37,0)</f>
        <v>0</v>
      </c>
      <c r="I37" s="422">
        <f>IF(I$47&lt;($C50+1),($G19+$F19)*$C37,0)+IF(I$47&lt;($C50+2),$H19*$C37,0)+IF(I$47&lt;($C50+3),$I19*$C37,0)</f>
        <v>0</v>
      </c>
      <c r="J37" s="422">
        <f>IF(J$47&lt;($C50+1),($G19+$F19)*$C37,0)+IF(J$47&lt;($C50+2),$H19*$C37,0)+IF(J$47&lt;($C50+3),$I19*$C37,0)+IF(J$47&lt;($C50+4),$J19*$C37,0)</f>
        <v>0</v>
      </c>
      <c r="K37" s="422">
        <f>IF(K$47&lt;($C50+1),($G19+$F19)*$C37,0)+IF(K$47&lt;($C50+2),$H19*$C37,0)+IF(K$47&lt;($C50+3),$I19*$C37,0)+IF(K$47&lt;($C50+4),$J19*$C37,0)+IF(K$47&lt;($C50+5),$K19*$C37,0)</f>
        <v>0</v>
      </c>
      <c r="L37" s="422">
        <f>IF(L$47&lt;($C50+1),($G19+$F19)*$C37,0)+IF(L$47&lt;($C50+2),$H19*$C37,0)+IF(L$47&lt;($C50+3),$I19*$C37,0)+IF(L$47&lt;($C50+4),$J19*$C37,0)+IF(L$47&lt;($C50+5),$K19*$C37,0)+IF(L$47&lt;($C50+6),$L19*$C37,0)</f>
        <v>0</v>
      </c>
      <c r="M37" s="422">
        <f>IF(M$47&lt;($C50+1),($G19+$F19)*$C37,0)+IF(M$47&lt;($C50+2),$H19*$C37,0)+IF(M$47&lt;($C50+3),$I19*$C37,0)+IF(M$47&lt;($C50+4),$J19*$C37,0)+IF(M$47&lt;($C50+5),$K19*$C37,0)+IF(M$47&lt;($C50+6),$L19*$C37,0)+IF(M$47&lt;($C50+7),$M19*$C37,0)</f>
        <v>0</v>
      </c>
      <c r="N37" s="422">
        <f>IF(N$47&lt;($C50+1),($G19+$F19)*$C37,0)+IF(N$47&lt;($C50+2),$H19*$C37,0)+IF(N$47&lt;($C50+3),$I19*$C37,0)+IF(N$47&lt;($C50+4),$J19*$C37,0)+IF(N$47&lt;($C50+5),$K19*$C37,0)+IF(N$47&lt;($C50+6),$L19*$C37,0)+IF(N$47&lt;($C50+7),$M19*$C37,0)+IF(N$47&lt;($C50+8),$N19*$C37,0)</f>
        <v>0</v>
      </c>
      <c r="O37" s="422">
        <f>IF(O$47&lt;($C50+1),($G19+$F19)*$C37,0)+IF(O$47&lt;($C50+2),$H19*$C37,0)+IF(O$47&lt;($C50+3),$I19*$C37,0)+IF(O$47&lt;($C50+4),$J19*$C37,0)+IF(O$47&lt;($C50+5),$K19*$C37,0)+IF(O$47&lt;($C50+6),$L19*$C37,0)+IF(O$47&lt;($C50+7),$M19*$C37,0)+IF(O$47&lt;($C50+8),$N19*$C37,0)+IF(O$47&lt;($C50+9),$O19*$C37,0)</f>
        <v>0</v>
      </c>
      <c r="P37" s="422">
        <f>IF(P$47&lt;($C50+1),($G19+$F19)*$C37,0)+IF(P$47&lt;($C50+2),$H19*$C37,0)+IF(P$47&lt;($C50+3),$I19*$C37,0)+IF(P$47&lt;($C50+4),$J19*$C37,0)+IF(P$47&lt;($C50+5),$K19*$C37,0)+IF(P$47&lt;($C50+6),$L19*$C37,0)+IF(P$47&lt;($C50+7),$M19*$C37,0)+IF(P$47&lt;($C50+8),$N19*$C37,0)+IF(P$47&lt;($C50+9),$O19*$C37,0)+IF(P$47&lt;($C50+10),$P19*$C37,0)</f>
        <v>0</v>
      </c>
      <c r="Q37" s="422">
        <f>IF(Q$47&lt;($C50+1),($G19+$F19)*$C37,0)+IF(Q$47&lt;($C50+2),$H19*$C37,0)+IF(Q$47&lt;($C50+3),$I19*$C37,0)+IF(Q$47&lt;($C50+4),$J19*$C37,0)+IF(Q$47&lt;($C50+5),$K19*$C37,0)+IF(Q$47&lt;($C50+6),$L19*$C37,0)+IF(Q$47&lt;($C50+7),$M19*$C37,0)+IF(Q$47&lt;($C50+8),$N19*$C37,0)+IF(Q$47&lt;($C50+9),$O19*$C37,0)+IF(Q$47&lt;($C50+10),$P19*$C37,0)+IF(Q$47&lt;($C50+11),$Q19*$C37,0)</f>
        <v>0</v>
      </c>
      <c r="R37" s="422">
        <f>IF(R$47&lt;($C50+1),($G19+$F19)*$C37,0)+IF(R$47&lt;($C50+2),$H19*$C37,0)+IF(R$47&lt;($C50+3),$I19*$C37,0)+IF(R$47&lt;($C50+4),$J19*$C37,0)+IF(R$47&lt;($C50+5),$K19*$C37,0)+IF(R$47&lt;($C50+6),$L19*$C37,0)+IF(R$47&lt;($C50+7),$M19*$C37,0)+IF(R$47&lt;($C50+8),$N19*$C37,0)+IF(R$47&lt;($C50+9),$O19*$C37,0)+IF(R$47&lt;($C50+10),$P19*$C37,0)+IF(R$47&lt;($C50+11),$Q19*$C37,0)+IF(R$47&lt;($C50+12),$R19*$C37,0)</f>
        <v>0</v>
      </c>
      <c r="S37" s="422">
        <f>IF(S$47&lt;($C50+1),($G19+$F19)*$C37,0)+IF(S$47&lt;($C50+2),$H19*$C37,0)+IF(S$47&lt;($C50+3),$I19*$C37,0)+IF(S$47&lt;($C50+4),$J19*$C37,0)+IF(S$47&lt;($C50+5),$K19*$C37,0)+IF(S$47&lt;($C50+6),$L19*$C37,0)+IF(S$47&lt;($C50+7),$M19*$C37,0)+IF(S$47&lt;($C50+8),$N19*$C37,0)+IF(S$47&lt;($C50+9),$O19*$C37,0)+IF(S$47&lt;($C50+10),$P19*$C37,0)+IF(S$47&lt;($C50+11),$Q19*$C37,0)+IF(S$47&lt;($C50+12),$R19*$C37,0)+IF(S$47&lt;($C50+13),$S19*$C37,0)</f>
        <v>0</v>
      </c>
      <c r="T37" s="422">
        <f>IF(T$47&lt;($C50+1),($G19+$F19)*$C37,0)+IF(T$47&lt;($C50+2),$H19*$C37,0)+IF(T$47&lt;($C50+3),$I19*$C37,0)+IF(T$47&lt;($C50+4),$J19*$C37,0)+IF(T$47&lt;($C50+5),$K19*$C37,0)+IF(T$47&lt;($C50+6),$L19*$C37,0)+IF(T$47&lt;($C50+7),$M19*$C37,0)+IF(T$47&lt;($C50+8),$N19*$C37,0)+IF(T$47&lt;($C50+9),$O19*$C37,0)+IF(T$47&lt;($C50+10),$P19*$C37,0)+IF(T$47&lt;($C50+11),$Q19*$C37,0)+IF(T$47&lt;($C50+12),$R19*$C37,0)+IF(T$47&lt;($C50+13),$S19*$C37,0)+IF(T$47&lt;($C50+14),$T19*$C37,0)</f>
        <v>0</v>
      </c>
      <c r="U37" s="422">
        <f>IF(U$47&lt;($C50+1),($G19+$F19)*$C37,0)+IF(U$47&lt;($C50+2),$H19*$C37,0)+IF(U$47&lt;($C50+3),$I19*$C37,0)+IF(U$47&lt;($C50+4),$J19*$C37,0)+IF(U$47&lt;($C50+5),$K19*$C37,0)+IF(U$47&lt;($C50+6),$L19*$C37,0)+IF(U$47&lt;($C50+7),$M19*$C37,0)+IF(U$47&lt;($C50+8),$N19*$C37,0)+IF(U$47&lt;($C50+9),$O19*$C37,0)+IF(U$47&lt;($C50+10),$P19*$C37,0)+IF(U$47&lt;($C50+11),$Q19*$C37,0)+IF(U$47&lt;($C50+12),$R19*$C37,0)+IF(U$47&lt;($C50+13),$S19*$C37,0)+IF(U$47&lt;($C50+14),$T19*$C37,0)+IF(U$47&lt;($C50+15),$U19*$C37,0)</f>
        <v>0</v>
      </c>
      <c r="V37" s="422">
        <f>IF(V$47&lt;($C50+1),($G19+$F19)*$C37,0)+IF(V$47&lt;($C50+2),$H19*$C37,0)+IF(V$47&lt;($C50+3),$I19*$C37,0)+IF(V$47&lt;($C50+4),$J19*$C37,0)+IF(V$47&lt;($C50+5),$K19*$C37,0)+IF(V$47&lt;($C50+6),$L19*$C37,0)+IF(V$47&lt;($C50+7),$M19*$C37,0)+IF(V$47&lt;($C50+8),$N19*$C37,0)+IF(V$47&lt;($C50+9),$O19*$C37,0)+IF(V$47&lt;($C50+10),$P19*$C37,0)+IF(V$47&lt;($C50+11),$Q19*$C37,0)+IF(V$47&lt;($C50+12),$R19*$C37,0)+IF(V$47&lt;($C50+13),$S19*$C37,0)+IF(V$47&lt;($C50+14),$T19*$C37,0)+IF(V$47&lt;($C50+15),$U19*$C37,0)+IF(V$47&lt;($C50+16),$V19*$C37,0)</f>
        <v>0</v>
      </c>
      <c r="W37" s="422">
        <f>IF(W$47&lt;($C50+1),($G19+$F19)*$C37,0)+IF(W$47&lt;($C50+2),$H19*$C37,0)+IF(W$47&lt;($C50+3),$I19*$C37,0)+IF(W$47&lt;($C50+4),$J19*$C37,0)+IF(W$47&lt;($C50+5),$K19*$C37,0)+IF(W$47&lt;($C50+6),$L19*$C37,0)+IF(W$47&lt;($C50+7),$M19*$C37,0)+IF(W$47&lt;($C50+8),$N19*$C37,0)+IF(W$47&lt;($C50+9),$O19*$C37,0)+IF(W$47&lt;($C50+10),$P19*$C37,0)+IF(W$47&lt;($C50+11),$Q19*$C37,0)+IF(W$47&lt;($C50+12),$R19*$C37,0)+IF(W$47&lt;($C50+13),$S19*$C37,0)+IF(W$47&lt;($C50+14),$T19*$C37,0)+IF(W$47&lt;($C50+15),$U19*$C37,0)+IF(W$47&lt;($C50+16),$V19*$C37,0)+IF(W$47&lt;($C50+17),$W19*$C37,0)</f>
        <v>0</v>
      </c>
      <c r="X37" s="422">
        <f>IF(X$47&lt;($C50+1),($G19+$F19)*$C37,0)+IF(X$47&lt;($C50+2),$H19*$C37,0)+IF(X$47&lt;($C50+3),$I19*$C37,0)+IF(X$47&lt;($C50+4),$J19*$C37,0)+IF(X$47&lt;($C50+5),$K19*$C37,0)+IF(X$47&lt;($C50+6),$L19*$C37,0)+IF(X$47&lt;($C50+7),$M19*$C37,0)+IF(X$47&lt;($C50+8),$N19*$C37,0)+IF(X$47&lt;($C50+9),$O19*$C37,0)+IF(X$47&lt;($C50+10),$P19*$C37,0)+IF(X$47&lt;($C50+11),$Q19*$C37,0)+IF(X$47&lt;($C50+12),$R19*$C37,0)+IF(X$47&lt;($C50+13),$S19*$C37,0)+IF(X$47&lt;($C50+14),$T19*$C37,0)+IF(X$47&lt;($C50+15),$U19*$C37,0)+IF(X$47&lt;($C50+16),$V19*$C37,0)+IF(X$47&lt;($C50+17),$W19*$C37,0)+IF(X$47&lt;($C50+18),$X19*$C37,0)</f>
        <v>0</v>
      </c>
      <c r="Y37" s="422">
        <f>IF(Y$47&lt;($C50+1),($G19+$F19)*$C37,0)+IF(Y$47&lt;($C50+2),$H19*$C37,0)+IF(Y$47&lt;($C50+3),$I19*$C37,0)+IF(Y$47&lt;($C50+4),$J19*$C37,0)+IF(Y$47&lt;($C50+5),$K19*$C37,0)+IF(Y$47&lt;($C50+6),$L19*$C37,0)+IF(Y$47&lt;($C50+7),$M19*$C37,0)+IF(Y$47&lt;($C50+8),$N19*$C37,0)+IF(Y$47&lt;($C50+9),$O19*$C37,0)+IF(Y$47&lt;($C50+10),$P19*$C37,0)+IF(Y$47&lt;($C50+11),$Q19*$C37,0)+IF(Y$47&lt;($C50+12),$R19*$C37,0)+IF(Y$47&lt;($C50+13),$S19*$C37,0)+IF(Y$47&lt;($C50+14),$T19*$C37,0)+IF(Y$47&lt;($C50+15),$U19*$C37,0)+IF(Y$47&lt;($C50+16),$V19*$C37,0)+IF(Y$47&lt;($C50+17),$W19*$C37,0)+IF(Y$47&lt;($C50+18),$X19*$C37,0)+IF(Y$47&lt;($C50+19),$Y19*$C37,0)</f>
        <v>0</v>
      </c>
      <c r="Z37" s="422">
        <f>IF(Z$47&lt;($C50+1),($G19+$F19)*$C37,0)+IF(Z$47&lt;($C50+2),$H19*$C37,0)+IF(Z$47&lt;($C50+3),$I19*$C37,0)+IF(Z$47&lt;($C50+4),$J19*$C37,0)+IF(Z$47&lt;($C50+5),$K19*$C37,0)+IF(Z$47&lt;($C50+6),$L19*$C37,0)+IF(Z$47&lt;($C50+7),$M19*$C37,0)+IF(Z$47&lt;($C50+8),$N19*$C37,0)+IF(Z$47&lt;($C50+9),$O19*$C37,0)+IF(Z$47&lt;($C50+10),$P19*$C37,0)+IF(Z$47&lt;($C50+11),$Q19*$C37,0)+IF(Z$47&lt;($C50+12),$R19*$C37,0)+IF(Z$47&lt;($C50+13),$S19*$C37,0)+IF(Z$47&lt;($C50+14),$T19*$C37,0)+IF(Z$47&lt;($C50+15),$U19*$C37,0)+IF(Z$47&lt;($C50+16),$V19*$C37,0)+IF(Z$47&lt;($C50+17),$W19*$C37,0)+IF(Z$47&lt;($C50+18),$X19*$C37,0)+IF(Z$47&lt;($C50+19),$Y19*$C37,0)+IF(Z$47&lt;($C50+20),$Z19*$C37,0)</f>
        <v>0</v>
      </c>
      <c r="AA37" s="422">
        <f>IF(AA$47&lt;($C50+1),($G19+$F19)*$C37,0)+IF(AA$47&lt;($C50+2),$H19*$C37,0)+IF(AA$47&lt;($C50+3),$I19*$C37,0)+IF(AA$47&lt;($C50+4),$J19*$C37,0)+IF(AA$47&lt;($C50+5),$K19*$C37,0)+IF(AA$47&lt;($C50+6),$L19*$C37,0)+IF(AA$47&lt;($C50+7),$M19*$C37,0)+IF(AA$47&lt;($C50+8),$N19*$C37,0)+IF(AA$47&lt;($C50+9),$O19*$C37,0)+IF(AA$47&lt;($C50+10),$P19*$C37,0)+IF(AA$47&lt;($C50+11),$Q19*$C37,0)+IF(AA$47&lt;($C50+12),$R19*$C37,0)+IF(AA$47&lt;($C50+13),$S19*$C37,0)+IF(AA$47&lt;($C50+14),$T19*$C37,0)+IF(AA$47&lt;($C50+15),$U19*$C37,0)+IF(AA$47&lt;($C50+16),$V19*$C37,0)+IF(AA$47&lt;($C50+17),$W19*$C37,0)+IF(AA$47&lt;($C50+18),$X19*$C37,0)+IF(AA$47&lt;($C50+19),$Y19*$C37,0)+IF(AA$47&lt;($C50+20),$Z19*$C37,0)+IF(AA$47&lt;($C50+21),$AA19*$C37,0)</f>
        <v>0</v>
      </c>
      <c r="AB37" s="422">
        <f>IF(AB$47&lt;($C50+1),($G19+$F19)*$C37,0)+IF(AB$47&lt;($C50+2),$H19*$C37,0)+IF(AB$47&lt;($C50+3),$I19*$C37,0)+IF(AB$47&lt;($C50+4),$J19*$C37,0)+IF(AB$47&lt;($C50+5),$K19*$C37,0)+IF(AB$47&lt;($C50+6),$L19*$C37,0)+IF(AB$47&lt;($C50+7),$M19*$C37,0)+IF(AB$47&lt;($C50+8),$N19*$C37,0)+IF(AB$47&lt;($C50+9),$O19*$C37,0)+IF(AB$47&lt;($C50+10),$P19*$C37,0)+IF(AB$47&lt;($C50+11),$Q19*$C37,0)+IF(AB$47&lt;($C50+12),$R19*$C37,0)+IF(AB$47&lt;($C50+13),$S19*$C37,0)+IF(AB$47&lt;($C50+14),$T19*$C37,0)+IF(AB$47&lt;($C50+15),$U19*$C37,0)+IF(AB$47&lt;($C50+16),$V19*$C37,0)+IF(AB$47&lt;($C50+17),$W19*$C37,0)+IF(AB$47&lt;($C50+18),$X19*$C37,0)+IF(AB$47&lt;($C50+19),$Y19*$C37,0)+IF(AB$47&lt;($C50+20),$Z19*$C37,0)+IF(AB$47&lt;($C50+21),$AA19*$C37,0)+IF(AB$47&lt;($C50+22),$AB19*$C37,0)</f>
        <v>0</v>
      </c>
      <c r="AC37" s="422">
        <f>IF(AC$47&lt;($C50+1),($G19+$F19)*$C37,0)+IF(AC$47&lt;($C50+2),$H19*$C37,0)+IF(AC$47&lt;($C50+3),$I19*$C37,0)+IF(AC$47&lt;($C50+4),$J19*$C37,0)+IF(AC$47&lt;($C50+5),$K19*$C37,0)+IF(AC$47&lt;($C50+6),$L19*$C37,0)+IF(AC$47&lt;($C50+7),$M19*$C37,0)+IF(AC$47&lt;($C50+8),$N19*$C37,0)+IF(AC$47&lt;($C50+9),$O19*$C37,0)+IF(AC$47&lt;($C50+10),$P19*$C37,0)+IF(AC$47&lt;($C50+11),$Q19*$C37,0)+IF(AC$47&lt;($C50+12),$R19*$C37,0)+IF(AC$47&lt;($C50+13),$S19*$C37,0)+IF(AC$47&lt;($C50+14),$T19*$C37,0)+IF(AC$47&lt;($C50+15),$U19*$C37,0)+IF(AC$47&lt;($C50+16),$V19*$C37,0)+IF(AC$47&lt;($C50+17),$W19*$C37,0)+IF(AC$47&lt;($C50+18),$X19*$C37,0)+IF(AC$47&lt;($C50+19),$Y19*$C37,0)+IF(AC$47&lt;($C50+20),$Z19*$C37,0)+IF(AC$47&lt;($C50+21),$AA19*$C37,0)+IF(AC$47&lt;($C50+22),$AB19*$C37,0)+IF(AC$47&lt;($C50+23),$AC19*$C37,0)</f>
        <v>0</v>
      </c>
    </row>
    <row r="38" spans="2:29" ht="20.100000000000001" customHeight="1" thickBot="1" x14ac:dyDescent="0.5">
      <c r="B38" s="403" t="s">
        <v>379</v>
      </c>
      <c r="C38" s="421"/>
      <c r="D38" s="401"/>
      <c r="E38" s="401"/>
      <c r="F38" s="401">
        <f t="shared" ref="F38:X38" si="46">SUM(F34:F37)</f>
        <v>0</v>
      </c>
      <c r="G38" s="401">
        <f t="shared" si="46"/>
        <v>-65012.25783509219</v>
      </c>
      <c r="H38" s="401">
        <f t="shared" si="46"/>
        <v>-65012.25783509219</v>
      </c>
      <c r="I38" s="401">
        <f t="shared" si="46"/>
        <v>-65012.25783509219</v>
      </c>
      <c r="J38" s="401">
        <f t="shared" si="46"/>
        <v>-69012.257835092198</v>
      </c>
      <c r="K38" s="401">
        <f t="shared" si="46"/>
        <v>-69012.257835092198</v>
      </c>
      <c r="L38" s="401">
        <f t="shared" si="46"/>
        <v>-69012.257835092198</v>
      </c>
      <c r="M38" s="401">
        <f t="shared" si="46"/>
        <v>-69012.257835092198</v>
      </c>
      <c r="N38" s="401">
        <f t="shared" si="46"/>
        <v>-69012.257835092198</v>
      </c>
      <c r="O38" s="401">
        <f t="shared" si="46"/>
        <v>-72012.257835092198</v>
      </c>
      <c r="P38" s="401">
        <f t="shared" si="46"/>
        <v>-75012.257835092198</v>
      </c>
      <c r="Q38" s="401">
        <f t="shared" si="46"/>
        <v>-76012.257835092198</v>
      </c>
      <c r="R38" s="401">
        <f t="shared" si="46"/>
        <v>-78012.257835092198</v>
      </c>
      <c r="S38" s="401">
        <f t="shared" si="46"/>
        <v>-78012.257835092198</v>
      </c>
      <c r="T38" s="401">
        <f t="shared" si="46"/>
        <v>-80326.209835092188</v>
      </c>
      <c r="U38" s="401">
        <f t="shared" si="46"/>
        <v>-77326.209835092188</v>
      </c>
      <c r="V38" s="401">
        <f t="shared" si="46"/>
        <v>-11313.951999999999</v>
      </c>
      <c r="W38" s="401">
        <f t="shared" si="46"/>
        <v>-9313.9519999999993</v>
      </c>
      <c r="X38" s="400">
        <f t="shared" si="46"/>
        <v>-9313.9519999999993</v>
      </c>
      <c r="Y38" s="400">
        <f t="shared" ref="Y38:AC38" si="47">SUM(Y34:Y37)</f>
        <v>0</v>
      </c>
      <c r="Z38" s="400">
        <f t="shared" si="47"/>
        <v>0</v>
      </c>
      <c r="AA38" s="400">
        <f t="shared" si="47"/>
        <v>0</v>
      </c>
      <c r="AB38" s="400">
        <f t="shared" si="47"/>
        <v>0</v>
      </c>
      <c r="AC38" s="400">
        <f t="shared" si="47"/>
        <v>0</v>
      </c>
    </row>
    <row r="39" spans="2:29" ht="20.100000000000001" customHeight="1" x14ac:dyDescent="0.45">
      <c r="B39" s="420" t="s">
        <v>611</v>
      </c>
      <c r="C39" s="419"/>
      <c r="D39" s="418"/>
      <c r="E39" s="418"/>
      <c r="F39" s="418"/>
      <c r="G39" s="417"/>
      <c r="H39" s="417"/>
      <c r="I39" s="417"/>
      <c r="J39" s="417"/>
      <c r="K39" s="417"/>
      <c r="L39" s="417"/>
      <c r="M39" s="417"/>
      <c r="N39" s="417"/>
      <c r="O39" s="417"/>
      <c r="P39" s="417"/>
      <c r="Q39" s="417"/>
      <c r="R39" s="417"/>
      <c r="S39" s="417"/>
      <c r="T39" s="417"/>
      <c r="U39" s="417"/>
      <c r="V39" s="417"/>
      <c r="W39" s="417"/>
      <c r="X39" s="416"/>
      <c r="Y39" s="416"/>
      <c r="Z39" s="416"/>
      <c r="AA39" s="416"/>
      <c r="AB39" s="416"/>
      <c r="AC39" s="416"/>
    </row>
    <row r="40" spans="2:29" ht="20.100000000000001" customHeight="1" x14ac:dyDescent="0.45">
      <c r="B40" s="415" t="str">
        <f>$B$47</f>
        <v>15 Yr Category</v>
      </c>
      <c r="C40" s="414"/>
      <c r="D40" s="413"/>
      <c r="E40" s="413"/>
      <c r="F40" s="413">
        <f t="shared" ref="F40:G43" si="48">+F34</f>
        <v>0</v>
      </c>
      <c r="G40" s="413">
        <f t="shared" si="48"/>
        <v>-65012.25783509219</v>
      </c>
      <c r="H40" s="413">
        <f t="shared" ref="H40:X40" si="49">+G40+H34</f>
        <v>-130024.51567018438</v>
      </c>
      <c r="I40" s="413">
        <f t="shared" si="49"/>
        <v>-195036.77350527656</v>
      </c>
      <c r="J40" s="413">
        <f t="shared" si="49"/>
        <v>-260049.03134036876</v>
      </c>
      <c r="K40" s="413">
        <f t="shared" si="49"/>
        <v>-325061.28917546093</v>
      </c>
      <c r="L40" s="413">
        <f t="shared" si="49"/>
        <v>-390073.54701055313</v>
      </c>
      <c r="M40" s="413">
        <f t="shared" si="49"/>
        <v>-455085.80484564533</v>
      </c>
      <c r="N40" s="413">
        <f t="shared" si="49"/>
        <v>-520098.06268073752</v>
      </c>
      <c r="O40" s="413">
        <f t="shared" si="49"/>
        <v>-585110.32051582972</v>
      </c>
      <c r="P40" s="413">
        <f t="shared" si="49"/>
        <v>-650122.57835092186</v>
      </c>
      <c r="Q40" s="413">
        <f t="shared" si="49"/>
        <v>-715134.836186014</v>
      </c>
      <c r="R40" s="413">
        <f t="shared" si="49"/>
        <v>-780147.09402110614</v>
      </c>
      <c r="S40" s="413">
        <f t="shared" si="49"/>
        <v>-845159.35185619828</v>
      </c>
      <c r="T40" s="413">
        <f t="shared" si="49"/>
        <v>-910171.60969129042</v>
      </c>
      <c r="U40" s="413">
        <f t="shared" si="49"/>
        <v>-975183.86752638256</v>
      </c>
      <c r="V40" s="413">
        <f t="shared" si="49"/>
        <v>-975183.86752638256</v>
      </c>
      <c r="W40" s="413">
        <f t="shared" si="49"/>
        <v>-975183.86752638256</v>
      </c>
      <c r="X40" s="412">
        <f t="shared" si="49"/>
        <v>-975183.86752638256</v>
      </c>
      <c r="Y40" s="412">
        <f t="shared" ref="Y40:Y43" si="50">+X40+Y34</f>
        <v>-975183.86752638256</v>
      </c>
      <c r="Z40" s="412">
        <f t="shared" ref="Z40:Z43" si="51">+Y40+Z34</f>
        <v>-975183.86752638256</v>
      </c>
      <c r="AA40" s="412">
        <f t="shared" ref="AA40:AA43" si="52">+Z40+AA34</f>
        <v>-975183.86752638256</v>
      </c>
      <c r="AB40" s="412">
        <f t="shared" ref="AB40:AB43" si="53">+AA40+AB34</f>
        <v>-975183.86752638256</v>
      </c>
      <c r="AC40" s="412">
        <f t="shared" ref="AC40:AC43" si="54">+AB40+AC34</f>
        <v>-975183.86752638256</v>
      </c>
    </row>
    <row r="41" spans="2:29" ht="20.100000000000001" customHeight="1" x14ac:dyDescent="0.45">
      <c r="B41" s="411" t="str">
        <f>$B$48</f>
        <v>5 Yr Category</v>
      </c>
      <c r="C41" s="410"/>
      <c r="D41" s="409"/>
      <c r="E41" s="409"/>
      <c r="F41" s="409">
        <f t="shared" si="48"/>
        <v>0</v>
      </c>
      <c r="G41" s="409">
        <f t="shared" si="48"/>
        <v>0</v>
      </c>
      <c r="H41" s="409">
        <f t="shared" ref="H41:X41" si="55">+G41+H35</f>
        <v>0</v>
      </c>
      <c r="I41" s="409">
        <f t="shared" si="55"/>
        <v>0</v>
      </c>
      <c r="J41" s="409">
        <f t="shared" si="55"/>
        <v>-4000</v>
      </c>
      <c r="K41" s="409">
        <f t="shared" si="55"/>
        <v>-8000</v>
      </c>
      <c r="L41" s="409">
        <f t="shared" si="55"/>
        <v>-12000</v>
      </c>
      <c r="M41" s="409">
        <f t="shared" si="55"/>
        <v>-16000</v>
      </c>
      <c r="N41" s="409">
        <f t="shared" si="55"/>
        <v>-20000</v>
      </c>
      <c r="O41" s="409">
        <f t="shared" si="55"/>
        <v>-27000</v>
      </c>
      <c r="P41" s="409">
        <f t="shared" si="55"/>
        <v>-37000</v>
      </c>
      <c r="Q41" s="409">
        <f t="shared" si="55"/>
        <v>-48000</v>
      </c>
      <c r="R41" s="409">
        <f t="shared" si="55"/>
        <v>-61000</v>
      </c>
      <c r="S41" s="409">
        <f t="shared" si="55"/>
        <v>-74000</v>
      </c>
      <c r="T41" s="409">
        <f t="shared" si="55"/>
        <v>-89313.952000000005</v>
      </c>
      <c r="U41" s="409">
        <f t="shared" si="55"/>
        <v>-101627.90400000001</v>
      </c>
      <c r="V41" s="409">
        <f t="shared" si="55"/>
        <v>-112941.85600000001</v>
      </c>
      <c r="W41" s="409">
        <f t="shared" si="55"/>
        <v>-122255.80800000002</v>
      </c>
      <c r="X41" s="408">
        <f t="shared" si="55"/>
        <v>-131569.76</v>
      </c>
      <c r="Y41" s="408">
        <f t="shared" si="50"/>
        <v>-131569.76</v>
      </c>
      <c r="Z41" s="408">
        <f t="shared" si="51"/>
        <v>-131569.76</v>
      </c>
      <c r="AA41" s="408">
        <f t="shared" si="52"/>
        <v>-131569.76</v>
      </c>
      <c r="AB41" s="408">
        <f t="shared" si="53"/>
        <v>-131569.76</v>
      </c>
      <c r="AC41" s="408">
        <f t="shared" si="54"/>
        <v>-131569.76</v>
      </c>
    </row>
    <row r="42" spans="2:29" ht="20.100000000000001" customHeight="1" x14ac:dyDescent="0.45">
      <c r="B42" s="411" t="str">
        <f>$B$49</f>
        <v>3 Yr Category</v>
      </c>
      <c r="C42" s="410"/>
      <c r="D42" s="409"/>
      <c r="E42" s="409"/>
      <c r="F42" s="409">
        <f t="shared" si="48"/>
        <v>0</v>
      </c>
      <c r="G42" s="409">
        <f t="shared" si="48"/>
        <v>0</v>
      </c>
      <c r="H42" s="409">
        <f t="shared" ref="H42:X42" si="56">+G42+H36</f>
        <v>0</v>
      </c>
      <c r="I42" s="409">
        <f t="shared" si="56"/>
        <v>0</v>
      </c>
      <c r="J42" s="409">
        <f t="shared" si="56"/>
        <v>0</v>
      </c>
      <c r="K42" s="409">
        <f t="shared" si="56"/>
        <v>0</v>
      </c>
      <c r="L42" s="409">
        <f t="shared" si="56"/>
        <v>0</v>
      </c>
      <c r="M42" s="409">
        <f t="shared" si="56"/>
        <v>0</v>
      </c>
      <c r="N42" s="409">
        <f t="shared" si="56"/>
        <v>0</v>
      </c>
      <c r="O42" s="409">
        <f t="shared" si="56"/>
        <v>0</v>
      </c>
      <c r="P42" s="409">
        <f t="shared" si="56"/>
        <v>0</v>
      </c>
      <c r="Q42" s="409">
        <f t="shared" si="56"/>
        <v>0</v>
      </c>
      <c r="R42" s="409">
        <f t="shared" si="56"/>
        <v>0</v>
      </c>
      <c r="S42" s="409">
        <f t="shared" si="56"/>
        <v>0</v>
      </c>
      <c r="T42" s="409">
        <f t="shared" si="56"/>
        <v>0</v>
      </c>
      <c r="U42" s="409">
        <f t="shared" si="56"/>
        <v>0</v>
      </c>
      <c r="V42" s="409">
        <f t="shared" si="56"/>
        <v>0</v>
      </c>
      <c r="W42" s="409">
        <f t="shared" si="56"/>
        <v>0</v>
      </c>
      <c r="X42" s="408">
        <f t="shared" si="56"/>
        <v>0</v>
      </c>
      <c r="Y42" s="408">
        <f t="shared" si="50"/>
        <v>0</v>
      </c>
      <c r="Z42" s="408">
        <f t="shared" si="51"/>
        <v>0</v>
      </c>
      <c r="AA42" s="408">
        <f t="shared" si="52"/>
        <v>0</v>
      </c>
      <c r="AB42" s="408">
        <f t="shared" si="53"/>
        <v>0</v>
      </c>
      <c r="AC42" s="408">
        <f t="shared" si="54"/>
        <v>0</v>
      </c>
    </row>
    <row r="43" spans="2:29" ht="20.100000000000001" customHeight="1" x14ac:dyDescent="0.45">
      <c r="B43" s="407" t="str">
        <f>$B$50</f>
        <v>0 Yr Category</v>
      </c>
      <c r="C43" s="406"/>
      <c r="D43" s="405"/>
      <c r="E43" s="405"/>
      <c r="F43" s="405">
        <f t="shared" si="48"/>
        <v>0</v>
      </c>
      <c r="G43" s="405">
        <f t="shared" si="48"/>
        <v>0</v>
      </c>
      <c r="H43" s="405">
        <f t="shared" ref="H43:X43" si="57">+G43+H37</f>
        <v>0</v>
      </c>
      <c r="I43" s="405">
        <f t="shared" si="57"/>
        <v>0</v>
      </c>
      <c r="J43" s="405">
        <f t="shared" si="57"/>
        <v>0</v>
      </c>
      <c r="K43" s="405">
        <f t="shared" si="57"/>
        <v>0</v>
      </c>
      <c r="L43" s="405">
        <f t="shared" si="57"/>
        <v>0</v>
      </c>
      <c r="M43" s="405">
        <f t="shared" si="57"/>
        <v>0</v>
      </c>
      <c r="N43" s="405">
        <f t="shared" si="57"/>
        <v>0</v>
      </c>
      <c r="O43" s="405">
        <f t="shared" si="57"/>
        <v>0</v>
      </c>
      <c r="P43" s="405">
        <f t="shared" si="57"/>
        <v>0</v>
      </c>
      <c r="Q43" s="405">
        <f t="shared" si="57"/>
        <v>0</v>
      </c>
      <c r="R43" s="405">
        <f t="shared" si="57"/>
        <v>0</v>
      </c>
      <c r="S43" s="405">
        <f t="shared" si="57"/>
        <v>0</v>
      </c>
      <c r="T43" s="405">
        <f t="shared" si="57"/>
        <v>0</v>
      </c>
      <c r="U43" s="405">
        <f t="shared" si="57"/>
        <v>0</v>
      </c>
      <c r="V43" s="405">
        <f t="shared" si="57"/>
        <v>0</v>
      </c>
      <c r="W43" s="405">
        <f t="shared" si="57"/>
        <v>0</v>
      </c>
      <c r="X43" s="404">
        <f t="shared" si="57"/>
        <v>0</v>
      </c>
      <c r="Y43" s="404">
        <f t="shared" si="50"/>
        <v>0</v>
      </c>
      <c r="Z43" s="404">
        <f t="shared" si="51"/>
        <v>0</v>
      </c>
      <c r="AA43" s="404">
        <f t="shared" si="52"/>
        <v>0</v>
      </c>
      <c r="AB43" s="404">
        <f t="shared" si="53"/>
        <v>0</v>
      </c>
      <c r="AC43" s="404">
        <f t="shared" si="54"/>
        <v>0</v>
      </c>
    </row>
    <row r="44" spans="2:29" ht="20.100000000000001" customHeight="1" thickBot="1" x14ac:dyDescent="0.5">
      <c r="B44" s="403" t="s">
        <v>379</v>
      </c>
      <c r="C44" s="402"/>
      <c r="D44" s="401"/>
      <c r="E44" s="401"/>
      <c r="F44" s="401">
        <f t="shared" ref="F44:X44" si="58">SUM(F40:F43)</f>
        <v>0</v>
      </c>
      <c r="G44" s="401">
        <f t="shared" si="58"/>
        <v>-65012.25783509219</v>
      </c>
      <c r="H44" s="401">
        <f t="shared" si="58"/>
        <v>-130024.51567018438</v>
      </c>
      <c r="I44" s="401">
        <f t="shared" si="58"/>
        <v>-195036.77350527656</v>
      </c>
      <c r="J44" s="401">
        <f t="shared" si="58"/>
        <v>-264049.03134036879</v>
      </c>
      <c r="K44" s="401">
        <f t="shared" si="58"/>
        <v>-333061.28917546093</v>
      </c>
      <c r="L44" s="401">
        <f t="shared" si="58"/>
        <v>-402073.54701055313</v>
      </c>
      <c r="M44" s="401">
        <f t="shared" si="58"/>
        <v>-471085.80484564533</v>
      </c>
      <c r="N44" s="401">
        <f t="shared" si="58"/>
        <v>-540098.06268073758</v>
      </c>
      <c r="O44" s="401">
        <f t="shared" si="58"/>
        <v>-612110.32051582972</v>
      </c>
      <c r="P44" s="401">
        <f t="shared" si="58"/>
        <v>-687122.57835092186</v>
      </c>
      <c r="Q44" s="401">
        <f t="shared" si="58"/>
        <v>-763134.836186014</v>
      </c>
      <c r="R44" s="401">
        <f t="shared" si="58"/>
        <v>-841147.09402110614</v>
      </c>
      <c r="S44" s="401">
        <f t="shared" si="58"/>
        <v>-919159.35185619828</v>
      </c>
      <c r="T44" s="401">
        <f t="shared" si="58"/>
        <v>-999485.56169129047</v>
      </c>
      <c r="U44" s="401">
        <f t="shared" si="58"/>
        <v>-1076811.7715263825</v>
      </c>
      <c r="V44" s="401">
        <f t="shared" si="58"/>
        <v>-1088125.7235263826</v>
      </c>
      <c r="W44" s="401">
        <f t="shared" si="58"/>
        <v>-1097439.6755263826</v>
      </c>
      <c r="X44" s="400">
        <f t="shared" si="58"/>
        <v>-1106753.6275263825</v>
      </c>
      <c r="Y44" s="400">
        <f t="shared" ref="Y44:AC44" si="59">SUM(Y40:Y43)</f>
        <v>-1106753.6275263825</v>
      </c>
      <c r="Z44" s="400">
        <f t="shared" si="59"/>
        <v>-1106753.6275263825</v>
      </c>
      <c r="AA44" s="400">
        <f t="shared" si="59"/>
        <v>-1106753.6275263825</v>
      </c>
      <c r="AB44" s="400">
        <f t="shared" si="59"/>
        <v>-1106753.6275263825</v>
      </c>
      <c r="AC44" s="400">
        <f t="shared" si="59"/>
        <v>-1106753.6275263825</v>
      </c>
    </row>
    <row r="45" spans="2:29" ht="20.100000000000001" customHeight="1" x14ac:dyDescent="0.45">
      <c r="D45" s="296"/>
      <c r="E45" s="296"/>
      <c r="F45" s="296"/>
      <c r="G45" s="395"/>
      <c r="H45" s="296"/>
      <c r="I45" s="296"/>
      <c r="J45" s="296"/>
      <c r="K45" s="296"/>
      <c r="L45" s="296"/>
      <c r="M45" s="161"/>
      <c r="N45" s="161"/>
      <c r="O45" s="161"/>
      <c r="P45" s="161"/>
      <c r="Q45" s="161"/>
      <c r="R45" s="161"/>
      <c r="S45" s="161"/>
      <c r="T45" s="161"/>
      <c r="U45" s="161"/>
      <c r="V45" s="161"/>
      <c r="W45" s="161"/>
      <c r="X45" s="161"/>
      <c r="Y45" s="161"/>
      <c r="Z45" s="161"/>
      <c r="AA45" s="161"/>
      <c r="AB45" s="161"/>
      <c r="AC45" s="161"/>
    </row>
    <row r="46" spans="2:29" ht="20.100000000000001" customHeight="1" x14ac:dyDescent="0.45">
      <c r="B46" s="340" t="s">
        <v>610</v>
      </c>
      <c r="C46" s="291" t="s">
        <v>609</v>
      </c>
      <c r="D46" s="296"/>
      <c r="E46" s="296"/>
      <c r="F46" s="296"/>
      <c r="G46" s="395"/>
      <c r="H46" s="296"/>
      <c r="I46" s="296"/>
      <c r="J46" s="296"/>
      <c r="K46" s="296"/>
      <c r="L46" s="296"/>
      <c r="M46" s="161"/>
      <c r="N46" s="161"/>
      <c r="O46" s="161"/>
      <c r="P46" s="161"/>
      <c r="Q46" s="161"/>
      <c r="R46" s="161"/>
      <c r="S46" s="161"/>
      <c r="T46" s="161"/>
      <c r="U46" s="161"/>
      <c r="V46" s="161"/>
      <c r="W46" s="161"/>
      <c r="X46" s="161"/>
      <c r="Y46" s="161"/>
      <c r="Z46" s="161"/>
      <c r="AA46" s="161"/>
      <c r="AB46" s="161"/>
      <c r="AC46" s="161"/>
    </row>
    <row r="47" spans="2:29" ht="20.100000000000001" customHeight="1" x14ac:dyDescent="0.45">
      <c r="B47" s="399" t="s">
        <v>735</v>
      </c>
      <c r="C47" s="751">
        <f>CST_DEP_BLDG/12</f>
        <v>15</v>
      </c>
      <c r="D47" s="397"/>
      <c r="E47" s="397"/>
      <c r="F47" s="397"/>
      <c r="G47" s="397">
        <v>1</v>
      </c>
      <c r="H47" s="396">
        <v>2</v>
      </c>
      <c r="I47" s="396">
        <v>3</v>
      </c>
      <c r="J47" s="396">
        <v>4</v>
      </c>
      <c r="K47" s="396">
        <v>5</v>
      </c>
      <c r="L47" s="396">
        <v>6</v>
      </c>
      <c r="M47" s="396">
        <v>7</v>
      </c>
      <c r="N47" s="396">
        <v>8</v>
      </c>
      <c r="O47" s="396">
        <v>9</v>
      </c>
      <c r="P47" s="396">
        <v>10</v>
      </c>
      <c r="Q47" s="396">
        <v>11</v>
      </c>
      <c r="R47" s="396">
        <v>12</v>
      </c>
      <c r="S47" s="396">
        <v>13</v>
      </c>
      <c r="T47" s="396">
        <v>14</v>
      </c>
      <c r="U47" s="396">
        <v>15</v>
      </c>
      <c r="V47" s="396">
        <v>16</v>
      </c>
      <c r="W47" s="396">
        <v>17</v>
      </c>
      <c r="X47" s="396">
        <v>18</v>
      </c>
      <c r="Y47" s="396">
        <v>19</v>
      </c>
      <c r="Z47" s="396">
        <v>20</v>
      </c>
      <c r="AA47" s="396">
        <v>21</v>
      </c>
      <c r="AB47" s="396">
        <v>22</v>
      </c>
      <c r="AC47" s="396">
        <v>23</v>
      </c>
    </row>
    <row r="48" spans="2:29" ht="20.100000000000001" customHeight="1" x14ac:dyDescent="0.45">
      <c r="B48" s="399" t="s">
        <v>608</v>
      </c>
      <c r="C48" s="751">
        <f>CST_DEP_OTHER/12</f>
        <v>5</v>
      </c>
      <c r="D48" s="397"/>
      <c r="E48" s="397"/>
      <c r="F48" s="397"/>
      <c r="G48" s="397">
        <v>1</v>
      </c>
      <c r="H48" s="396">
        <v>2</v>
      </c>
      <c r="I48" s="396">
        <v>3</v>
      </c>
      <c r="J48" s="396">
        <v>4</v>
      </c>
      <c r="K48" s="396">
        <v>5</v>
      </c>
      <c r="L48" s="396">
        <v>6</v>
      </c>
      <c r="M48" s="396">
        <v>7</v>
      </c>
      <c r="N48" s="396">
        <v>8</v>
      </c>
      <c r="O48" s="396">
        <v>9</v>
      </c>
      <c r="P48" s="396">
        <v>10</v>
      </c>
      <c r="Q48" s="396">
        <v>11</v>
      </c>
      <c r="R48" s="396">
        <v>12</v>
      </c>
      <c r="S48" s="396">
        <v>13</v>
      </c>
      <c r="T48" s="396">
        <v>14</v>
      </c>
      <c r="U48" s="396">
        <v>15</v>
      </c>
      <c r="V48" s="396">
        <v>16</v>
      </c>
      <c r="W48" s="396">
        <v>17</v>
      </c>
      <c r="X48" s="396">
        <v>18</v>
      </c>
      <c r="Y48" s="396">
        <v>19</v>
      </c>
      <c r="Z48" s="396">
        <v>20</v>
      </c>
      <c r="AA48" s="396">
        <v>21</v>
      </c>
      <c r="AB48" s="396">
        <v>22</v>
      </c>
      <c r="AC48" s="396">
        <v>23</v>
      </c>
    </row>
    <row r="49" spans="1:29" ht="20.100000000000001" customHeight="1" x14ac:dyDescent="0.45">
      <c r="B49" s="399" t="s">
        <v>607</v>
      </c>
      <c r="C49" s="398">
        <v>3</v>
      </c>
      <c r="D49" s="397"/>
      <c r="E49" s="397"/>
      <c r="F49" s="397"/>
      <c r="G49" s="397">
        <v>1</v>
      </c>
      <c r="H49" s="396">
        <v>2</v>
      </c>
      <c r="I49" s="396">
        <v>3</v>
      </c>
      <c r="J49" s="396">
        <v>4</v>
      </c>
      <c r="K49" s="396">
        <v>5</v>
      </c>
      <c r="L49" s="396">
        <v>6</v>
      </c>
      <c r="M49" s="396">
        <v>7</v>
      </c>
      <c r="N49" s="396">
        <v>8</v>
      </c>
      <c r="O49" s="396">
        <v>9</v>
      </c>
      <c r="P49" s="396">
        <v>10</v>
      </c>
      <c r="Q49" s="396">
        <v>11</v>
      </c>
      <c r="R49" s="396">
        <v>12</v>
      </c>
      <c r="S49" s="396">
        <v>13</v>
      </c>
      <c r="T49" s="396">
        <v>14</v>
      </c>
      <c r="U49" s="396">
        <v>15</v>
      </c>
      <c r="V49" s="396">
        <v>16</v>
      </c>
      <c r="W49" s="396">
        <v>17</v>
      </c>
      <c r="X49" s="396">
        <v>18</v>
      </c>
      <c r="Y49" s="396">
        <v>19</v>
      </c>
      <c r="Z49" s="396">
        <v>20</v>
      </c>
      <c r="AA49" s="396">
        <v>21</v>
      </c>
      <c r="AB49" s="396">
        <v>22</v>
      </c>
      <c r="AC49" s="396">
        <v>23</v>
      </c>
    </row>
    <row r="50" spans="1:29" ht="20.100000000000001" customHeight="1" x14ac:dyDescent="0.45">
      <c r="B50" s="399" t="s">
        <v>606</v>
      </c>
      <c r="C50" s="398">
        <v>0</v>
      </c>
      <c r="D50" s="397"/>
      <c r="E50" s="397"/>
      <c r="F50" s="397"/>
      <c r="G50" s="397">
        <v>1</v>
      </c>
      <c r="H50" s="396">
        <v>2</v>
      </c>
      <c r="I50" s="396">
        <v>3</v>
      </c>
      <c r="J50" s="396">
        <v>4</v>
      </c>
      <c r="K50" s="396">
        <v>5</v>
      </c>
      <c r="L50" s="396">
        <v>6</v>
      </c>
      <c r="M50" s="396">
        <v>7</v>
      </c>
      <c r="N50" s="396">
        <v>8</v>
      </c>
      <c r="O50" s="396">
        <v>9</v>
      </c>
      <c r="P50" s="396">
        <v>10</v>
      </c>
      <c r="Q50" s="396">
        <v>11</v>
      </c>
      <c r="R50" s="396">
        <v>12</v>
      </c>
      <c r="S50" s="396">
        <v>13</v>
      </c>
      <c r="T50" s="396">
        <v>14</v>
      </c>
      <c r="U50" s="396">
        <v>15</v>
      </c>
      <c r="V50" s="396">
        <v>16</v>
      </c>
      <c r="W50" s="396">
        <v>17</v>
      </c>
      <c r="X50" s="396">
        <v>18</v>
      </c>
      <c r="Y50" s="396">
        <v>19</v>
      </c>
      <c r="Z50" s="396">
        <v>20</v>
      </c>
      <c r="AA50" s="396">
        <v>21</v>
      </c>
      <c r="AB50" s="396">
        <v>22</v>
      </c>
      <c r="AC50" s="396">
        <v>23</v>
      </c>
    </row>
    <row r="51" spans="1:29" ht="4.9000000000000004" customHeight="1" x14ac:dyDescent="0.45">
      <c r="D51" s="296"/>
      <c r="E51" s="296"/>
      <c r="F51" s="296"/>
      <c r="G51" s="395"/>
      <c r="H51" s="296"/>
      <c r="I51" s="296"/>
      <c r="J51" s="296"/>
      <c r="K51" s="296"/>
      <c r="L51" s="296"/>
      <c r="M51" s="161"/>
      <c r="N51" s="161"/>
      <c r="O51" s="161"/>
      <c r="P51" s="161"/>
      <c r="Q51" s="161"/>
      <c r="R51" s="161"/>
      <c r="S51" s="161"/>
      <c r="T51" s="161"/>
      <c r="U51" s="161"/>
      <c r="V51" s="161"/>
      <c r="W51" s="161"/>
      <c r="X51" s="161"/>
      <c r="Y51" s="161"/>
      <c r="Z51" s="161"/>
      <c r="AA51" s="161"/>
      <c r="AB51" s="161"/>
      <c r="AC51" s="161"/>
    </row>
    <row r="52" spans="1:29" ht="20.100000000000001" customHeight="1" x14ac:dyDescent="0.45">
      <c r="A52" s="299" t="s">
        <v>157</v>
      </c>
      <c r="D52" s="296"/>
      <c r="E52" s="296"/>
      <c r="F52" s="296"/>
      <c r="G52" s="395"/>
      <c r="H52" s="296"/>
      <c r="I52" s="296"/>
      <c r="J52" s="296"/>
      <c r="K52" s="296"/>
      <c r="L52" s="296"/>
      <c r="M52" s="161"/>
      <c r="N52" s="161"/>
      <c r="O52" s="161"/>
      <c r="P52" s="161"/>
      <c r="Q52" s="161"/>
      <c r="R52" s="161"/>
      <c r="S52" s="161"/>
      <c r="T52" s="161"/>
      <c r="U52" s="161"/>
      <c r="V52" s="161"/>
      <c r="W52" s="161"/>
      <c r="X52" s="161"/>
      <c r="Y52" s="161"/>
      <c r="Z52" s="161"/>
      <c r="AA52" s="161"/>
      <c r="AB52" s="161"/>
      <c r="AC52" s="161"/>
    </row>
    <row r="53" spans="1:29" ht="20.100000000000001" customHeight="1" x14ac:dyDescent="0.45">
      <c r="A53" s="299">
        <v>1</v>
      </c>
      <c r="B53" s="291" t="s">
        <v>605</v>
      </c>
      <c r="D53" s="296"/>
      <c r="E53" s="296"/>
      <c r="F53" s="296"/>
      <c r="G53" s="395"/>
      <c r="H53" s="296"/>
      <c r="I53" s="296"/>
      <c r="J53" s="296"/>
      <c r="K53" s="296"/>
      <c r="L53" s="296"/>
      <c r="M53" s="161"/>
      <c r="N53" s="161"/>
      <c r="O53" s="161"/>
      <c r="P53" s="161"/>
      <c r="Q53" s="161"/>
      <c r="R53" s="161"/>
      <c r="S53" s="161"/>
      <c r="T53" s="161"/>
      <c r="U53" s="161"/>
      <c r="V53" s="161"/>
      <c r="W53" s="161"/>
      <c r="X53" s="161"/>
      <c r="Y53" s="161"/>
      <c r="Z53" s="161"/>
      <c r="AA53" s="161"/>
      <c r="AB53" s="161"/>
      <c r="AC53" s="161"/>
    </row>
    <row r="54" spans="1:29" ht="20.100000000000001" customHeight="1" x14ac:dyDescent="0.45">
      <c r="A54" s="299">
        <v>2</v>
      </c>
      <c r="B54" s="290" t="s">
        <v>604</v>
      </c>
      <c r="D54" s="296"/>
      <c r="E54" s="296"/>
      <c r="F54" s="296"/>
      <c r="G54" s="395"/>
      <c r="H54" s="296"/>
      <c r="I54" s="296"/>
      <c r="J54" s="296"/>
      <c r="K54" s="296"/>
      <c r="L54" s="296"/>
      <c r="M54" s="161"/>
      <c r="N54" s="161"/>
      <c r="O54" s="161"/>
      <c r="P54" s="161"/>
      <c r="Q54" s="161"/>
      <c r="R54" s="161"/>
      <c r="S54" s="161"/>
      <c r="T54" s="161"/>
      <c r="U54" s="161"/>
      <c r="V54" s="161"/>
      <c r="W54" s="161"/>
      <c r="X54" s="161"/>
      <c r="Y54" s="161"/>
      <c r="Z54" s="161"/>
      <c r="AA54" s="161"/>
      <c r="AB54" s="161"/>
      <c r="AC54" s="161"/>
    </row>
    <row r="55" spans="1:29" ht="20.100000000000001" customHeight="1" x14ac:dyDescent="0.45">
      <c r="A55" s="299">
        <v>3</v>
      </c>
      <c r="B55" s="290" t="s">
        <v>603</v>
      </c>
    </row>
    <row r="56" spans="1:29" ht="15.95" customHeight="1" x14ac:dyDescent="0.45">
      <c r="A56" s="299"/>
      <c r="B56" s="394"/>
    </row>
    <row r="57" spans="1:29" ht="15.95" customHeight="1" x14ac:dyDescent="0.45">
      <c r="A57" s="299"/>
      <c r="B57" s="394"/>
    </row>
    <row r="58" spans="1:29" ht="15.95" customHeight="1" x14ac:dyDescent="0.45">
      <c r="A58" s="299"/>
      <c r="B58" s="394"/>
    </row>
    <row r="59" spans="1:29" ht="15.95" customHeight="1" x14ac:dyDescent="0.45">
      <c r="A59" s="299"/>
      <c r="B59" s="394"/>
    </row>
    <row r="60" spans="1:29" ht="15.95" customHeight="1" x14ac:dyDescent="0.45">
      <c r="A60" s="299"/>
      <c r="B60" s="394"/>
    </row>
    <row r="61" spans="1:29" ht="14.25" customHeight="1" x14ac:dyDescent="0.45"/>
    <row r="62" spans="1:29" ht="14.25" customHeight="1" x14ac:dyDescent="0.45"/>
    <row r="63" spans="1:29" ht="14.25" customHeight="1" x14ac:dyDescent="0.45"/>
    <row r="64" spans="1:29"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sheetData>
  <printOptions horizontalCentered="1"/>
  <pageMargins left="0.25" right="0.25" top="0.1" bottom="0.1" header="0.25" footer="0.25"/>
  <pageSetup paperSize="9" scale="46"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5"/>
  <sheetViews>
    <sheetView workbookViewId="0">
      <pane xSplit="1" ySplit="3" topLeftCell="I7" activePane="bottomRight" state="frozen"/>
      <selection pane="topRight" activeCell="B1" sqref="B1"/>
      <selection pane="bottomLeft" activeCell="A4" sqref="A4"/>
      <selection pane="bottomRight" activeCell="V10" sqref="V10"/>
    </sheetView>
  </sheetViews>
  <sheetFormatPr defaultColWidth="9.1328125" defaultRowHeight="24" customHeight="1" x14ac:dyDescent="0.45"/>
  <cols>
    <col min="1" max="1" width="27.3984375" style="468" customWidth="1"/>
    <col min="2" max="21" width="10.73046875" style="468" customWidth="1"/>
    <col min="22" max="16384" width="9.1328125" style="468"/>
  </cols>
  <sheetData>
    <row r="1" spans="1:21" ht="19.899999999999999" customHeight="1" x14ac:dyDescent="0.45">
      <c r="A1" s="502" t="str">
        <f>Rev!$A$1</f>
        <v>Ali Bin Ali Establishment, Manteq Project</v>
      </c>
      <c r="B1" s="470"/>
      <c r="C1" s="470"/>
      <c r="D1" s="470"/>
      <c r="E1" s="470"/>
      <c r="F1" s="470"/>
      <c r="G1" s="470"/>
      <c r="H1" s="470"/>
      <c r="I1" s="470"/>
      <c r="J1" s="470"/>
      <c r="K1" s="470"/>
      <c r="L1" s="470"/>
      <c r="M1" s="470"/>
      <c r="N1" s="470"/>
      <c r="O1" s="470"/>
      <c r="P1" s="470"/>
      <c r="Q1" s="470"/>
      <c r="R1" s="470"/>
      <c r="S1" s="470"/>
      <c r="T1" s="470"/>
      <c r="U1" s="501" t="s">
        <v>601</v>
      </c>
    </row>
    <row r="2" spans="1:21" ht="19.899999999999999" customHeight="1" x14ac:dyDescent="0.45">
      <c r="A2" s="486"/>
      <c r="B2" s="500"/>
      <c r="C2" s="500"/>
      <c r="D2" s="500"/>
      <c r="E2" s="500"/>
      <c r="F2" s="500"/>
      <c r="G2" s="500"/>
      <c r="H2" s="500"/>
      <c r="I2" s="500"/>
      <c r="J2" s="500"/>
      <c r="K2" s="500"/>
      <c r="L2" s="500"/>
      <c r="M2" s="500"/>
      <c r="N2" s="500"/>
      <c r="O2" s="500"/>
      <c r="P2" s="500"/>
      <c r="Q2" s="500"/>
      <c r="R2" s="500"/>
      <c r="S2" s="500"/>
      <c r="T2" s="500"/>
      <c r="U2" s="500"/>
    </row>
    <row r="3" spans="1:21" ht="19.899999999999999" customHeight="1" x14ac:dyDescent="0.45">
      <c r="A3" s="499" t="s">
        <v>650</v>
      </c>
      <c r="B3" s="498" t="s">
        <v>576</v>
      </c>
      <c r="C3" s="498" t="s">
        <v>575</v>
      </c>
      <c r="D3" s="498" t="s">
        <v>574</v>
      </c>
      <c r="E3" s="498" t="s">
        <v>573</v>
      </c>
      <c r="F3" s="498" t="s">
        <v>572</v>
      </c>
      <c r="G3" s="498" t="s">
        <v>571</v>
      </c>
      <c r="H3" s="498" t="s">
        <v>570</v>
      </c>
      <c r="I3" s="498" t="s">
        <v>569</v>
      </c>
      <c r="J3" s="498" t="s">
        <v>568</v>
      </c>
      <c r="K3" s="498" t="s">
        <v>567</v>
      </c>
      <c r="L3" s="498" t="s">
        <v>566</v>
      </c>
      <c r="M3" s="498" t="s">
        <v>565</v>
      </c>
      <c r="N3" s="498" t="s">
        <v>564</v>
      </c>
      <c r="O3" s="498" t="s">
        <v>563</v>
      </c>
      <c r="P3" s="498" t="s">
        <v>562</v>
      </c>
      <c r="Q3" s="498" t="s">
        <v>561</v>
      </c>
      <c r="R3" s="498" t="s">
        <v>560</v>
      </c>
      <c r="S3" s="498" t="s">
        <v>559</v>
      </c>
      <c r="T3" s="498" t="s">
        <v>558</v>
      </c>
      <c r="U3" s="498" t="s">
        <v>725</v>
      </c>
    </row>
    <row r="4" spans="1:21" ht="19.899999999999999" customHeight="1" x14ac:dyDescent="0.45">
      <c r="A4" s="470" t="s">
        <v>615</v>
      </c>
      <c r="B4" s="497"/>
      <c r="C4" s="497"/>
      <c r="D4" s="497"/>
      <c r="E4" s="497"/>
      <c r="F4" s="497"/>
      <c r="G4" s="497"/>
      <c r="H4" s="497"/>
      <c r="I4" s="497"/>
      <c r="J4" s="497"/>
      <c r="K4" s="497"/>
      <c r="L4" s="497"/>
      <c r="M4" s="497"/>
      <c r="N4" s="497"/>
      <c r="O4" s="497"/>
      <c r="P4" s="497"/>
      <c r="Q4" s="497"/>
      <c r="R4" s="497"/>
      <c r="S4" s="497"/>
      <c r="T4" s="497"/>
      <c r="U4" s="497"/>
    </row>
    <row r="5" spans="1:21" ht="19.899999999999999" customHeight="1" x14ac:dyDescent="0.45">
      <c r="A5" s="470" t="s">
        <v>280</v>
      </c>
      <c r="B5" s="708">
        <f>Capex!D20</f>
        <v>474722.55407572235</v>
      </c>
      <c r="C5" s="708">
        <f>Capex!E20+Capex!D20</f>
        <v>975183.86752638291</v>
      </c>
      <c r="D5" s="708">
        <f>C5-SUM(Rev!E79:E80)</f>
        <v>910171.60969129077</v>
      </c>
      <c r="E5" s="708">
        <f>D5-SUM(Rev!F79:F80)</f>
        <v>845159.35185619863</v>
      </c>
      <c r="F5" s="708">
        <f>E5-SUM(Rev!G79:G80)</f>
        <v>780147.09402110649</v>
      </c>
      <c r="G5" s="708">
        <f>F5-SUM(Rev!H79:H80)</f>
        <v>731134.83618601435</v>
      </c>
      <c r="H5" s="708">
        <f>G5-SUM(Rev!I79:I80)</f>
        <v>662122.57835092209</v>
      </c>
      <c r="I5" s="708">
        <f>H5-SUM(Rev!J79:J80)</f>
        <v>593110.32051582984</v>
      </c>
      <c r="J5" s="708">
        <f>I5-SUM(Rev!K79:K80)</f>
        <v>524098.06268073764</v>
      </c>
      <c r="K5" s="708">
        <f>J5-SUM(Rev!L79:L80)</f>
        <v>455085.80484564544</v>
      </c>
      <c r="L5" s="708">
        <f>K5-SUM(Rev!M79:M80)</f>
        <v>418073.54701055324</v>
      </c>
      <c r="M5" s="708">
        <f>L5-SUM(Rev!N79:N80)</f>
        <v>358061.28917546105</v>
      </c>
      <c r="N5" s="708">
        <f>M5-SUM(Rev!O79:O80)</f>
        <v>287049.03134036885</v>
      </c>
      <c r="O5" s="708">
        <f>N5-SUM(Rev!P79:P80)</f>
        <v>219036.77350527665</v>
      </c>
      <c r="P5" s="708">
        <f>O5-SUM(Rev!Q79:Q80)</f>
        <v>141024.51567018445</v>
      </c>
      <c r="Q5" s="708">
        <f>P5-SUM(Rev!R79:R80)</f>
        <v>107268.06583509226</v>
      </c>
      <c r="R5" s="708">
        <f>Q5-SUM(Rev!S79:S80)</f>
        <v>29941.856000000073</v>
      </c>
      <c r="S5" s="708">
        <f>R5-SUM(Rev!T79:T80)</f>
        <v>18627.904000000075</v>
      </c>
      <c r="T5" s="708">
        <f>S5-SUM(Rev!U79:U80)</f>
        <v>9313.9520000000757</v>
      </c>
      <c r="U5" s="708">
        <f>T5-SUM(Rev!V79:V80)</f>
        <v>7.6397554948925972E-11</v>
      </c>
    </row>
    <row r="6" spans="1:21" ht="19.899999999999999" customHeight="1" x14ac:dyDescent="0.45">
      <c r="A6" s="470" t="s">
        <v>649</v>
      </c>
      <c r="B6" s="708">
        <f>Rev!C64</f>
        <v>0</v>
      </c>
      <c r="C6" s="708">
        <f>Rev!D64</f>
        <v>0</v>
      </c>
      <c r="D6" s="708">
        <f>Rev!E64</f>
        <v>0</v>
      </c>
      <c r="E6" s="708">
        <f>Rev!F64</f>
        <v>0</v>
      </c>
      <c r="F6" s="708">
        <f>Rev!G64</f>
        <v>0</v>
      </c>
      <c r="G6" s="708">
        <f>Rev!H64</f>
        <v>0</v>
      </c>
      <c r="H6" s="708">
        <f>Rev!I64</f>
        <v>0</v>
      </c>
      <c r="I6" s="708">
        <f>Rev!J64</f>
        <v>0</v>
      </c>
      <c r="J6" s="708">
        <f>Rev!K64</f>
        <v>0</v>
      </c>
      <c r="K6" s="708">
        <f>Rev!L64</f>
        <v>0</v>
      </c>
      <c r="L6" s="708">
        <f>Rev!M64</f>
        <v>0</v>
      </c>
      <c r="M6" s="708">
        <f>Rev!N64</f>
        <v>0</v>
      </c>
      <c r="N6" s="708">
        <f>Rev!O64</f>
        <v>0</v>
      </c>
      <c r="O6" s="708">
        <f>Rev!P64</f>
        <v>0</v>
      </c>
      <c r="P6" s="708">
        <f>Rev!Q64</f>
        <v>0</v>
      </c>
      <c r="Q6" s="708">
        <f>Rev!R64</f>
        <v>0</v>
      </c>
      <c r="R6" s="708">
        <f>Rev!S64</f>
        <v>0</v>
      </c>
      <c r="S6" s="708">
        <f>Rev!T64</f>
        <v>0</v>
      </c>
      <c r="T6" s="708">
        <f>Rev!U64</f>
        <v>0</v>
      </c>
      <c r="U6" s="708">
        <f>Rev!V64</f>
        <v>0</v>
      </c>
    </row>
    <row r="7" spans="1:21" ht="19.899999999999999" customHeight="1" x14ac:dyDescent="0.45">
      <c r="A7" s="470" t="s">
        <v>648</v>
      </c>
      <c r="B7" s="708">
        <f>Rev!C65</f>
        <v>2000</v>
      </c>
      <c r="C7" s="708">
        <f>Rev!D65</f>
        <v>2000</v>
      </c>
      <c r="D7" s="708">
        <f>Rev!E65</f>
        <v>2000</v>
      </c>
      <c r="E7" s="708">
        <f>Rev!F65</f>
        <v>2000</v>
      </c>
      <c r="F7" s="708">
        <f>Rev!G65</f>
        <v>2000</v>
      </c>
      <c r="G7" s="708">
        <f>Rev!H65</f>
        <v>2000</v>
      </c>
      <c r="H7" s="708">
        <f>Rev!I65</f>
        <v>2000</v>
      </c>
      <c r="I7" s="708">
        <f>Rev!J65</f>
        <v>2000</v>
      </c>
      <c r="J7" s="708">
        <f>Rev!K65</f>
        <v>2000</v>
      </c>
      <c r="K7" s="708">
        <f>Rev!L65</f>
        <v>2000</v>
      </c>
      <c r="L7" s="708">
        <f>Rev!M65</f>
        <v>2000</v>
      </c>
      <c r="M7" s="708">
        <f>Rev!N65</f>
        <v>2000</v>
      </c>
      <c r="N7" s="708">
        <f>Rev!O65</f>
        <v>2000</v>
      </c>
      <c r="O7" s="708">
        <f>Rev!P65</f>
        <v>2000</v>
      </c>
      <c r="P7" s="708">
        <f>Rev!Q65</f>
        <v>2000</v>
      </c>
      <c r="Q7" s="708">
        <f>Rev!R65</f>
        <v>2000</v>
      </c>
      <c r="R7" s="708">
        <f>Rev!S65</f>
        <v>2000</v>
      </c>
      <c r="S7" s="708">
        <f>Rev!T65</f>
        <v>2000</v>
      </c>
      <c r="T7" s="708">
        <f>Rev!U65</f>
        <v>2000</v>
      </c>
      <c r="U7" s="708">
        <f>Rev!V65</f>
        <v>2000</v>
      </c>
    </row>
    <row r="8" spans="1:21" ht="19.899999999999999" customHeight="1" x14ac:dyDescent="0.45">
      <c r="A8" s="470" t="s">
        <v>647</v>
      </c>
      <c r="B8" s="708">
        <f>Rev!C66</f>
        <v>0</v>
      </c>
      <c r="C8" s="708">
        <f>Rev!D66</f>
        <v>0</v>
      </c>
      <c r="D8" s="708">
        <f>Rev!E66</f>
        <v>5618</v>
      </c>
      <c r="E8" s="708">
        <f>Rev!F66</f>
        <v>9296</v>
      </c>
      <c r="F8" s="708">
        <f>Rev!G66</f>
        <v>13623</v>
      </c>
      <c r="G8" s="708">
        <f>Rev!H66</f>
        <v>16519</v>
      </c>
      <c r="H8" s="708">
        <f>Rev!I66</f>
        <v>17306</v>
      </c>
      <c r="I8" s="708">
        <f>Rev!J66</f>
        <v>17306</v>
      </c>
      <c r="J8" s="708">
        <f>Rev!K66</f>
        <v>18093</v>
      </c>
      <c r="K8" s="708">
        <f>Rev!L66</f>
        <v>18093</v>
      </c>
      <c r="L8" s="708">
        <f>Rev!M66</f>
        <v>18879</v>
      </c>
      <c r="M8" s="708">
        <f>Rev!N66</f>
        <v>18879</v>
      </c>
      <c r="N8" s="708">
        <f>Rev!O66</f>
        <v>19666</v>
      </c>
      <c r="O8" s="708">
        <f>Rev!P66</f>
        <v>19666</v>
      </c>
      <c r="P8" s="708">
        <f>Rev!Q66</f>
        <v>20453</v>
      </c>
      <c r="Q8" s="708">
        <f>Rev!R66</f>
        <v>20453</v>
      </c>
      <c r="R8" s="708">
        <f>Rev!S66</f>
        <v>21239</v>
      </c>
      <c r="S8" s="708">
        <f>Rev!T66</f>
        <v>21239</v>
      </c>
      <c r="T8" s="708">
        <f>Rev!U66</f>
        <v>22026</v>
      </c>
      <c r="U8" s="708">
        <f>Rev!V66</f>
        <v>22026</v>
      </c>
    </row>
    <row r="9" spans="1:21" ht="19.899999999999999" customHeight="1" x14ac:dyDescent="0.45">
      <c r="A9" s="470" t="s">
        <v>646</v>
      </c>
      <c r="B9" s="708">
        <f>Rev!C67</f>
        <v>0</v>
      </c>
      <c r="C9" s="708">
        <f>Rev!D67</f>
        <v>0</v>
      </c>
      <c r="D9" s="708">
        <f>Rev!E67</f>
        <v>-588</v>
      </c>
      <c r="E9" s="708">
        <f>Rev!F67</f>
        <v>-588</v>
      </c>
      <c r="F9" s="708">
        <f>Rev!G67</f>
        <v>-588</v>
      </c>
      <c r="G9" s="708">
        <f>Rev!H67</f>
        <v>-588</v>
      </c>
      <c r="H9" s="708">
        <f>Rev!I67</f>
        <v>-782</v>
      </c>
      <c r="I9" s="708">
        <f>Rev!J67</f>
        <v>-796</v>
      </c>
      <c r="J9" s="708">
        <f>Rev!K67</f>
        <v>-829</v>
      </c>
      <c r="K9" s="708">
        <f>Rev!L67</f>
        <v>-852</v>
      </c>
      <c r="L9" s="708">
        <f>Rev!M67</f>
        <v>-876</v>
      </c>
      <c r="M9" s="708">
        <f>Rev!N67</f>
        <v>-899</v>
      </c>
      <c r="N9" s="708">
        <f>Rev!O67</f>
        <v>-922</v>
      </c>
      <c r="O9" s="708">
        <f>Rev!P67</f>
        <v>-946</v>
      </c>
      <c r="P9" s="708">
        <f>Rev!Q67</f>
        <v>-969</v>
      </c>
      <c r="Q9" s="708">
        <f>Rev!R67</f>
        <v>-992</v>
      </c>
      <c r="R9" s="708">
        <f>Rev!S67</f>
        <v>-1016</v>
      </c>
      <c r="S9" s="708">
        <f>Rev!T67</f>
        <v>-1039</v>
      </c>
      <c r="T9" s="708">
        <f>Rev!U67</f>
        <v>-1039</v>
      </c>
      <c r="U9" s="708">
        <f>Rev!V67</f>
        <v>-1039</v>
      </c>
    </row>
    <row r="10" spans="1:21" ht="19.899999999999999" customHeight="1" x14ac:dyDescent="0.45">
      <c r="A10" s="470" t="s">
        <v>645</v>
      </c>
      <c r="B10" s="710"/>
      <c r="C10" s="711"/>
      <c r="D10" s="709">
        <f t="shared" ref="D10:U10" ca="1" si="0">D51</f>
        <v>0</v>
      </c>
      <c r="E10" s="709">
        <f t="shared" ca="1" si="0"/>
        <v>0</v>
      </c>
      <c r="F10" s="709">
        <f t="shared" ca="1" si="0"/>
        <v>0</v>
      </c>
      <c r="G10" s="709">
        <f t="shared" ca="1" si="0"/>
        <v>0</v>
      </c>
      <c r="H10" s="709">
        <f t="shared" ca="1" si="0"/>
        <v>0</v>
      </c>
      <c r="I10" s="709">
        <f t="shared" ca="1" si="0"/>
        <v>0</v>
      </c>
      <c r="J10" s="709">
        <f t="shared" ca="1" si="0"/>
        <v>0</v>
      </c>
      <c r="K10" s="709">
        <f t="shared" ca="1" si="0"/>
        <v>35994.613500428997</v>
      </c>
      <c r="L10" s="709">
        <f t="shared" ca="1" si="0"/>
        <v>77240.002491124382</v>
      </c>
      <c r="M10" s="709">
        <f t="shared" ca="1" si="0"/>
        <v>123539.7650500178</v>
      </c>
      <c r="N10" s="709">
        <f t="shared" ca="1" si="0"/>
        <v>174321.81589008018</v>
      </c>
      <c r="O10" s="709">
        <f t="shared" ca="1" si="0"/>
        <v>223908.99029834056</v>
      </c>
      <c r="P10" s="709">
        <f t="shared" ca="1" si="0"/>
        <v>277978.20298776991</v>
      </c>
      <c r="Q10" s="709">
        <f t="shared" ca="1" si="0"/>
        <v>320459.84924539726</v>
      </c>
      <c r="R10" s="709">
        <f t="shared" ca="1" si="0"/>
        <v>376566.72378419363</v>
      </c>
      <c r="S10" s="709">
        <f t="shared" ca="1" si="0"/>
        <v>432727.97189118795</v>
      </c>
      <c r="T10" s="709">
        <f t="shared" ca="1" si="0"/>
        <v>491007.63471115322</v>
      </c>
      <c r="U10" s="709">
        <f t="shared" ca="1" si="0"/>
        <v>549484.0475311185</v>
      </c>
    </row>
    <row r="11" spans="1:21" ht="19.899999999999999" customHeight="1" thickBot="1" x14ac:dyDescent="0.5">
      <c r="A11" s="717" t="s">
        <v>644</v>
      </c>
      <c r="B11" s="716">
        <f t="shared" ref="B11:U11" si="1">SUM(B4:B10)</f>
        <v>476722.55407572235</v>
      </c>
      <c r="C11" s="716">
        <f t="shared" si="1"/>
        <v>977183.86752638291</v>
      </c>
      <c r="D11" s="716">
        <f t="shared" ca="1" si="1"/>
        <v>917201.60969129077</v>
      </c>
      <c r="E11" s="716">
        <f t="shared" ca="1" si="1"/>
        <v>855867.35185619863</v>
      </c>
      <c r="F11" s="716">
        <f t="shared" ca="1" si="1"/>
        <v>795182.09402110649</v>
      </c>
      <c r="G11" s="716">
        <f t="shared" ca="1" si="1"/>
        <v>749065.83618601435</v>
      </c>
      <c r="H11" s="716">
        <f t="shared" ca="1" si="1"/>
        <v>680646.57835092209</v>
      </c>
      <c r="I11" s="716">
        <f t="shared" ca="1" si="1"/>
        <v>611620.32051582984</v>
      </c>
      <c r="J11" s="716">
        <f t="shared" ca="1" si="1"/>
        <v>543362.06268073758</v>
      </c>
      <c r="K11" s="716">
        <f t="shared" ca="1" si="1"/>
        <v>510321.41834607441</v>
      </c>
      <c r="L11" s="716">
        <f t="shared" ca="1" si="1"/>
        <v>515316.54950167763</v>
      </c>
      <c r="M11" s="716">
        <f t="shared" ca="1" si="1"/>
        <v>501581.05422547885</v>
      </c>
      <c r="N11" s="716">
        <f t="shared" ca="1" si="1"/>
        <v>482114.84723044903</v>
      </c>
      <c r="O11" s="716">
        <f t="shared" ca="1" si="1"/>
        <v>463665.76380361721</v>
      </c>
      <c r="P11" s="716">
        <f t="shared" ca="1" si="1"/>
        <v>440486.71865795436</v>
      </c>
      <c r="Q11" s="716">
        <f t="shared" ca="1" si="1"/>
        <v>449188.91508048953</v>
      </c>
      <c r="R11" s="716">
        <f t="shared" ca="1" si="1"/>
        <v>428731.57978419372</v>
      </c>
      <c r="S11" s="716">
        <f t="shared" ca="1" si="1"/>
        <v>473555.87589118804</v>
      </c>
      <c r="T11" s="716">
        <f t="shared" ca="1" si="1"/>
        <v>523308.58671115327</v>
      </c>
      <c r="U11" s="716">
        <f t="shared" ca="1" si="1"/>
        <v>572471.04753111862</v>
      </c>
    </row>
    <row r="12" spans="1:21" ht="19.899999999999999" customHeight="1" x14ac:dyDescent="0.45">
      <c r="A12" s="470"/>
      <c r="B12" s="497"/>
      <c r="C12" s="497"/>
      <c r="D12" s="497"/>
      <c r="E12" s="497"/>
      <c r="F12" s="497"/>
      <c r="G12" s="497"/>
      <c r="H12" s="497"/>
      <c r="I12" s="497"/>
      <c r="J12" s="497"/>
      <c r="K12" s="497"/>
      <c r="L12" s="497"/>
      <c r="M12" s="497"/>
      <c r="N12" s="497"/>
      <c r="O12" s="497"/>
      <c r="P12" s="497"/>
      <c r="Q12" s="497"/>
      <c r="R12" s="497"/>
      <c r="S12" s="497"/>
      <c r="T12" s="497"/>
      <c r="U12" s="497"/>
    </row>
    <row r="13" spans="1:21" ht="19.899999999999999" customHeight="1" x14ac:dyDescent="0.45">
      <c r="A13" s="470" t="s">
        <v>638</v>
      </c>
      <c r="B13" s="708">
        <f t="shared" ref="B13:U13" si="2">B27</f>
        <v>384688.51382506732</v>
      </c>
      <c r="C13" s="708">
        <f t="shared" si="2"/>
        <v>793460.81182507297</v>
      </c>
      <c r="D13" s="708">
        <f t="shared" ca="1" si="2"/>
        <v>747251.36240373913</v>
      </c>
      <c r="E13" s="708">
        <f t="shared" ca="1" si="2"/>
        <v>656283.10991471657</v>
      </c>
      <c r="F13" s="708">
        <f t="shared" ca="1" si="2"/>
        <v>514901.15062115982</v>
      </c>
      <c r="G13" s="708">
        <f t="shared" ca="1" si="2"/>
        <v>357905.33391179831</v>
      </c>
      <c r="H13" s="708">
        <f t="shared" ca="1" si="2"/>
        <v>174052.07274395251</v>
      </c>
      <c r="I13" s="708">
        <f t="shared" ca="1" si="2"/>
        <v>1.57160684466362E-9</v>
      </c>
      <c r="J13" s="708">
        <f t="shared" ca="1" si="2"/>
        <v>1.57160684466362E-9</v>
      </c>
      <c r="K13" s="708">
        <f t="shared" ca="1" si="2"/>
        <v>1.57160684466362E-9</v>
      </c>
      <c r="L13" s="708">
        <f t="shared" ca="1" si="2"/>
        <v>1.57160684466362E-9</v>
      </c>
      <c r="M13" s="708">
        <f t="shared" ca="1" si="2"/>
        <v>1.57160684466362E-9</v>
      </c>
      <c r="N13" s="708">
        <f t="shared" ca="1" si="2"/>
        <v>1.57160684466362E-9</v>
      </c>
      <c r="O13" s="708">
        <f t="shared" ca="1" si="2"/>
        <v>1.57160684466362E-9</v>
      </c>
      <c r="P13" s="708">
        <f t="shared" ca="1" si="2"/>
        <v>1.57160684466362E-9</v>
      </c>
      <c r="Q13" s="708">
        <f t="shared" ca="1" si="2"/>
        <v>1.57160684466362E-9</v>
      </c>
      <c r="R13" s="708">
        <f t="shared" ca="1" si="2"/>
        <v>1.57160684466362E-9</v>
      </c>
      <c r="S13" s="708">
        <f t="shared" ca="1" si="2"/>
        <v>1.57160684466362E-9</v>
      </c>
      <c r="T13" s="708">
        <f t="shared" ca="1" si="2"/>
        <v>1.57160684466362E-9</v>
      </c>
      <c r="U13" s="708">
        <f t="shared" ca="1" si="2"/>
        <v>1.57160684466362E-9</v>
      </c>
    </row>
    <row r="14" spans="1:21" ht="19.899999999999999" customHeight="1" x14ac:dyDescent="0.45">
      <c r="A14" s="750" t="s">
        <v>643</v>
      </c>
      <c r="B14" s="714"/>
      <c r="C14" s="715"/>
      <c r="D14" s="713">
        <f t="shared" ref="D14:U14" ca="1" si="3">D33</f>
        <v>51721.121039141573</v>
      </c>
      <c r="E14" s="713">
        <f t="shared" ca="1" si="3"/>
        <v>102437.47813067997</v>
      </c>
      <c r="F14" s="713">
        <f t="shared" ca="1" si="3"/>
        <v>148910.62072328862</v>
      </c>
      <c r="G14" s="713">
        <f t="shared" ca="1" si="3"/>
        <v>188548.26998887971</v>
      </c>
      <c r="H14" s="713">
        <f t="shared" ca="1" si="3"/>
        <v>219501.82456856011</v>
      </c>
      <c r="I14" s="713">
        <f t="shared" ca="1" si="3"/>
        <v>229824.08656980743</v>
      </c>
      <c r="J14" s="713">
        <f t="shared" ca="1" si="3"/>
        <v>47555.201490338288</v>
      </c>
      <c r="K14" s="713">
        <f t="shared" ca="1" si="3"/>
        <v>2.8524027584353462E-10</v>
      </c>
      <c r="L14" s="713">
        <f t="shared" ca="1" si="3"/>
        <v>2.8524027584353462E-10</v>
      </c>
      <c r="M14" s="713">
        <f t="shared" ca="1" si="3"/>
        <v>2.8524027584353462E-10</v>
      </c>
      <c r="N14" s="713">
        <f t="shared" ca="1" si="3"/>
        <v>2.8524027584353462E-10</v>
      </c>
      <c r="O14" s="713">
        <f t="shared" ca="1" si="3"/>
        <v>2.8524027584353462E-10</v>
      </c>
      <c r="P14" s="713">
        <f t="shared" ca="1" si="3"/>
        <v>2.8524027584353462E-10</v>
      </c>
      <c r="Q14" s="713">
        <f t="shared" ca="1" si="3"/>
        <v>2.8524027584353462E-10</v>
      </c>
      <c r="R14" s="713">
        <f t="shared" ca="1" si="3"/>
        <v>2.8524027584353462E-10</v>
      </c>
      <c r="S14" s="713">
        <f t="shared" ca="1" si="3"/>
        <v>2.8524027584353462E-10</v>
      </c>
      <c r="T14" s="713">
        <f t="shared" ca="1" si="3"/>
        <v>2.8524027584353462E-10</v>
      </c>
      <c r="U14" s="713">
        <f t="shared" ca="1" si="3"/>
        <v>2.8524027584353462E-10</v>
      </c>
    </row>
    <row r="15" spans="1:21" ht="19.899999999999999" customHeight="1" x14ac:dyDescent="0.45">
      <c r="A15" s="718" t="s">
        <v>314</v>
      </c>
      <c r="B15" s="719">
        <f t="shared" ref="B15:U15" si="4">SUM(B13:B14)</f>
        <v>384688.51382506732</v>
      </c>
      <c r="C15" s="719">
        <f t="shared" si="4"/>
        <v>793460.81182507297</v>
      </c>
      <c r="D15" s="719">
        <f t="shared" ca="1" si="4"/>
        <v>798972.48344288068</v>
      </c>
      <c r="E15" s="719">
        <f t="shared" ca="1" si="4"/>
        <v>758720.58804539649</v>
      </c>
      <c r="F15" s="719">
        <f t="shared" ca="1" si="4"/>
        <v>663811.77134444844</v>
      </c>
      <c r="G15" s="719">
        <f t="shared" ca="1" si="4"/>
        <v>546453.60390067799</v>
      </c>
      <c r="H15" s="719">
        <f t="shared" ca="1" si="4"/>
        <v>393553.89731251262</v>
      </c>
      <c r="I15" s="719">
        <f t="shared" ca="1" si="4"/>
        <v>229824.08656980901</v>
      </c>
      <c r="J15" s="719">
        <f t="shared" ca="1" si="4"/>
        <v>47555.201490339859</v>
      </c>
      <c r="K15" s="719">
        <f t="shared" ca="1" si="4"/>
        <v>1.8568471205071546E-9</v>
      </c>
      <c r="L15" s="719">
        <f t="shared" ca="1" si="4"/>
        <v>1.8568471205071546E-9</v>
      </c>
      <c r="M15" s="719">
        <f t="shared" ca="1" si="4"/>
        <v>1.8568471205071546E-9</v>
      </c>
      <c r="N15" s="719">
        <f t="shared" ca="1" si="4"/>
        <v>1.8568471205071546E-9</v>
      </c>
      <c r="O15" s="719">
        <f t="shared" ca="1" si="4"/>
        <v>1.8568471205071546E-9</v>
      </c>
      <c r="P15" s="719">
        <f t="shared" ca="1" si="4"/>
        <v>1.8568471205071546E-9</v>
      </c>
      <c r="Q15" s="719">
        <f t="shared" ca="1" si="4"/>
        <v>1.8568471205071546E-9</v>
      </c>
      <c r="R15" s="719">
        <f t="shared" ca="1" si="4"/>
        <v>1.8568471205071546E-9</v>
      </c>
      <c r="S15" s="719">
        <f t="shared" ca="1" si="4"/>
        <v>1.8568471205071546E-9</v>
      </c>
      <c r="T15" s="719">
        <f t="shared" ca="1" si="4"/>
        <v>1.8568471205071546E-9</v>
      </c>
      <c r="U15" s="719">
        <f t="shared" ca="1" si="4"/>
        <v>1.8568471205071546E-9</v>
      </c>
    </row>
    <row r="16" spans="1:21" ht="19.899999999999999" customHeight="1" x14ac:dyDescent="0.45">
      <c r="A16" s="470" t="s">
        <v>733</v>
      </c>
      <c r="B16" s="708">
        <f>SUM('Loan Plan'!$D14:D14)</f>
        <v>92034.040250654914</v>
      </c>
      <c r="C16" s="708">
        <f>SUM('Loan Plan'!$D14:E14)</f>
        <v>183723.05570130987</v>
      </c>
      <c r="D16" s="708">
        <f t="shared" ref="D16:U16" si="5">C16</f>
        <v>183723.05570130987</v>
      </c>
      <c r="E16" s="708">
        <f t="shared" si="5"/>
        <v>183723.05570130987</v>
      </c>
      <c r="F16" s="708">
        <f t="shared" si="5"/>
        <v>183723.05570130987</v>
      </c>
      <c r="G16" s="708">
        <f t="shared" si="5"/>
        <v>183723.05570130987</v>
      </c>
      <c r="H16" s="708">
        <f t="shared" si="5"/>
        <v>183723.05570130987</v>
      </c>
      <c r="I16" s="708">
        <f t="shared" si="5"/>
        <v>183723.05570130987</v>
      </c>
      <c r="J16" s="708">
        <f t="shared" si="5"/>
        <v>183723.05570130987</v>
      </c>
      <c r="K16" s="708">
        <f t="shared" si="5"/>
        <v>183723.05570130987</v>
      </c>
      <c r="L16" s="708">
        <f t="shared" si="5"/>
        <v>183723.05570130987</v>
      </c>
      <c r="M16" s="708">
        <f t="shared" si="5"/>
        <v>183723.05570130987</v>
      </c>
      <c r="N16" s="708">
        <f t="shared" si="5"/>
        <v>183723.05570130987</v>
      </c>
      <c r="O16" s="708">
        <f t="shared" si="5"/>
        <v>183723.05570130987</v>
      </c>
      <c r="P16" s="708">
        <f t="shared" si="5"/>
        <v>183723.05570130987</v>
      </c>
      <c r="Q16" s="708">
        <f t="shared" si="5"/>
        <v>183723.05570130987</v>
      </c>
      <c r="R16" s="708">
        <f t="shared" si="5"/>
        <v>183723.05570130987</v>
      </c>
      <c r="S16" s="708">
        <f t="shared" si="5"/>
        <v>183723.05570130987</v>
      </c>
      <c r="T16" s="708">
        <f t="shared" si="5"/>
        <v>183723.05570130987</v>
      </c>
      <c r="U16" s="708">
        <f t="shared" si="5"/>
        <v>183723.05570130987</v>
      </c>
    </row>
    <row r="17" spans="1:21" ht="19.899999999999999" customHeight="1" x14ac:dyDescent="0.45">
      <c r="A17" s="470" t="s">
        <v>298</v>
      </c>
      <c r="B17" s="710"/>
      <c r="C17" s="710"/>
      <c r="D17" s="708">
        <f t="shared" ref="D17:U17" ca="1" si="6">D40</f>
        <v>-65493.929452899887</v>
      </c>
      <c r="E17" s="708">
        <f t="shared" ca="1" si="6"/>
        <v>-86576.291890507971</v>
      </c>
      <c r="F17" s="708">
        <f t="shared" ca="1" si="6"/>
        <v>-52352.733024652036</v>
      </c>
      <c r="G17" s="708">
        <f t="shared" ca="1" si="6"/>
        <v>18889.176584026231</v>
      </c>
      <c r="H17" s="708">
        <f t="shared" ca="1" si="6"/>
        <v>103369.62533709945</v>
      </c>
      <c r="I17" s="708">
        <f t="shared" ca="1" si="6"/>
        <v>198073.17824471084</v>
      </c>
      <c r="J17" s="708">
        <f t="shared" ca="1" si="6"/>
        <v>312083.80548908777</v>
      </c>
      <c r="K17" s="708">
        <f t="shared" ca="1" si="6"/>
        <v>434582.20314604958</v>
      </c>
      <c r="L17" s="708">
        <f t="shared" ca="1" si="6"/>
        <v>563313.50127373892</v>
      </c>
      <c r="M17" s="708">
        <f t="shared" ca="1" si="6"/>
        <v>688477.29367422033</v>
      </c>
      <c r="N17" s="708">
        <f t="shared" ca="1" si="6"/>
        <v>821357.23919937771</v>
      </c>
      <c r="O17" s="708">
        <f t="shared" ca="1" si="6"/>
        <v>951669.67899732711</v>
      </c>
      <c r="P17" s="708">
        <f t="shared" ca="1" si="6"/>
        <v>1090698.2719199522</v>
      </c>
      <c r="Q17" s="708">
        <f t="shared" ca="1" si="6"/>
        <v>1226845.4071153696</v>
      </c>
      <c r="R17" s="708">
        <f t="shared" ca="1" si="6"/>
        <v>1374708.6954354628</v>
      </c>
      <c r="S17" s="708">
        <f t="shared" ca="1" si="6"/>
        <v>1588016.7358634402</v>
      </c>
      <c r="T17" s="708">
        <f t="shared" ca="1" si="6"/>
        <v>1812608.4351433015</v>
      </c>
      <c r="U17" s="708">
        <f t="shared" ca="1" si="6"/>
        <v>2037200.1344231628</v>
      </c>
    </row>
    <row r="18" spans="1:21" ht="19.899999999999999" customHeight="1" x14ac:dyDescent="0.45">
      <c r="A18" s="470" t="s">
        <v>683</v>
      </c>
      <c r="B18" s="714"/>
      <c r="C18" s="714"/>
      <c r="D18" s="712">
        <f t="shared" ref="D18:U18" ca="1" si="7">D48</f>
        <v>0</v>
      </c>
      <c r="E18" s="712">
        <f t="shared" ca="1" si="7"/>
        <v>0</v>
      </c>
      <c r="F18" s="712">
        <f t="shared" ca="1" si="7"/>
        <v>0</v>
      </c>
      <c r="G18" s="712">
        <f t="shared" ca="1" si="7"/>
        <v>0</v>
      </c>
      <c r="H18" s="712">
        <f t="shared" ca="1" si="7"/>
        <v>0</v>
      </c>
      <c r="I18" s="712">
        <f t="shared" ca="1" si="7"/>
        <v>0</v>
      </c>
      <c r="J18" s="712">
        <f t="shared" ca="1" si="7"/>
        <v>0</v>
      </c>
      <c r="K18" s="712">
        <f t="shared" ca="1" si="7"/>
        <v>-107983.84050128673</v>
      </c>
      <c r="L18" s="712">
        <f t="shared" ca="1" si="7"/>
        <v>-231720.00747337291</v>
      </c>
      <c r="M18" s="712">
        <f t="shared" ca="1" si="7"/>
        <v>-370619.29515005305</v>
      </c>
      <c r="N18" s="712">
        <f t="shared" ca="1" si="7"/>
        <v>-522965.4476702403</v>
      </c>
      <c r="O18" s="712">
        <f t="shared" ca="1" si="7"/>
        <v>-671726.97089502146</v>
      </c>
      <c r="P18" s="712">
        <f t="shared" ca="1" si="7"/>
        <v>-833934.60896330955</v>
      </c>
      <c r="Q18" s="712">
        <f t="shared" ca="1" si="7"/>
        <v>-961379.54773619166</v>
      </c>
      <c r="R18" s="712">
        <f t="shared" ca="1" si="7"/>
        <v>-1129700.1713525804</v>
      </c>
      <c r="S18" s="712">
        <f t="shared" ca="1" si="7"/>
        <v>-1298183.9156735635</v>
      </c>
      <c r="T18" s="712">
        <f t="shared" ca="1" si="7"/>
        <v>-1473022.9041334593</v>
      </c>
      <c r="U18" s="712">
        <f t="shared" ca="1" si="7"/>
        <v>-1648452.1425933552</v>
      </c>
    </row>
    <row r="19" spans="1:21" ht="19.899999999999999" customHeight="1" x14ac:dyDescent="0.45">
      <c r="A19" s="718" t="s">
        <v>642</v>
      </c>
      <c r="B19" s="719">
        <f t="shared" ref="B19:U19" si="8">SUM(B16:B18)</f>
        <v>92034.040250654914</v>
      </c>
      <c r="C19" s="719">
        <f t="shared" si="8"/>
        <v>183723.05570130987</v>
      </c>
      <c r="D19" s="719">
        <f t="shared" ca="1" si="8"/>
        <v>118229.12624840999</v>
      </c>
      <c r="E19" s="719">
        <f t="shared" ca="1" si="8"/>
        <v>97146.763810801902</v>
      </c>
      <c r="F19" s="719">
        <f t="shared" ca="1" si="8"/>
        <v>131370.32267665784</v>
      </c>
      <c r="G19" s="719">
        <f t="shared" ca="1" si="8"/>
        <v>202612.2322853361</v>
      </c>
      <c r="H19" s="719">
        <f t="shared" ca="1" si="8"/>
        <v>287092.68103840936</v>
      </c>
      <c r="I19" s="719">
        <f t="shared" ca="1" si="8"/>
        <v>381796.23394602071</v>
      </c>
      <c r="J19" s="719">
        <f t="shared" ca="1" si="8"/>
        <v>495806.86119039764</v>
      </c>
      <c r="K19" s="719">
        <f t="shared" ca="1" si="8"/>
        <v>510321.41834607272</v>
      </c>
      <c r="L19" s="719">
        <f t="shared" ca="1" si="8"/>
        <v>515316.54950167582</v>
      </c>
      <c r="M19" s="719">
        <f t="shared" ca="1" si="8"/>
        <v>501581.0542254771</v>
      </c>
      <c r="N19" s="719">
        <f t="shared" ca="1" si="8"/>
        <v>482114.84723044734</v>
      </c>
      <c r="O19" s="719">
        <f t="shared" ca="1" si="8"/>
        <v>463665.76380361547</v>
      </c>
      <c r="P19" s="719">
        <f t="shared" ca="1" si="8"/>
        <v>440486.7186579525</v>
      </c>
      <c r="Q19" s="719">
        <f t="shared" ca="1" si="8"/>
        <v>449188.91508048773</v>
      </c>
      <c r="R19" s="719">
        <f t="shared" ca="1" si="8"/>
        <v>428731.57978419214</v>
      </c>
      <c r="S19" s="719">
        <f t="shared" ca="1" si="8"/>
        <v>473555.87589118653</v>
      </c>
      <c r="T19" s="719">
        <f t="shared" ca="1" si="8"/>
        <v>523308.58671115199</v>
      </c>
      <c r="U19" s="719">
        <f t="shared" ca="1" si="8"/>
        <v>572471.04753111745</v>
      </c>
    </row>
    <row r="20" spans="1:21" ht="19.899999999999999" customHeight="1" thickBot="1" x14ac:dyDescent="0.5">
      <c r="A20" s="717" t="s">
        <v>641</v>
      </c>
      <c r="B20" s="716">
        <f t="shared" ref="B20:U20" si="9">B15+B19</f>
        <v>476722.55407572223</v>
      </c>
      <c r="C20" s="716">
        <f t="shared" si="9"/>
        <v>977183.86752638291</v>
      </c>
      <c r="D20" s="716">
        <f t="shared" ca="1" si="9"/>
        <v>917201.60969129065</v>
      </c>
      <c r="E20" s="716">
        <f t="shared" ca="1" si="9"/>
        <v>855867.35185619839</v>
      </c>
      <c r="F20" s="716">
        <f t="shared" ca="1" si="9"/>
        <v>795182.09402110626</v>
      </c>
      <c r="G20" s="716">
        <f t="shared" ca="1" si="9"/>
        <v>749065.83618601412</v>
      </c>
      <c r="H20" s="716">
        <f t="shared" ca="1" si="9"/>
        <v>680646.57835092198</v>
      </c>
      <c r="I20" s="716">
        <f t="shared" ca="1" si="9"/>
        <v>611620.32051582972</v>
      </c>
      <c r="J20" s="716">
        <f t="shared" ca="1" si="9"/>
        <v>543362.06268073746</v>
      </c>
      <c r="K20" s="716">
        <f t="shared" ca="1" si="9"/>
        <v>510321.41834607458</v>
      </c>
      <c r="L20" s="716">
        <f t="shared" ca="1" si="9"/>
        <v>515316.54950167768</v>
      </c>
      <c r="M20" s="716">
        <f t="shared" ca="1" si="9"/>
        <v>501581.05422547896</v>
      </c>
      <c r="N20" s="716">
        <f t="shared" ca="1" si="9"/>
        <v>482114.8472304492</v>
      </c>
      <c r="O20" s="716">
        <f t="shared" ca="1" si="9"/>
        <v>463665.76380361733</v>
      </c>
      <c r="P20" s="716">
        <f t="shared" ca="1" si="9"/>
        <v>440486.71865795436</v>
      </c>
      <c r="Q20" s="716">
        <f t="shared" ca="1" si="9"/>
        <v>449188.91508048959</v>
      </c>
      <c r="R20" s="716">
        <f t="shared" ca="1" si="9"/>
        <v>428731.57978419401</v>
      </c>
      <c r="S20" s="716">
        <f t="shared" ca="1" si="9"/>
        <v>473555.87589118839</v>
      </c>
      <c r="T20" s="716">
        <f t="shared" ca="1" si="9"/>
        <v>523308.58671115385</v>
      </c>
      <c r="U20" s="716">
        <f t="shared" ca="1" si="9"/>
        <v>572471.04753111931</v>
      </c>
    </row>
    <row r="21" spans="1:21" ht="19.899999999999999" customHeight="1" thickBot="1" x14ac:dyDescent="0.5">
      <c r="A21" s="487"/>
      <c r="B21" s="496">
        <f t="shared" ref="B21:U21" si="10">+B20-B11</f>
        <v>0</v>
      </c>
      <c r="C21" s="496">
        <f t="shared" si="10"/>
        <v>0</v>
      </c>
      <c r="D21" s="496">
        <f t="shared" ca="1" si="10"/>
        <v>0</v>
      </c>
      <c r="E21" s="496">
        <f t="shared" ca="1" si="10"/>
        <v>0</v>
      </c>
      <c r="F21" s="496">
        <f t="shared" ca="1" si="10"/>
        <v>0</v>
      </c>
      <c r="G21" s="496">
        <f t="shared" ca="1" si="10"/>
        <v>0</v>
      </c>
      <c r="H21" s="496">
        <f t="shared" ca="1" si="10"/>
        <v>0</v>
      </c>
      <c r="I21" s="496">
        <f t="shared" ca="1" si="10"/>
        <v>0</v>
      </c>
      <c r="J21" s="496">
        <f t="shared" ca="1" si="10"/>
        <v>0</v>
      </c>
      <c r="K21" s="496">
        <f t="shared" ca="1" si="10"/>
        <v>0</v>
      </c>
      <c r="L21" s="496">
        <f t="shared" ca="1" si="10"/>
        <v>0</v>
      </c>
      <c r="M21" s="496">
        <f t="shared" ca="1" si="10"/>
        <v>0</v>
      </c>
      <c r="N21" s="496">
        <f t="shared" ca="1" si="10"/>
        <v>0</v>
      </c>
      <c r="O21" s="496">
        <f t="shared" ca="1" si="10"/>
        <v>0</v>
      </c>
      <c r="P21" s="496">
        <f t="shared" ca="1" si="10"/>
        <v>0</v>
      </c>
      <c r="Q21" s="496">
        <f t="shared" ca="1" si="10"/>
        <v>0</v>
      </c>
      <c r="R21" s="496">
        <f t="shared" ca="1" si="10"/>
        <v>0</v>
      </c>
      <c r="S21" s="496">
        <f t="shared" ca="1" si="10"/>
        <v>0</v>
      </c>
      <c r="T21" s="496">
        <f t="shared" ca="1" si="10"/>
        <v>5.8207660913467407E-10</v>
      </c>
      <c r="U21" s="496">
        <f t="shared" ca="1" si="10"/>
        <v>0</v>
      </c>
    </row>
    <row r="22" spans="1:21" ht="19.899999999999999" customHeight="1" thickBot="1" x14ac:dyDescent="0.5">
      <c r="A22" s="495" t="s">
        <v>638</v>
      </c>
      <c r="B22" s="485" t="s">
        <v>577</v>
      </c>
      <c r="C22" s="485" t="s">
        <v>576</v>
      </c>
      <c r="D22" s="485" t="s">
        <v>575</v>
      </c>
      <c r="E22" s="485" t="s">
        <v>574</v>
      </c>
      <c r="F22" s="485" t="s">
        <v>573</v>
      </c>
      <c r="G22" s="485" t="s">
        <v>572</v>
      </c>
      <c r="H22" s="485" t="s">
        <v>571</v>
      </c>
      <c r="I22" s="485" t="s">
        <v>570</v>
      </c>
      <c r="J22" s="485" t="s">
        <v>569</v>
      </c>
      <c r="K22" s="485" t="s">
        <v>568</v>
      </c>
      <c r="L22" s="485" t="s">
        <v>567</v>
      </c>
      <c r="M22" s="485" t="s">
        <v>566</v>
      </c>
      <c r="N22" s="485" t="s">
        <v>565</v>
      </c>
      <c r="O22" s="485" t="s">
        <v>564</v>
      </c>
      <c r="P22" s="485" t="s">
        <v>563</v>
      </c>
      <c r="Q22" s="485" t="s">
        <v>562</v>
      </c>
      <c r="R22" s="485" t="s">
        <v>561</v>
      </c>
      <c r="S22" s="485" t="s">
        <v>560</v>
      </c>
      <c r="T22" s="485" t="s">
        <v>559</v>
      </c>
      <c r="U22" s="494" t="s">
        <v>558</v>
      </c>
    </row>
    <row r="23" spans="1:21" ht="19.899999999999999" customHeight="1" x14ac:dyDescent="0.45">
      <c r="A23" s="493" t="s">
        <v>637</v>
      </c>
      <c r="B23" s="720"/>
      <c r="C23" s="720">
        <f t="shared" ref="C23:U23" si="11">IF(B27=0,0,B27)</f>
        <v>384688.51382506732</v>
      </c>
      <c r="D23" s="720">
        <f t="shared" si="11"/>
        <v>793460.81182507297</v>
      </c>
      <c r="E23" s="720">
        <f t="shared" ca="1" si="11"/>
        <v>747251.36240373913</v>
      </c>
      <c r="F23" s="720">
        <f t="shared" ca="1" si="11"/>
        <v>656283.10991471657</v>
      </c>
      <c r="G23" s="720">
        <f t="shared" ca="1" si="11"/>
        <v>514901.15062115982</v>
      </c>
      <c r="H23" s="720">
        <f t="shared" ca="1" si="11"/>
        <v>357905.33391179831</v>
      </c>
      <c r="I23" s="720">
        <f t="shared" ca="1" si="11"/>
        <v>174052.07274395251</v>
      </c>
      <c r="J23" s="720">
        <f t="shared" ca="1" si="11"/>
        <v>1.57160684466362E-9</v>
      </c>
      <c r="K23" s="720">
        <f t="shared" ca="1" si="11"/>
        <v>1.57160684466362E-9</v>
      </c>
      <c r="L23" s="720">
        <f t="shared" ca="1" si="11"/>
        <v>1.57160684466362E-9</v>
      </c>
      <c r="M23" s="720">
        <f t="shared" ca="1" si="11"/>
        <v>1.57160684466362E-9</v>
      </c>
      <c r="N23" s="720">
        <f t="shared" ca="1" si="11"/>
        <v>1.57160684466362E-9</v>
      </c>
      <c r="O23" s="720">
        <f t="shared" ca="1" si="11"/>
        <v>1.57160684466362E-9</v>
      </c>
      <c r="P23" s="720">
        <f t="shared" ca="1" si="11"/>
        <v>1.57160684466362E-9</v>
      </c>
      <c r="Q23" s="720">
        <f t="shared" ca="1" si="11"/>
        <v>1.57160684466362E-9</v>
      </c>
      <c r="R23" s="720">
        <f t="shared" ca="1" si="11"/>
        <v>1.57160684466362E-9</v>
      </c>
      <c r="S23" s="720">
        <f t="shared" ca="1" si="11"/>
        <v>1.57160684466362E-9</v>
      </c>
      <c r="T23" s="720">
        <f t="shared" ca="1" si="11"/>
        <v>1.57160684466362E-9</v>
      </c>
      <c r="U23" s="721">
        <f t="shared" ca="1" si="11"/>
        <v>1.57160684466362E-9</v>
      </c>
    </row>
    <row r="24" spans="1:21" ht="19.899999999999999" customHeight="1" x14ac:dyDescent="0.45">
      <c r="A24" s="491" t="s">
        <v>636</v>
      </c>
      <c r="B24" s="722">
        <f>'Loan Plan'!D19</f>
        <v>368136.16100261977</v>
      </c>
      <c r="C24" s="722">
        <f>'Loan Plan'!E19</f>
        <v>366756.06180261978</v>
      </c>
      <c r="D24" s="722"/>
      <c r="E24" s="722"/>
      <c r="F24" s="722"/>
      <c r="G24" s="722"/>
      <c r="H24" s="722"/>
      <c r="I24" s="722"/>
      <c r="J24" s="722"/>
      <c r="K24" s="722"/>
      <c r="L24" s="722"/>
      <c r="M24" s="722"/>
      <c r="N24" s="722"/>
      <c r="O24" s="722"/>
      <c r="P24" s="722"/>
      <c r="Q24" s="722"/>
      <c r="R24" s="722"/>
      <c r="S24" s="722"/>
      <c r="T24" s="722"/>
      <c r="U24" s="723"/>
    </row>
    <row r="25" spans="1:21" ht="19.899999999999999" customHeight="1" x14ac:dyDescent="0.45">
      <c r="A25" s="491" t="s">
        <v>640</v>
      </c>
      <c r="B25" s="722">
        <f>'Loan Plan'!D20</f>
        <v>16552.352822447567</v>
      </c>
      <c r="C25" s="722">
        <f>'Loan Plan'!E20</f>
        <v>42016.236197385813</v>
      </c>
      <c r="D25" s="722"/>
      <c r="E25" s="722"/>
      <c r="F25" s="722"/>
      <c r="G25" s="722"/>
      <c r="H25" s="722"/>
      <c r="I25" s="722"/>
      <c r="J25" s="722"/>
      <c r="K25" s="722"/>
      <c r="L25" s="722"/>
      <c r="M25" s="722"/>
      <c r="N25" s="722"/>
      <c r="O25" s="722"/>
      <c r="P25" s="722"/>
      <c r="Q25" s="722"/>
      <c r="R25" s="722"/>
      <c r="S25" s="722"/>
      <c r="T25" s="722"/>
      <c r="U25" s="723"/>
    </row>
    <row r="26" spans="1:21" ht="19.899999999999999" customHeight="1" x14ac:dyDescent="0.45">
      <c r="A26" s="489" t="s">
        <v>639</v>
      </c>
      <c r="B26" s="724"/>
      <c r="C26" s="724"/>
      <c r="D26" s="724">
        <f ca="1">-CF!$H$7</f>
        <v>-46209.449421333898</v>
      </c>
      <c r="E26" s="724">
        <f ca="1">-CF!$H$8</f>
        <v>-90968.252489022518</v>
      </c>
      <c r="F26" s="724">
        <f ca="1">-CF!$H$9</f>
        <v>-141381.95929355678</v>
      </c>
      <c r="G26" s="724">
        <f ca="1">-CF!$H$10</f>
        <v>-156995.81670936153</v>
      </c>
      <c r="H26" s="724">
        <f ca="1">-CF!$H$11</f>
        <v>-183853.26116784581</v>
      </c>
      <c r="I26" s="724">
        <f ca="1">-CF!$H$12</f>
        <v>-174052.07274395094</v>
      </c>
      <c r="J26" s="724">
        <f ca="1">-CF!$H$13</f>
        <v>0</v>
      </c>
      <c r="K26" s="724">
        <f ca="1">-CF!$H$14</f>
        <v>0</v>
      </c>
      <c r="L26" s="724">
        <f ca="1">-CF!$H$15</f>
        <v>0</v>
      </c>
      <c r="M26" s="724">
        <f ca="1">-CF!$H$16</f>
        <v>0</v>
      </c>
      <c r="N26" s="724">
        <f ca="1">-CF!$H$17</f>
        <v>0</v>
      </c>
      <c r="O26" s="724">
        <f ca="1">-CF!$H$18</f>
        <v>0</v>
      </c>
      <c r="P26" s="724">
        <f ca="1">-CF!$H$19</f>
        <v>0</v>
      </c>
      <c r="Q26" s="724">
        <f ca="1">-CF!$H$20</f>
        <v>0</v>
      </c>
      <c r="R26" s="724">
        <f ca="1">-CF!$H$21</f>
        <v>0</v>
      </c>
      <c r="S26" s="724">
        <f ca="1">-CF!$H$22</f>
        <v>0</v>
      </c>
      <c r="T26" s="724">
        <f>-CF!$H$23</f>
        <v>0</v>
      </c>
      <c r="U26" s="725">
        <f>-CF!$H$24</f>
        <v>0</v>
      </c>
    </row>
    <row r="27" spans="1:21" ht="19.899999999999999" customHeight="1" thickBot="1" x14ac:dyDescent="0.5">
      <c r="A27" s="728" t="s">
        <v>635</v>
      </c>
      <c r="B27" s="726">
        <f t="shared" ref="B27:U27" si="12">SUM(B23:B26)</f>
        <v>384688.51382506732</v>
      </c>
      <c r="C27" s="726">
        <f t="shared" si="12"/>
        <v>793460.81182507297</v>
      </c>
      <c r="D27" s="726">
        <f t="shared" ca="1" si="12"/>
        <v>747251.36240373913</v>
      </c>
      <c r="E27" s="726">
        <f t="shared" ca="1" si="12"/>
        <v>656283.10991471657</v>
      </c>
      <c r="F27" s="726">
        <f t="shared" ca="1" si="12"/>
        <v>514901.15062115982</v>
      </c>
      <c r="G27" s="726">
        <f t="shared" ca="1" si="12"/>
        <v>357905.33391179831</v>
      </c>
      <c r="H27" s="726">
        <f t="shared" ca="1" si="12"/>
        <v>174052.07274395251</v>
      </c>
      <c r="I27" s="726">
        <f t="shared" ca="1" si="12"/>
        <v>1.57160684466362E-9</v>
      </c>
      <c r="J27" s="726">
        <f t="shared" ca="1" si="12"/>
        <v>1.57160684466362E-9</v>
      </c>
      <c r="K27" s="726">
        <f t="shared" ca="1" si="12"/>
        <v>1.57160684466362E-9</v>
      </c>
      <c r="L27" s="726">
        <f t="shared" ca="1" si="12"/>
        <v>1.57160684466362E-9</v>
      </c>
      <c r="M27" s="726">
        <f t="shared" ca="1" si="12"/>
        <v>1.57160684466362E-9</v>
      </c>
      <c r="N27" s="726">
        <f t="shared" ca="1" si="12"/>
        <v>1.57160684466362E-9</v>
      </c>
      <c r="O27" s="726">
        <f t="shared" ca="1" si="12"/>
        <v>1.57160684466362E-9</v>
      </c>
      <c r="P27" s="726">
        <f t="shared" ca="1" si="12"/>
        <v>1.57160684466362E-9</v>
      </c>
      <c r="Q27" s="726">
        <f t="shared" ca="1" si="12"/>
        <v>1.57160684466362E-9</v>
      </c>
      <c r="R27" s="726">
        <f t="shared" ca="1" si="12"/>
        <v>1.57160684466362E-9</v>
      </c>
      <c r="S27" s="726">
        <f t="shared" ca="1" si="12"/>
        <v>1.57160684466362E-9</v>
      </c>
      <c r="T27" s="726">
        <f t="shared" ca="1" si="12"/>
        <v>1.57160684466362E-9</v>
      </c>
      <c r="U27" s="727">
        <f t="shared" ca="1" si="12"/>
        <v>1.57160684466362E-9</v>
      </c>
    </row>
    <row r="28" spans="1:21" ht="19.899999999999999" customHeight="1" thickBot="1" x14ac:dyDescent="0.5">
      <c r="A28" s="487"/>
      <c r="B28" s="475"/>
      <c r="C28" s="475"/>
      <c r="D28" s="475"/>
      <c r="E28" s="475"/>
      <c r="F28" s="475"/>
      <c r="G28" s="475"/>
      <c r="H28" s="475"/>
      <c r="I28" s="475"/>
      <c r="J28" s="475"/>
      <c r="K28" s="475"/>
      <c r="L28" s="475"/>
      <c r="M28" s="475"/>
      <c r="N28" s="475"/>
      <c r="O28" s="475"/>
      <c r="P28" s="475"/>
      <c r="Q28" s="475"/>
      <c r="R28" s="475"/>
      <c r="S28" s="475"/>
      <c r="T28" s="475"/>
      <c r="U28" s="475"/>
    </row>
    <row r="29" spans="1:21" ht="19.899999999999999" customHeight="1" thickBot="1" x14ac:dyDescent="0.5">
      <c r="A29" s="495" t="s">
        <v>643</v>
      </c>
      <c r="B29" s="485" t="s">
        <v>577</v>
      </c>
      <c r="C29" s="485" t="s">
        <v>576</v>
      </c>
      <c r="D29" s="485" t="s">
        <v>575</v>
      </c>
      <c r="E29" s="485" t="s">
        <v>574</v>
      </c>
      <c r="F29" s="485" t="s">
        <v>573</v>
      </c>
      <c r="G29" s="485" t="s">
        <v>572</v>
      </c>
      <c r="H29" s="485" t="s">
        <v>571</v>
      </c>
      <c r="I29" s="485" t="s">
        <v>570</v>
      </c>
      <c r="J29" s="485" t="s">
        <v>569</v>
      </c>
      <c r="K29" s="485" t="s">
        <v>568</v>
      </c>
      <c r="L29" s="485" t="s">
        <v>567</v>
      </c>
      <c r="M29" s="485" t="s">
        <v>566</v>
      </c>
      <c r="N29" s="485" t="s">
        <v>565</v>
      </c>
      <c r="O29" s="485" t="s">
        <v>564</v>
      </c>
      <c r="P29" s="485" t="s">
        <v>563</v>
      </c>
      <c r="Q29" s="485" t="s">
        <v>562</v>
      </c>
      <c r="R29" s="485" t="s">
        <v>561</v>
      </c>
      <c r="S29" s="485" t="s">
        <v>560</v>
      </c>
      <c r="T29" s="485" t="s">
        <v>559</v>
      </c>
      <c r="U29" s="494" t="s">
        <v>558</v>
      </c>
    </row>
    <row r="30" spans="1:21" ht="19.899999999999999" customHeight="1" x14ac:dyDescent="0.45">
      <c r="A30" s="493" t="s">
        <v>637</v>
      </c>
      <c r="B30" s="492"/>
      <c r="C30" s="492"/>
      <c r="D30" s="720">
        <f t="shared" ref="D30:U30" si="13">IF(C33=0,0,C33)</f>
        <v>0</v>
      </c>
      <c r="E30" s="720">
        <f t="shared" ca="1" si="13"/>
        <v>51721.121039141573</v>
      </c>
      <c r="F30" s="720">
        <f t="shared" ca="1" si="13"/>
        <v>102437.47813067997</v>
      </c>
      <c r="G30" s="720">
        <f t="shared" ca="1" si="13"/>
        <v>148910.62072328862</v>
      </c>
      <c r="H30" s="720">
        <f t="shared" ca="1" si="13"/>
        <v>188548.26998887971</v>
      </c>
      <c r="I30" s="720">
        <f t="shared" ca="1" si="13"/>
        <v>219501.82456856011</v>
      </c>
      <c r="J30" s="720">
        <f t="shared" ca="1" si="13"/>
        <v>229824.08656980743</v>
      </c>
      <c r="K30" s="720">
        <f t="shared" ca="1" si="13"/>
        <v>47555.201490338288</v>
      </c>
      <c r="L30" s="720">
        <f t="shared" ca="1" si="13"/>
        <v>2.8524027584353462E-10</v>
      </c>
      <c r="M30" s="720">
        <f t="shared" ca="1" si="13"/>
        <v>2.8524027584353462E-10</v>
      </c>
      <c r="N30" s="720">
        <f t="shared" ca="1" si="13"/>
        <v>2.8524027584353462E-10</v>
      </c>
      <c r="O30" s="720">
        <f t="shared" ca="1" si="13"/>
        <v>2.8524027584353462E-10</v>
      </c>
      <c r="P30" s="720">
        <f t="shared" ca="1" si="13"/>
        <v>2.8524027584353462E-10</v>
      </c>
      <c r="Q30" s="720">
        <f t="shared" ca="1" si="13"/>
        <v>2.8524027584353462E-10</v>
      </c>
      <c r="R30" s="720">
        <f t="shared" ca="1" si="13"/>
        <v>2.8524027584353462E-10</v>
      </c>
      <c r="S30" s="720">
        <f t="shared" ca="1" si="13"/>
        <v>2.8524027584353462E-10</v>
      </c>
      <c r="T30" s="720">
        <f t="shared" ca="1" si="13"/>
        <v>2.8524027584353462E-10</v>
      </c>
      <c r="U30" s="721">
        <f t="shared" ca="1" si="13"/>
        <v>2.8524027584353462E-10</v>
      </c>
    </row>
    <row r="31" spans="1:21" ht="19.899999999999999" customHeight="1" x14ac:dyDescent="0.45">
      <c r="A31" s="491" t="s">
        <v>636</v>
      </c>
      <c r="B31" s="490"/>
      <c r="C31" s="490"/>
      <c r="D31" s="722">
        <f ca="1">CF!$M$7</f>
        <v>50198.296254619134</v>
      </c>
      <c r="E31" s="722">
        <f ca="1">CF!$M$8</f>
        <v>45861.242700840878</v>
      </c>
      <c r="F31" s="722">
        <f ca="1">CF!$M$9</f>
        <v>38446.397940502677</v>
      </c>
      <c r="G31" s="722">
        <f ca="1">CF!$M$10</f>
        <v>28791.4077509089</v>
      </c>
      <c r="H31" s="722">
        <f ca="1">CF!$M$11</f>
        <v>17786.551631974726</v>
      </c>
      <c r="I31" s="722">
        <f ca="1">CF!$M$12</f>
        <v>-4249.2749194425696</v>
      </c>
      <c r="J31" s="722">
        <f ca="1">CF!$M$13</f>
        <v>-191840.90856531379</v>
      </c>
      <c r="K31" s="722">
        <f ca="1">CF!$M$14</f>
        <v>-48071.948836389798</v>
      </c>
      <c r="L31" s="722">
        <f ca="1">CF!$M$15</f>
        <v>0</v>
      </c>
      <c r="M31" s="722">
        <f ca="1">CF!$M$16</f>
        <v>0</v>
      </c>
      <c r="N31" s="722">
        <f ca="1">CF!$M$17</f>
        <v>0</v>
      </c>
      <c r="O31" s="722">
        <f ca="1">CF!$M$18</f>
        <v>0</v>
      </c>
      <c r="P31" s="722">
        <f ca="1">CF!$M$19</f>
        <v>0</v>
      </c>
      <c r="Q31" s="722">
        <f ca="1">CF!$M$20</f>
        <v>0</v>
      </c>
      <c r="R31" s="722">
        <f ca="1">CF!$M$21</f>
        <v>0</v>
      </c>
      <c r="S31" s="722">
        <f ca="1">CF!$M$22</f>
        <v>0</v>
      </c>
      <c r="T31" s="722">
        <f>CF!$M$23</f>
        <v>0</v>
      </c>
      <c r="U31" s="723">
        <f>CF!$M$24</f>
        <v>0</v>
      </c>
    </row>
    <row r="32" spans="1:21" ht="19.899999999999999" customHeight="1" x14ac:dyDescent="0.45">
      <c r="A32" s="489" t="s">
        <v>251</v>
      </c>
      <c r="B32" s="488"/>
      <c r="C32" s="488"/>
      <c r="D32" s="724">
        <f ca="1">CF!$N$7</f>
        <v>1522.8247845224403</v>
      </c>
      <c r="E32" s="724">
        <f ca="1">CF!$N$8</f>
        <v>4855.114390697523</v>
      </c>
      <c r="F32" s="724">
        <f ca="1">CF!$N$9</f>
        <v>8026.7446521059728</v>
      </c>
      <c r="G32" s="724">
        <f ca="1">CF!$N$10</f>
        <v>10846.241514682179</v>
      </c>
      <c r="H32" s="724">
        <f ca="1">CF!$N$11</f>
        <v>13167.002947705671</v>
      </c>
      <c r="I32" s="724">
        <f ca="1">CF!$N$12</f>
        <v>14571.536920689901</v>
      </c>
      <c r="J32" s="724">
        <f ca="1">CF!$N$13</f>
        <v>9572.0234858446438</v>
      </c>
      <c r="K32" s="724">
        <f ca="1">CF!$N$14</f>
        <v>516.74734605179549</v>
      </c>
      <c r="L32" s="724">
        <f ca="1">CF!$N$15</f>
        <v>0</v>
      </c>
      <c r="M32" s="724">
        <f ca="1">CF!$N$16</f>
        <v>0</v>
      </c>
      <c r="N32" s="724">
        <f ca="1">CF!$N$17</f>
        <v>0</v>
      </c>
      <c r="O32" s="724">
        <f ca="1">CF!$N$18</f>
        <v>0</v>
      </c>
      <c r="P32" s="724">
        <f ca="1">CF!$N$19</f>
        <v>0</v>
      </c>
      <c r="Q32" s="724">
        <f ca="1">CF!$N$20</f>
        <v>0</v>
      </c>
      <c r="R32" s="724">
        <f ca="1">CF!$N$21</f>
        <v>0</v>
      </c>
      <c r="S32" s="724">
        <f ca="1">CF!$N$22</f>
        <v>0</v>
      </c>
      <c r="T32" s="724">
        <f>CF!$N$23</f>
        <v>0</v>
      </c>
      <c r="U32" s="725">
        <f>CF!$N$24</f>
        <v>0</v>
      </c>
    </row>
    <row r="33" spans="1:31" ht="19.899999999999999" customHeight="1" thickBot="1" x14ac:dyDescent="0.5">
      <c r="A33" s="728" t="s">
        <v>635</v>
      </c>
      <c r="B33" s="726">
        <f t="shared" ref="B33:U33" si="14">SUM(B30:B32)</f>
        <v>0</v>
      </c>
      <c r="C33" s="726">
        <f t="shared" si="14"/>
        <v>0</v>
      </c>
      <c r="D33" s="726">
        <f t="shared" ca="1" si="14"/>
        <v>51721.121039141573</v>
      </c>
      <c r="E33" s="726">
        <f t="shared" ca="1" si="14"/>
        <v>102437.47813067997</v>
      </c>
      <c r="F33" s="726">
        <f t="shared" ca="1" si="14"/>
        <v>148910.62072328862</v>
      </c>
      <c r="G33" s="726">
        <f t="shared" ca="1" si="14"/>
        <v>188548.26998887971</v>
      </c>
      <c r="H33" s="726">
        <f t="shared" ca="1" si="14"/>
        <v>219501.82456856011</v>
      </c>
      <c r="I33" s="726">
        <f t="shared" ca="1" si="14"/>
        <v>229824.08656980743</v>
      </c>
      <c r="J33" s="726">
        <f t="shared" ca="1" si="14"/>
        <v>47555.201490338288</v>
      </c>
      <c r="K33" s="726">
        <f t="shared" ca="1" si="14"/>
        <v>2.8524027584353462E-10</v>
      </c>
      <c r="L33" s="726">
        <f t="shared" ca="1" si="14"/>
        <v>2.8524027584353462E-10</v>
      </c>
      <c r="M33" s="726">
        <f t="shared" ca="1" si="14"/>
        <v>2.8524027584353462E-10</v>
      </c>
      <c r="N33" s="726">
        <f t="shared" ca="1" si="14"/>
        <v>2.8524027584353462E-10</v>
      </c>
      <c r="O33" s="726">
        <f t="shared" ca="1" si="14"/>
        <v>2.8524027584353462E-10</v>
      </c>
      <c r="P33" s="726">
        <f t="shared" ca="1" si="14"/>
        <v>2.8524027584353462E-10</v>
      </c>
      <c r="Q33" s="726">
        <f t="shared" ca="1" si="14"/>
        <v>2.8524027584353462E-10</v>
      </c>
      <c r="R33" s="726">
        <f t="shared" ca="1" si="14"/>
        <v>2.8524027584353462E-10</v>
      </c>
      <c r="S33" s="726">
        <f t="shared" ca="1" si="14"/>
        <v>2.8524027584353462E-10</v>
      </c>
      <c r="T33" s="726">
        <f t="shared" ca="1" si="14"/>
        <v>2.8524027584353462E-10</v>
      </c>
      <c r="U33" s="727">
        <f t="shared" ca="1" si="14"/>
        <v>2.8524027584353462E-10</v>
      </c>
    </row>
    <row r="34" spans="1:31" ht="19.899999999999999" customHeight="1" thickBot="1" x14ac:dyDescent="0.5">
      <c r="A34" s="487"/>
      <c r="B34" s="470"/>
      <c r="C34" s="475"/>
      <c r="D34" s="475"/>
      <c r="E34" s="475"/>
      <c r="F34" s="475"/>
      <c r="G34" s="475"/>
      <c r="H34" s="475"/>
      <c r="I34" s="475"/>
      <c r="J34" s="475"/>
      <c r="K34" s="475"/>
      <c r="L34" s="475"/>
      <c r="M34" s="475"/>
      <c r="N34" s="475"/>
      <c r="O34" s="475"/>
      <c r="P34" s="475"/>
      <c r="Q34" s="475"/>
      <c r="R34" s="475"/>
      <c r="S34" s="475"/>
      <c r="T34" s="475"/>
      <c r="U34" s="475"/>
    </row>
    <row r="35" spans="1:31" ht="19.899999999999999" customHeight="1" x14ac:dyDescent="0.45">
      <c r="A35" s="486" t="s">
        <v>298</v>
      </c>
      <c r="B35" s="470"/>
      <c r="C35" s="475"/>
      <c r="D35" s="485" t="s">
        <v>575</v>
      </c>
      <c r="E35" s="485" t="s">
        <v>574</v>
      </c>
      <c r="F35" s="485" t="s">
        <v>573</v>
      </c>
      <c r="G35" s="485" t="s">
        <v>572</v>
      </c>
      <c r="H35" s="485" t="s">
        <v>571</v>
      </c>
      <c r="I35" s="485" t="s">
        <v>570</v>
      </c>
      <c r="J35" s="485" t="s">
        <v>569</v>
      </c>
      <c r="K35" s="485" t="s">
        <v>568</v>
      </c>
      <c r="L35" s="485" t="s">
        <v>567</v>
      </c>
      <c r="M35" s="485" t="s">
        <v>566</v>
      </c>
      <c r="N35" s="485" t="s">
        <v>565</v>
      </c>
      <c r="O35" s="485" t="s">
        <v>564</v>
      </c>
      <c r="P35" s="485" t="s">
        <v>563</v>
      </c>
      <c r="Q35" s="485" t="s">
        <v>562</v>
      </c>
      <c r="R35" s="485" t="s">
        <v>561</v>
      </c>
      <c r="S35" s="485" t="s">
        <v>560</v>
      </c>
      <c r="T35" s="485" t="s">
        <v>559</v>
      </c>
      <c r="U35" s="485" t="s">
        <v>558</v>
      </c>
    </row>
    <row r="36" spans="1:31" ht="19.899999999999999" customHeight="1" x14ac:dyDescent="0.45">
      <c r="A36" s="484" t="s">
        <v>634</v>
      </c>
      <c r="B36" s="470"/>
      <c r="C36" s="475"/>
      <c r="D36" s="729">
        <f>Rev!E$36</f>
        <v>-13772.808413758292</v>
      </c>
      <c r="E36" s="729">
        <f>Rev!F$36</f>
        <v>29633.994653930313</v>
      </c>
      <c r="F36" s="729">
        <f>Rev!G$36</f>
        <v>80696.701458464551</v>
      </c>
      <c r="G36" s="729">
        <f>Rev!H$36</f>
        <v>110879.55887426934</v>
      </c>
      <c r="H36" s="729">
        <f>Rev!I$36</f>
        <v>115434.00333275361</v>
      </c>
      <c r="I36" s="729">
        <f>Rev!J$36</f>
        <v>115102.95832521562</v>
      </c>
      <c r="J36" s="729">
        <f>Rev!K$36</f>
        <v>123582.65073022156</v>
      </c>
      <c r="K36" s="729">
        <f>Rev!L$36</f>
        <v>123015.1450030136</v>
      </c>
      <c r="L36" s="729">
        <f>Rev!M$36</f>
        <v>128731.29812768937</v>
      </c>
      <c r="M36" s="729">
        <f>Rev!N$36</f>
        <v>125163.79240048141</v>
      </c>
      <c r="N36" s="729">
        <f>Rev!O$36</f>
        <v>132879.94552515735</v>
      </c>
      <c r="O36" s="729">
        <f>Rev!P$36</f>
        <v>130312.4397979494</v>
      </c>
      <c r="P36" s="729">
        <f>Rev!Q$36</f>
        <v>139028.59292262519</v>
      </c>
      <c r="Q36" s="729">
        <f>Rev!R$36</f>
        <v>136147.13519541724</v>
      </c>
      <c r="R36" s="729">
        <f>Rev!S$36</f>
        <v>147863.28832009315</v>
      </c>
      <c r="S36" s="729">
        <f>Rev!T$36</f>
        <v>213308.04042797739</v>
      </c>
      <c r="T36" s="729">
        <f>Rev!U$36</f>
        <v>224591.69927986123</v>
      </c>
      <c r="U36" s="730">
        <f>Rev!V$36</f>
        <v>224591.69927986123</v>
      </c>
    </row>
    <row r="37" spans="1:31" ht="19.899999999999999" customHeight="1" x14ac:dyDescent="0.45">
      <c r="A37" s="484" t="s">
        <v>633</v>
      </c>
      <c r="B37" s="470"/>
      <c r="C37" s="475"/>
      <c r="D37" s="729">
        <f ca="1">-CF!$I$7</f>
        <v>-50198.296254619156</v>
      </c>
      <c r="E37" s="729">
        <f ca="1">-CF!$I$8</f>
        <v>-45861.24270084087</v>
      </c>
      <c r="F37" s="729">
        <f ca="1">-CF!$I$9</f>
        <v>-38446.39794050264</v>
      </c>
      <c r="G37" s="729">
        <f ca="1">-CF!$I$10</f>
        <v>-28791.407750908904</v>
      </c>
      <c r="H37" s="729">
        <f ca="1">-CF!$I$11</f>
        <v>-17786.551631974718</v>
      </c>
      <c r="I37" s="729">
        <f ca="1">-CF!$I$12</f>
        <v>-5827.8684969143096</v>
      </c>
      <c r="J37" s="729">
        <f ca="1">-CF!$I$13</f>
        <v>0</v>
      </c>
      <c r="K37" s="729">
        <f ca="1">-CF!$I$14</f>
        <v>0</v>
      </c>
      <c r="L37" s="729">
        <f ca="1">-CF!$I$15</f>
        <v>0</v>
      </c>
      <c r="M37" s="729">
        <f ca="1">-CF!$I$16</f>
        <v>0</v>
      </c>
      <c r="N37" s="729">
        <f ca="1">-CF!$I$17</f>
        <v>0</v>
      </c>
      <c r="O37" s="729">
        <f ca="1">-CF!$I$18</f>
        <v>0</v>
      </c>
      <c r="P37" s="729">
        <f ca="1">-CF!$I$19</f>
        <v>0</v>
      </c>
      <c r="Q37" s="729">
        <f ca="1">-CF!$I$20</f>
        <v>0</v>
      </c>
      <c r="R37" s="729">
        <f ca="1">-CF!$I$21</f>
        <v>0</v>
      </c>
      <c r="S37" s="729">
        <f ca="1">-CF!$I$22</f>
        <v>0</v>
      </c>
      <c r="T37" s="729">
        <f>-CF!$I$23</f>
        <v>0</v>
      </c>
      <c r="U37" s="730">
        <f>-CF!$I$24</f>
        <v>0</v>
      </c>
    </row>
    <row r="38" spans="1:31" ht="19.899999999999999" customHeight="1" thickBot="1" x14ac:dyDescent="0.5">
      <c r="A38" s="483" t="s">
        <v>632</v>
      </c>
      <c r="B38" s="470"/>
      <c r="C38" s="475"/>
      <c r="D38" s="731">
        <f ca="1">-CF!$N$7</f>
        <v>-1522.8247845224403</v>
      </c>
      <c r="E38" s="731">
        <f ca="1">-CF!$N$8</f>
        <v>-4855.114390697523</v>
      </c>
      <c r="F38" s="731">
        <f ca="1">-CF!$N$9</f>
        <v>-8026.7446521059728</v>
      </c>
      <c r="G38" s="731">
        <f ca="1">-CF!$N$10</f>
        <v>-10846.241514682179</v>
      </c>
      <c r="H38" s="731">
        <f ca="1">-CF!$N$11</f>
        <v>-13167.002947705671</v>
      </c>
      <c r="I38" s="731">
        <f ca="1">-CF!$N$12</f>
        <v>-14571.536920689901</v>
      </c>
      <c r="J38" s="731">
        <f ca="1">-CF!$N$13</f>
        <v>-9572.0234858446438</v>
      </c>
      <c r="K38" s="731">
        <f ca="1">-CF!$N$14</f>
        <v>-516.74734605179549</v>
      </c>
      <c r="L38" s="731">
        <f ca="1">-CF!$N$15</f>
        <v>0</v>
      </c>
      <c r="M38" s="731">
        <f ca="1">-CF!$N$16</f>
        <v>0</v>
      </c>
      <c r="N38" s="731">
        <f ca="1">-CF!$N$17</f>
        <v>0</v>
      </c>
      <c r="O38" s="731">
        <f ca="1">-CF!$N$18</f>
        <v>0</v>
      </c>
      <c r="P38" s="731">
        <f ca="1">-CF!$N$19</f>
        <v>0</v>
      </c>
      <c r="Q38" s="731">
        <f ca="1">-CF!$N$20</f>
        <v>0</v>
      </c>
      <c r="R38" s="731">
        <f ca="1">-CF!$N$21</f>
        <v>0</v>
      </c>
      <c r="S38" s="731">
        <f ca="1">-CF!$N$22</f>
        <v>0</v>
      </c>
      <c r="T38" s="731">
        <f>-CF!$N$23</f>
        <v>0</v>
      </c>
      <c r="U38" s="732">
        <f>-CF!$N$24</f>
        <v>0</v>
      </c>
      <c r="AD38" s="468">
        <v>1</v>
      </c>
      <c r="AE38" s="469">
        <f ca="1">-CF!$H$7</f>
        <v>-46209.449421333898</v>
      </c>
    </row>
    <row r="39" spans="1:31" ht="19.899999999999999" customHeight="1" x14ac:dyDescent="0.45">
      <c r="A39" s="473" t="s">
        <v>525</v>
      </c>
      <c r="B39" s="470"/>
      <c r="C39" s="475"/>
      <c r="D39" s="733">
        <f t="shared" ref="D39:U39" ca="1" si="15">SUM(D36:D38)</f>
        <v>-65493.929452899887</v>
      </c>
      <c r="E39" s="733">
        <f t="shared" ca="1" si="15"/>
        <v>-21082.362437608081</v>
      </c>
      <c r="F39" s="733">
        <f t="shared" ca="1" si="15"/>
        <v>34223.558865855935</v>
      </c>
      <c r="G39" s="733">
        <f t="shared" ca="1" si="15"/>
        <v>71241.909608678267</v>
      </c>
      <c r="H39" s="733">
        <f t="shared" ca="1" si="15"/>
        <v>84480.448753073215</v>
      </c>
      <c r="I39" s="733">
        <f t="shared" ca="1" si="15"/>
        <v>94703.552907611403</v>
      </c>
      <c r="J39" s="733">
        <f t="shared" ca="1" si="15"/>
        <v>114010.62724437691</v>
      </c>
      <c r="K39" s="733">
        <f t="shared" ca="1" si="15"/>
        <v>122498.39765696181</v>
      </c>
      <c r="L39" s="733">
        <f t="shared" ca="1" si="15"/>
        <v>128731.29812768937</v>
      </c>
      <c r="M39" s="733">
        <f t="shared" ca="1" si="15"/>
        <v>125163.79240048141</v>
      </c>
      <c r="N39" s="733">
        <f t="shared" ca="1" si="15"/>
        <v>132879.94552515735</v>
      </c>
      <c r="O39" s="733">
        <f t="shared" ca="1" si="15"/>
        <v>130312.4397979494</v>
      </c>
      <c r="P39" s="733">
        <f t="shared" ca="1" si="15"/>
        <v>139028.59292262519</v>
      </c>
      <c r="Q39" s="733">
        <f t="shared" ca="1" si="15"/>
        <v>136147.13519541724</v>
      </c>
      <c r="R39" s="733">
        <f t="shared" ca="1" si="15"/>
        <v>147863.28832009315</v>
      </c>
      <c r="S39" s="733">
        <f t="shared" ca="1" si="15"/>
        <v>213308.04042797739</v>
      </c>
      <c r="T39" s="733">
        <f t="shared" si="15"/>
        <v>224591.69927986123</v>
      </c>
      <c r="U39" s="734">
        <f t="shared" si="15"/>
        <v>224591.69927986123</v>
      </c>
      <c r="AD39" s="468">
        <v>2</v>
      </c>
      <c r="AE39" s="469">
        <f ca="1">-CF!$H$8</f>
        <v>-90968.252489022518</v>
      </c>
    </row>
    <row r="40" spans="1:31" ht="19.899999999999999" customHeight="1" thickBot="1" x14ac:dyDescent="0.5">
      <c r="A40" s="471" t="s">
        <v>631</v>
      </c>
      <c r="B40" s="470"/>
      <c r="C40" s="475"/>
      <c r="D40" s="735">
        <f ca="1">SUM($B39:D39)</f>
        <v>-65493.929452899887</v>
      </c>
      <c r="E40" s="735">
        <f ca="1">SUM($B39:E39)</f>
        <v>-86576.291890507971</v>
      </c>
      <c r="F40" s="735">
        <f ca="1">SUM($B39:F39)</f>
        <v>-52352.733024652036</v>
      </c>
      <c r="G40" s="735">
        <f ca="1">SUM($B39:G39)</f>
        <v>18889.176584026231</v>
      </c>
      <c r="H40" s="735">
        <f ca="1">SUM($B39:H39)</f>
        <v>103369.62533709945</v>
      </c>
      <c r="I40" s="735">
        <f ca="1">SUM($B39:I39)</f>
        <v>198073.17824471084</v>
      </c>
      <c r="J40" s="735">
        <f ca="1">SUM($B39:J39)</f>
        <v>312083.80548908777</v>
      </c>
      <c r="K40" s="735">
        <f ca="1">SUM($B39:K39)</f>
        <v>434582.20314604958</v>
      </c>
      <c r="L40" s="735">
        <f ca="1">SUM($B39:L39)</f>
        <v>563313.50127373892</v>
      </c>
      <c r="M40" s="735">
        <f ca="1">SUM($B39:M39)</f>
        <v>688477.29367422033</v>
      </c>
      <c r="N40" s="735">
        <f ca="1">SUM($B39:N39)</f>
        <v>821357.23919937771</v>
      </c>
      <c r="O40" s="735">
        <f ca="1">SUM($B39:O39)</f>
        <v>951669.67899732711</v>
      </c>
      <c r="P40" s="735">
        <f ca="1">SUM($B39:P39)</f>
        <v>1090698.2719199522</v>
      </c>
      <c r="Q40" s="735">
        <f ca="1">SUM($B39:Q39)</f>
        <v>1226845.4071153696</v>
      </c>
      <c r="R40" s="735">
        <f ca="1">SUM($B39:R39)</f>
        <v>1374708.6954354628</v>
      </c>
      <c r="S40" s="735">
        <f ca="1">SUM($B39:S39)</f>
        <v>1588016.7358634402</v>
      </c>
      <c r="T40" s="735">
        <f ca="1">SUM($B39:T39)</f>
        <v>1812608.4351433015</v>
      </c>
      <c r="U40" s="736">
        <f ca="1">SUM($B39:U39)</f>
        <v>2037200.1344231628</v>
      </c>
      <c r="AD40" s="468">
        <v>3</v>
      </c>
      <c r="AE40" s="469">
        <f ca="1">-CF!$H$9</f>
        <v>-141381.95929355678</v>
      </c>
    </row>
    <row r="41" spans="1:31" ht="19.899999999999999" customHeight="1" thickBot="1" x14ac:dyDescent="0.5">
      <c r="A41" s="470"/>
      <c r="B41" s="470"/>
      <c r="C41" s="470"/>
      <c r="D41" s="470"/>
      <c r="E41" s="470"/>
      <c r="F41" s="470"/>
      <c r="G41" s="470"/>
      <c r="H41" s="470"/>
      <c r="I41" s="470"/>
      <c r="J41" s="470"/>
      <c r="K41" s="470"/>
      <c r="L41" s="470"/>
      <c r="M41" s="470"/>
      <c r="N41" s="470"/>
      <c r="O41" s="470"/>
      <c r="P41" s="470"/>
      <c r="Q41" s="470"/>
      <c r="R41" s="470"/>
      <c r="S41" s="470"/>
      <c r="T41" s="470"/>
      <c r="U41" s="470"/>
      <c r="AD41" s="468">
        <v>4</v>
      </c>
      <c r="AE41" s="469">
        <f ca="1">-CF!$H$10</f>
        <v>-156995.81670936153</v>
      </c>
    </row>
    <row r="42" spans="1:31" ht="19.899999999999999" customHeight="1" x14ac:dyDescent="0.45">
      <c r="A42" s="482" t="s">
        <v>630</v>
      </c>
      <c r="B42" s="472"/>
      <c r="C42" s="475"/>
      <c r="D42" s="737">
        <f>Rev!E82</f>
        <v>46209.449421333898</v>
      </c>
      <c r="E42" s="738">
        <f>Rev!F82</f>
        <v>90968.252489022503</v>
      </c>
      <c r="F42" s="738">
        <f>Rev!G82</f>
        <v>141381.95929355675</v>
      </c>
      <c r="G42" s="738">
        <f>Rev!H82</f>
        <v>156995.81670936153</v>
      </c>
      <c r="H42" s="738">
        <f>Rev!I82</f>
        <v>183853.26116784581</v>
      </c>
      <c r="I42" s="738">
        <f>Rev!J82</f>
        <v>184129.21616030781</v>
      </c>
      <c r="J42" s="738">
        <f>Rev!K82</f>
        <v>191840.90856531376</v>
      </c>
      <c r="K42" s="738">
        <f>Rev!L82</f>
        <v>192050.4028381058</v>
      </c>
      <c r="L42" s="738">
        <f>Rev!M82</f>
        <v>164981.55596278157</v>
      </c>
      <c r="M42" s="738">
        <f>Rev!N82</f>
        <v>185199.05023557361</v>
      </c>
      <c r="N42" s="738">
        <f>Rev!O82</f>
        <v>203128.20336024955</v>
      </c>
      <c r="O42" s="738">
        <f>Rev!P82</f>
        <v>198348.69763304159</v>
      </c>
      <c r="P42" s="738">
        <f>Rev!Q82</f>
        <v>216276.85075771739</v>
      </c>
      <c r="Q42" s="738">
        <f>Rev!R82</f>
        <v>169926.58503050945</v>
      </c>
      <c r="R42" s="738">
        <f>Rev!S82</f>
        <v>224427.49815518534</v>
      </c>
      <c r="S42" s="738">
        <f>Rev!T82</f>
        <v>224644.99242797738</v>
      </c>
      <c r="T42" s="738">
        <f>Rev!U82</f>
        <v>233118.65127986122</v>
      </c>
      <c r="U42" s="481">
        <f>Rev!V78+Rev!V79+Rev!V80+(Rev!U68-Rev!V68)</f>
        <v>233905.65127986122</v>
      </c>
      <c r="AA42" s="481">
        <f>Rev!AB78+Rev!AB79+Rev!AB80+(Rev!AA68-Rev!AB68)</f>
        <v>0</v>
      </c>
      <c r="AD42" s="468">
        <v>5</v>
      </c>
      <c r="AE42" s="469">
        <f ca="1">-CF!$H$11</f>
        <v>-183853.26116784581</v>
      </c>
    </row>
    <row r="43" spans="1:31" ht="19.899999999999999" customHeight="1" x14ac:dyDescent="0.45">
      <c r="A43" s="478" t="s">
        <v>629</v>
      </c>
      <c r="B43" s="477"/>
      <c r="C43" s="475"/>
      <c r="D43" s="739">
        <f ca="1">-CF!$J$7</f>
        <v>-96407.745675953047</v>
      </c>
      <c r="E43" s="740">
        <f ca="1">-CF!$J$8</f>
        <v>-136829.49518986337</v>
      </c>
      <c r="F43" s="740">
        <f ca="1">-CF!$J$9</f>
        <v>-179828.35723405943</v>
      </c>
      <c r="G43" s="740">
        <f ca="1">-CF!$J$10</f>
        <v>-185787.22446027043</v>
      </c>
      <c r="H43" s="740">
        <f ca="1">-CF!$J$11</f>
        <v>-201639.81279982053</v>
      </c>
      <c r="I43" s="740">
        <f ca="1">-CF!$J$12</f>
        <v>-179879.94124086524</v>
      </c>
      <c r="J43" s="740">
        <f ca="1">-CF!$J$13</f>
        <v>0</v>
      </c>
      <c r="K43" s="740">
        <f ca="1">-CF!$J$14</f>
        <v>0</v>
      </c>
      <c r="L43" s="740">
        <f ca="1">-CF!$J$15</f>
        <v>0</v>
      </c>
      <c r="M43" s="740">
        <f ca="1">-CF!$J$16</f>
        <v>0</v>
      </c>
      <c r="N43" s="740">
        <f ca="1">-CF!$J$17</f>
        <v>0</v>
      </c>
      <c r="O43" s="740">
        <f ca="1">-CF!$J$18</f>
        <v>0</v>
      </c>
      <c r="P43" s="740">
        <f ca="1">-CF!$J$19</f>
        <v>0</v>
      </c>
      <c r="Q43" s="740">
        <f ca="1">-CF!$J$20</f>
        <v>0</v>
      </c>
      <c r="R43" s="740">
        <f ca="1">-CF!$J$21</f>
        <v>0</v>
      </c>
      <c r="S43" s="740">
        <f ca="1">-CF!$J$22</f>
        <v>0</v>
      </c>
      <c r="T43" s="740">
        <f>-CF!$J$23</f>
        <v>0</v>
      </c>
      <c r="U43" s="745">
        <f>-CF!$J$24</f>
        <v>0</v>
      </c>
      <c r="AD43" s="468">
        <v>6</v>
      </c>
      <c r="AE43" s="469">
        <f ca="1">-CF!$J$12</f>
        <v>-179879.94124086524</v>
      </c>
    </row>
    <row r="44" spans="1:31" ht="19.899999999999999" customHeight="1" x14ac:dyDescent="0.45">
      <c r="A44" s="480" t="s">
        <v>628</v>
      </c>
      <c r="B44" s="479"/>
      <c r="C44" s="475"/>
      <c r="D44" s="741">
        <f t="shared" ref="D44:U44" ca="1" si="16">SUM(D42:D43)</f>
        <v>-50198.296254619148</v>
      </c>
      <c r="E44" s="742">
        <f t="shared" ca="1" si="16"/>
        <v>-45861.24270084087</v>
      </c>
      <c r="F44" s="742">
        <f t="shared" ca="1" si="16"/>
        <v>-38446.397940502677</v>
      </c>
      <c r="G44" s="742">
        <f t="shared" ca="1" si="16"/>
        <v>-28791.407750908897</v>
      </c>
      <c r="H44" s="742">
        <f t="shared" ca="1" si="16"/>
        <v>-17786.551631974726</v>
      </c>
      <c r="I44" s="742">
        <f t="shared" ca="1" si="16"/>
        <v>4249.2749194425705</v>
      </c>
      <c r="J44" s="742">
        <f t="shared" ca="1" si="16"/>
        <v>191840.90856531376</v>
      </c>
      <c r="K44" s="742">
        <f t="shared" ca="1" si="16"/>
        <v>192050.4028381058</v>
      </c>
      <c r="L44" s="742">
        <f t="shared" ca="1" si="16"/>
        <v>164981.55596278157</v>
      </c>
      <c r="M44" s="742">
        <f t="shared" ca="1" si="16"/>
        <v>185199.05023557361</v>
      </c>
      <c r="N44" s="742">
        <f t="shared" ca="1" si="16"/>
        <v>203128.20336024955</v>
      </c>
      <c r="O44" s="742">
        <f t="shared" ca="1" si="16"/>
        <v>198348.69763304159</v>
      </c>
      <c r="P44" s="742">
        <f t="shared" ca="1" si="16"/>
        <v>216276.85075771739</v>
      </c>
      <c r="Q44" s="742">
        <f t="shared" ca="1" si="16"/>
        <v>169926.58503050945</v>
      </c>
      <c r="R44" s="742">
        <f t="shared" ca="1" si="16"/>
        <v>224427.49815518534</v>
      </c>
      <c r="S44" s="742">
        <f t="shared" ca="1" si="16"/>
        <v>224644.99242797738</v>
      </c>
      <c r="T44" s="742">
        <f t="shared" si="16"/>
        <v>233118.65127986122</v>
      </c>
      <c r="U44" s="746">
        <f t="shared" si="16"/>
        <v>233905.65127986122</v>
      </c>
      <c r="AD44" s="468">
        <v>7</v>
      </c>
      <c r="AE44" s="469">
        <f ca="1">-CF!$H$13</f>
        <v>0</v>
      </c>
    </row>
    <row r="45" spans="1:31" ht="19.899999999999999" customHeight="1" x14ac:dyDescent="0.45">
      <c r="A45" s="478" t="s">
        <v>627</v>
      </c>
      <c r="B45" s="477"/>
      <c r="C45" s="475"/>
      <c r="D45" s="739">
        <f ca="1">CF!$M$7</f>
        <v>50198.296254619134</v>
      </c>
      <c r="E45" s="740">
        <f ca="1">CF!$M$8</f>
        <v>45861.242700840878</v>
      </c>
      <c r="F45" s="740">
        <f ca="1">CF!$M$9</f>
        <v>38446.397940502677</v>
      </c>
      <c r="G45" s="740">
        <f ca="1">CF!$M$10</f>
        <v>28791.4077509089</v>
      </c>
      <c r="H45" s="740">
        <f ca="1">CF!$M$11</f>
        <v>17786.551631974726</v>
      </c>
      <c r="I45" s="740">
        <f ca="1">CF!$M$12</f>
        <v>-4249.2749194425696</v>
      </c>
      <c r="J45" s="740">
        <f ca="1">CF!$M$13</f>
        <v>-191840.90856531379</v>
      </c>
      <c r="K45" s="740">
        <f ca="1">CF!$M$14</f>
        <v>-48071.948836389798</v>
      </c>
      <c r="L45" s="740">
        <f ca="1">CF!$M$15</f>
        <v>0</v>
      </c>
      <c r="M45" s="740">
        <f ca="1">CF!$M$16</f>
        <v>0</v>
      </c>
      <c r="N45" s="740">
        <f ca="1">CF!$M$17</f>
        <v>0</v>
      </c>
      <c r="O45" s="740">
        <f ca="1">CF!$M$18</f>
        <v>0</v>
      </c>
      <c r="P45" s="740">
        <f ca="1">CF!$M$19</f>
        <v>0</v>
      </c>
      <c r="Q45" s="740">
        <f ca="1">CF!$M$20</f>
        <v>0</v>
      </c>
      <c r="R45" s="740">
        <f ca="1">CF!$M$21</f>
        <v>0</v>
      </c>
      <c r="S45" s="740">
        <f ca="1">CF!$M$22</f>
        <v>0</v>
      </c>
      <c r="T45" s="740">
        <f>CF!$M$23</f>
        <v>0</v>
      </c>
      <c r="U45" s="745">
        <f>CF!$M$24</f>
        <v>0</v>
      </c>
      <c r="AD45" s="468">
        <v>8</v>
      </c>
      <c r="AE45" s="469">
        <f ca="1">-CF!$H$14</f>
        <v>0</v>
      </c>
    </row>
    <row r="46" spans="1:31" ht="19.899999999999999" customHeight="1" x14ac:dyDescent="0.45">
      <c r="A46" s="480" t="s">
        <v>626</v>
      </c>
      <c r="B46" s="479"/>
      <c r="C46" s="475"/>
      <c r="D46" s="741">
        <f t="shared" ref="D46:U46" ca="1" si="17">SUM(D44:D45)</f>
        <v>0</v>
      </c>
      <c r="E46" s="742">
        <f t="shared" ca="1" si="17"/>
        <v>0</v>
      </c>
      <c r="F46" s="742">
        <f t="shared" ca="1" si="17"/>
        <v>0</v>
      </c>
      <c r="G46" s="742">
        <f t="shared" ca="1" si="17"/>
        <v>0</v>
      </c>
      <c r="H46" s="742">
        <f t="shared" ca="1" si="17"/>
        <v>0</v>
      </c>
      <c r="I46" s="742">
        <f t="shared" ca="1" si="17"/>
        <v>0</v>
      </c>
      <c r="J46" s="742">
        <f t="shared" ca="1" si="17"/>
        <v>0</v>
      </c>
      <c r="K46" s="742">
        <f t="shared" ca="1" si="17"/>
        <v>143978.45400171599</v>
      </c>
      <c r="L46" s="742">
        <f t="shared" ca="1" si="17"/>
        <v>164981.55596278157</v>
      </c>
      <c r="M46" s="742">
        <f t="shared" ca="1" si="17"/>
        <v>185199.05023557361</v>
      </c>
      <c r="N46" s="742">
        <f t="shared" ca="1" si="17"/>
        <v>203128.20336024955</v>
      </c>
      <c r="O46" s="742">
        <f t="shared" ca="1" si="17"/>
        <v>198348.69763304159</v>
      </c>
      <c r="P46" s="742">
        <f t="shared" ca="1" si="17"/>
        <v>216276.85075771739</v>
      </c>
      <c r="Q46" s="742">
        <f t="shared" ca="1" si="17"/>
        <v>169926.58503050945</v>
      </c>
      <c r="R46" s="742">
        <f t="shared" ca="1" si="17"/>
        <v>224427.49815518534</v>
      </c>
      <c r="S46" s="742">
        <f t="shared" ca="1" si="17"/>
        <v>224644.99242797738</v>
      </c>
      <c r="T46" s="742">
        <f t="shared" si="17"/>
        <v>233118.65127986122</v>
      </c>
      <c r="U46" s="746">
        <f t="shared" si="17"/>
        <v>233905.65127986122</v>
      </c>
      <c r="AD46" s="468">
        <v>9</v>
      </c>
      <c r="AE46" s="469">
        <f ca="1">-CF!$H$15</f>
        <v>0</v>
      </c>
    </row>
    <row r="47" spans="1:31" ht="19.899999999999999" customHeight="1" x14ac:dyDescent="0.5">
      <c r="A47" s="478" t="s">
        <v>625</v>
      </c>
      <c r="B47" s="591">
        <f>CST_DIVIDEND_PAYOUT</f>
        <v>0.75</v>
      </c>
      <c r="C47" s="475"/>
      <c r="D47" s="739">
        <f t="shared" ref="D47:U47" ca="1" si="18">-$B$47*D46</f>
        <v>0</v>
      </c>
      <c r="E47" s="740">
        <f t="shared" ca="1" si="18"/>
        <v>0</v>
      </c>
      <c r="F47" s="740">
        <f t="shared" ca="1" si="18"/>
        <v>0</v>
      </c>
      <c r="G47" s="740">
        <f t="shared" ca="1" si="18"/>
        <v>0</v>
      </c>
      <c r="H47" s="740">
        <f t="shared" ca="1" si="18"/>
        <v>0</v>
      </c>
      <c r="I47" s="740">
        <f t="shared" ca="1" si="18"/>
        <v>0</v>
      </c>
      <c r="J47" s="740">
        <f t="shared" ca="1" si="18"/>
        <v>0</v>
      </c>
      <c r="K47" s="740">
        <f t="shared" ca="1" si="18"/>
        <v>-107983.84050128699</v>
      </c>
      <c r="L47" s="740">
        <f t="shared" ca="1" si="18"/>
        <v>-123736.16697208618</v>
      </c>
      <c r="M47" s="740">
        <f t="shared" ca="1" si="18"/>
        <v>-138899.28767668019</v>
      </c>
      <c r="N47" s="740">
        <f t="shared" ca="1" si="18"/>
        <v>-152346.15252018717</v>
      </c>
      <c r="O47" s="740">
        <f t="shared" ca="1" si="18"/>
        <v>-148761.52322478121</v>
      </c>
      <c r="P47" s="740">
        <f t="shared" ca="1" si="18"/>
        <v>-162207.63806828804</v>
      </c>
      <c r="Q47" s="740">
        <f t="shared" ca="1" si="18"/>
        <v>-127444.93877288209</v>
      </c>
      <c r="R47" s="740">
        <f t="shared" ca="1" si="18"/>
        <v>-168320.623616389</v>
      </c>
      <c r="S47" s="740">
        <f t="shared" ca="1" si="18"/>
        <v>-168483.74432098304</v>
      </c>
      <c r="T47" s="740">
        <f t="shared" si="18"/>
        <v>-174838.98845989592</v>
      </c>
      <c r="U47" s="745">
        <f t="shared" si="18"/>
        <v>-175429.23845989592</v>
      </c>
      <c r="AD47" s="468">
        <v>10</v>
      </c>
      <c r="AE47" s="469">
        <f ca="1">-CF!$H$16</f>
        <v>0</v>
      </c>
    </row>
    <row r="48" spans="1:31" ht="19.899999999999999" customHeight="1" thickBot="1" x14ac:dyDescent="0.5">
      <c r="A48" s="476" t="s">
        <v>624</v>
      </c>
      <c r="B48" s="474"/>
      <c r="C48" s="475"/>
      <c r="D48" s="743">
        <f ca="1">IF(D46=0,0,SUM($D45:D45)+SUM($D47:D47)+SUM($D32:D32))</f>
        <v>0</v>
      </c>
      <c r="E48" s="744">
        <f ca="1">IF(E46=0,0,SUM($D45:E45)+SUM($D47:E47)+SUM($D32:E32))</f>
        <v>0</v>
      </c>
      <c r="F48" s="744">
        <f ca="1">IF(F46=0,0,SUM($D45:F45)+SUM($D47:F47)+SUM($D32:F32))</f>
        <v>0</v>
      </c>
      <c r="G48" s="744">
        <f ca="1">IF(G46=0,0,SUM($D45:G45)+SUM($D47:G47)+SUM($D32:G32))</f>
        <v>0</v>
      </c>
      <c r="H48" s="744">
        <f ca="1">IF(H46=0,0,SUM($D45:H45)+SUM($D47:H47)+SUM($D32:H32))</f>
        <v>0</v>
      </c>
      <c r="I48" s="744">
        <f ca="1">IF(I46=0,0,SUM($D45:I45)+SUM($D47:I47)+SUM($D32:I32))</f>
        <v>0</v>
      </c>
      <c r="J48" s="744">
        <f ca="1">IF(J46=0,0,SUM($D45:J45)+SUM($D47:J47)+SUM($D32:J32))</f>
        <v>0</v>
      </c>
      <c r="K48" s="744">
        <f ca="1">IF(K46=0,0,SUM($D45:K45)+SUM($D47:K47)+SUM($D32:K32))</f>
        <v>-107983.84050128673</v>
      </c>
      <c r="L48" s="744">
        <f ca="1">IF(L46=0,0,SUM($D45:L45)+SUM($D47:L47)+SUM($D32:L32))</f>
        <v>-231720.00747337291</v>
      </c>
      <c r="M48" s="744">
        <f ca="1">IF(M46=0,0,SUM($D45:M45)+SUM($D47:M47)+SUM($D32:M32))</f>
        <v>-370619.29515005305</v>
      </c>
      <c r="N48" s="744">
        <f ca="1">IF(N46=0,0,SUM($D45:N45)+SUM($D47:N47)+SUM($D32:N32))</f>
        <v>-522965.4476702403</v>
      </c>
      <c r="O48" s="744">
        <f ca="1">IF(O46=0,0,SUM($D45:O45)+SUM($D47:O47)+SUM($D32:O32))</f>
        <v>-671726.97089502146</v>
      </c>
      <c r="P48" s="744">
        <f ca="1">IF(P46=0,0,SUM($D45:P45)+SUM($D47:P47)+SUM($D32:P32))</f>
        <v>-833934.60896330955</v>
      </c>
      <c r="Q48" s="744">
        <f ca="1">IF(Q46=0,0,SUM($D45:Q45)+SUM($D47:Q47)+SUM($D32:Q32))</f>
        <v>-961379.54773619166</v>
      </c>
      <c r="R48" s="744">
        <f ca="1">IF(R46=0,0,SUM($D45:R45)+SUM($D47:R47)+SUM($D32:R32))</f>
        <v>-1129700.1713525804</v>
      </c>
      <c r="S48" s="744">
        <f ca="1">IF(S46=0,0,SUM($D45:S45)+SUM($D47:S47)+SUM($D32:S32))</f>
        <v>-1298183.9156735635</v>
      </c>
      <c r="T48" s="744">
        <f ca="1">IF(T46=0,0,SUM($D45:T45)+SUM($D47:T47)+SUM($D32:T32))</f>
        <v>-1473022.9041334593</v>
      </c>
      <c r="U48" s="747">
        <f ca="1">IF(U46=0,0,SUM($D45:U45)+SUM($D47:U47)+SUM($D32:U32))</f>
        <v>-1648452.1425933552</v>
      </c>
      <c r="AD48" s="468">
        <v>11</v>
      </c>
      <c r="AE48" s="469">
        <f ca="1">-CF!$H$17</f>
        <v>0</v>
      </c>
    </row>
    <row r="49" spans="1:31" ht="19.899999999999999" customHeight="1" thickBot="1" x14ac:dyDescent="0.5">
      <c r="A49" s="470"/>
      <c r="B49" s="470"/>
      <c r="C49" s="470"/>
      <c r="D49" s="470"/>
      <c r="E49" s="470"/>
      <c r="F49" s="470"/>
      <c r="G49" s="470"/>
      <c r="H49" s="470"/>
      <c r="I49" s="470"/>
      <c r="J49" s="470"/>
      <c r="K49" s="470"/>
      <c r="L49" s="470"/>
      <c r="M49" s="470"/>
      <c r="N49" s="470"/>
      <c r="O49" s="470"/>
      <c r="P49" s="470"/>
      <c r="Q49" s="470"/>
      <c r="R49" s="470"/>
      <c r="S49" s="470"/>
      <c r="T49" s="470"/>
      <c r="U49" s="470"/>
      <c r="AD49" s="468">
        <v>12</v>
      </c>
      <c r="AE49" s="469">
        <f ca="1">-CF!$H$18</f>
        <v>0</v>
      </c>
    </row>
    <row r="50" spans="1:31" ht="19.899999999999999" customHeight="1" x14ac:dyDescent="0.45">
      <c r="A50" s="473" t="s">
        <v>623</v>
      </c>
      <c r="B50" s="470"/>
      <c r="C50" s="738">
        <f t="shared" ref="C50:U50" si="19">C46+C47</f>
        <v>0</v>
      </c>
      <c r="D50" s="738">
        <f t="shared" ca="1" si="19"/>
        <v>0</v>
      </c>
      <c r="E50" s="738">
        <f t="shared" ca="1" si="19"/>
        <v>0</v>
      </c>
      <c r="F50" s="738">
        <f t="shared" ca="1" si="19"/>
        <v>0</v>
      </c>
      <c r="G50" s="738">
        <f t="shared" ca="1" si="19"/>
        <v>0</v>
      </c>
      <c r="H50" s="738">
        <f t="shared" ca="1" si="19"/>
        <v>0</v>
      </c>
      <c r="I50" s="738">
        <f t="shared" ca="1" si="19"/>
        <v>0</v>
      </c>
      <c r="J50" s="738">
        <f t="shared" ca="1" si="19"/>
        <v>0</v>
      </c>
      <c r="K50" s="738">
        <f t="shared" ca="1" si="19"/>
        <v>35994.613500428997</v>
      </c>
      <c r="L50" s="738">
        <f t="shared" ca="1" si="19"/>
        <v>41245.388990695385</v>
      </c>
      <c r="M50" s="738">
        <f t="shared" ca="1" si="19"/>
        <v>46299.762558893417</v>
      </c>
      <c r="N50" s="738">
        <f t="shared" ca="1" si="19"/>
        <v>50782.05084006238</v>
      </c>
      <c r="O50" s="738">
        <f t="shared" ca="1" si="19"/>
        <v>49587.174408260384</v>
      </c>
      <c r="P50" s="738">
        <f t="shared" ca="1" si="19"/>
        <v>54069.212689429347</v>
      </c>
      <c r="Q50" s="738">
        <f t="shared" ca="1" si="19"/>
        <v>42481.646257627363</v>
      </c>
      <c r="R50" s="738">
        <f t="shared" ca="1" si="19"/>
        <v>56106.874538796343</v>
      </c>
      <c r="S50" s="738">
        <f t="shared" ca="1" si="19"/>
        <v>56161.248106994346</v>
      </c>
      <c r="T50" s="738">
        <f t="shared" si="19"/>
        <v>58279.662819965306</v>
      </c>
      <c r="U50" s="748">
        <f t="shared" si="19"/>
        <v>58476.412819965306</v>
      </c>
      <c r="AD50" s="468">
        <v>13</v>
      </c>
      <c r="AE50" s="469">
        <f ca="1">-CF!$H$19</f>
        <v>0</v>
      </c>
    </row>
    <row r="51" spans="1:31" ht="19.899999999999999" customHeight="1" thickBot="1" x14ac:dyDescent="0.5">
      <c r="A51" s="471" t="s">
        <v>622</v>
      </c>
      <c r="B51" s="470"/>
      <c r="C51" s="735">
        <f>SUM($C50:C50)</f>
        <v>0</v>
      </c>
      <c r="D51" s="735">
        <f ca="1">SUM($C50:D50)</f>
        <v>0</v>
      </c>
      <c r="E51" s="735">
        <f ca="1">SUM($C50:E50)</f>
        <v>0</v>
      </c>
      <c r="F51" s="735">
        <f ca="1">SUM($C50:F50)</f>
        <v>0</v>
      </c>
      <c r="G51" s="735">
        <f ca="1">SUM($C50:G50)</f>
        <v>0</v>
      </c>
      <c r="H51" s="735">
        <f ca="1">SUM($C50:H50)</f>
        <v>0</v>
      </c>
      <c r="I51" s="735">
        <f ca="1">SUM($C50:I50)</f>
        <v>0</v>
      </c>
      <c r="J51" s="735">
        <f ca="1">SUM($C50:J50)</f>
        <v>0</v>
      </c>
      <c r="K51" s="735">
        <f ca="1">SUM($C50:K50)</f>
        <v>35994.613500428997</v>
      </c>
      <c r="L51" s="735">
        <f ca="1">SUM($C50:L50)</f>
        <v>77240.002491124382</v>
      </c>
      <c r="M51" s="735">
        <f ca="1">SUM($C50:M50)</f>
        <v>123539.7650500178</v>
      </c>
      <c r="N51" s="735">
        <f ca="1">SUM($C50:N50)</f>
        <v>174321.81589008018</v>
      </c>
      <c r="O51" s="735">
        <f ca="1">SUM($C50:O50)</f>
        <v>223908.99029834056</v>
      </c>
      <c r="P51" s="735">
        <f ca="1">SUM($C50:P50)</f>
        <v>277978.20298776991</v>
      </c>
      <c r="Q51" s="735">
        <f ca="1">SUM($C50:Q50)</f>
        <v>320459.84924539726</v>
      </c>
      <c r="R51" s="735">
        <f ca="1">SUM($C50:R50)</f>
        <v>376566.72378419363</v>
      </c>
      <c r="S51" s="735">
        <f ca="1">SUM($C50:S50)</f>
        <v>432727.97189118795</v>
      </c>
      <c r="T51" s="735">
        <f ca="1">SUM($C50:T50)</f>
        <v>491007.63471115322</v>
      </c>
      <c r="U51" s="736">
        <f ca="1">SUM($C50:U50)</f>
        <v>549484.0475311185</v>
      </c>
      <c r="AD51" s="468">
        <v>14</v>
      </c>
      <c r="AE51" s="469">
        <f ca="1">-CF!$H$20</f>
        <v>0</v>
      </c>
    </row>
    <row r="52" spans="1:31" ht="24.95" customHeight="1" x14ac:dyDescent="0.45">
      <c r="A52" s="470"/>
      <c r="B52" s="470"/>
      <c r="C52" s="470"/>
      <c r="D52" s="470"/>
      <c r="E52" s="470"/>
      <c r="F52" s="470"/>
      <c r="G52" s="470"/>
      <c r="H52" s="470"/>
      <c r="I52" s="470"/>
      <c r="J52" s="470"/>
      <c r="K52" s="470"/>
      <c r="L52" s="470"/>
      <c r="M52" s="470"/>
      <c r="N52" s="470"/>
      <c r="O52" s="470"/>
      <c r="P52" s="470"/>
      <c r="Q52" s="470"/>
      <c r="R52" s="470"/>
      <c r="S52" s="470"/>
      <c r="T52" s="470"/>
      <c r="U52" s="470"/>
      <c r="AD52" s="468">
        <v>15</v>
      </c>
      <c r="AE52" s="469">
        <f ca="1">-CF!$H$21</f>
        <v>0</v>
      </c>
    </row>
    <row r="53" spans="1:31" ht="24.95" customHeight="1" x14ac:dyDescent="0.45">
      <c r="A53" s="470"/>
      <c r="B53" s="470"/>
      <c r="C53" s="470"/>
      <c r="D53" s="470"/>
      <c r="E53" s="470"/>
      <c r="F53" s="470"/>
      <c r="G53" s="470"/>
      <c r="H53" s="470"/>
      <c r="I53" s="470"/>
      <c r="J53" s="470"/>
      <c r="K53" s="470"/>
      <c r="L53" s="470"/>
      <c r="M53" s="470"/>
      <c r="N53" s="470"/>
      <c r="O53" s="470"/>
      <c r="P53" s="470"/>
      <c r="Q53" s="470"/>
      <c r="R53" s="470"/>
      <c r="S53" s="470"/>
      <c r="T53" s="470"/>
      <c r="U53" s="470"/>
      <c r="AD53" s="468">
        <v>16</v>
      </c>
      <c r="AE53" s="469">
        <f ca="1">-CF!$H$22</f>
        <v>0</v>
      </c>
    </row>
    <row r="54" spans="1:31" ht="24" customHeight="1" x14ac:dyDescent="0.45">
      <c r="A54" s="470"/>
      <c r="B54" s="470"/>
      <c r="C54" s="470"/>
      <c r="D54" s="470"/>
      <c r="E54" s="470"/>
      <c r="F54" s="470"/>
      <c r="G54" s="470"/>
      <c r="H54" s="470"/>
      <c r="I54" s="470"/>
      <c r="J54" s="470"/>
      <c r="K54" s="470"/>
      <c r="L54" s="470"/>
      <c r="M54" s="470"/>
      <c r="N54" s="470"/>
      <c r="O54" s="470"/>
      <c r="P54" s="470"/>
      <c r="Q54" s="470"/>
      <c r="R54" s="470"/>
      <c r="S54" s="470"/>
      <c r="T54" s="470"/>
      <c r="U54" s="470"/>
      <c r="AD54" s="468">
        <v>17</v>
      </c>
      <c r="AE54" s="469">
        <f>-CF!$H$23</f>
        <v>0</v>
      </c>
    </row>
    <row r="55" spans="1:31" ht="24" customHeight="1" x14ac:dyDescent="0.45">
      <c r="A55" s="470"/>
      <c r="B55" s="470"/>
      <c r="C55" s="470"/>
      <c r="D55" s="470"/>
      <c r="E55" s="470"/>
      <c r="F55" s="470"/>
      <c r="G55" s="470"/>
      <c r="H55" s="470"/>
      <c r="I55" s="470"/>
      <c r="J55" s="470"/>
      <c r="K55" s="470"/>
      <c r="L55" s="470"/>
      <c r="M55" s="470"/>
      <c r="N55" s="470"/>
      <c r="O55" s="470"/>
      <c r="P55" s="470"/>
      <c r="Q55" s="470"/>
      <c r="R55" s="470"/>
      <c r="S55" s="470"/>
      <c r="T55" s="470"/>
      <c r="U55" s="470"/>
      <c r="AD55" s="468">
        <v>18</v>
      </c>
      <c r="AE55" s="469">
        <f>-CF!$H$24</f>
        <v>0</v>
      </c>
    </row>
    <row r="56" spans="1:31" ht="24" customHeight="1" x14ac:dyDescent="0.45">
      <c r="A56" s="470"/>
      <c r="B56" s="470"/>
      <c r="C56" s="470"/>
      <c r="D56" s="470"/>
      <c r="E56" s="470"/>
      <c r="F56" s="470"/>
      <c r="G56" s="470"/>
      <c r="H56" s="470"/>
      <c r="I56" s="470"/>
      <c r="J56" s="470"/>
      <c r="K56" s="470"/>
      <c r="L56" s="470"/>
      <c r="M56" s="470"/>
      <c r="N56" s="470"/>
      <c r="O56" s="470"/>
      <c r="P56" s="470"/>
      <c r="Q56" s="470"/>
      <c r="R56" s="470"/>
      <c r="S56" s="470"/>
      <c r="T56" s="470"/>
      <c r="U56" s="470"/>
      <c r="AD56" s="468">
        <v>19</v>
      </c>
      <c r="AE56" s="469">
        <f>-CF!$H$25</f>
        <v>0</v>
      </c>
    </row>
    <row r="57" spans="1:31" ht="24" customHeight="1" x14ac:dyDescent="0.45">
      <c r="A57" s="470"/>
      <c r="B57" s="470"/>
      <c r="C57" s="470"/>
      <c r="D57" s="470"/>
      <c r="E57" s="470"/>
      <c r="F57" s="470"/>
      <c r="G57" s="470"/>
      <c r="H57" s="470"/>
      <c r="I57" s="470"/>
      <c r="J57" s="470"/>
      <c r="K57" s="470"/>
      <c r="L57" s="470"/>
      <c r="M57" s="470"/>
      <c r="N57" s="470"/>
      <c r="O57" s="470"/>
      <c r="P57" s="470"/>
      <c r="Q57" s="470"/>
      <c r="R57" s="470"/>
      <c r="S57" s="470"/>
      <c r="T57" s="470"/>
      <c r="U57" s="470"/>
      <c r="AD57" s="468">
        <v>20</v>
      </c>
      <c r="AE57" s="469">
        <f>-CF!$H26</f>
        <v>0</v>
      </c>
    </row>
    <row r="58" spans="1:31" ht="24" customHeight="1" x14ac:dyDescent="0.45">
      <c r="A58" s="470"/>
      <c r="B58" s="470"/>
      <c r="C58" s="470"/>
      <c r="D58" s="470"/>
      <c r="E58" s="470"/>
      <c r="F58" s="470"/>
      <c r="G58" s="470"/>
      <c r="H58" s="470"/>
      <c r="I58" s="470"/>
      <c r="J58" s="470"/>
      <c r="K58" s="470"/>
      <c r="L58" s="470"/>
      <c r="M58" s="470"/>
      <c r="N58" s="470"/>
      <c r="O58" s="470"/>
      <c r="P58" s="470"/>
      <c r="Q58" s="470"/>
      <c r="R58" s="470"/>
      <c r="S58" s="470"/>
      <c r="T58" s="470"/>
      <c r="U58" s="470"/>
      <c r="AD58" s="468">
        <v>21</v>
      </c>
      <c r="AE58" s="469">
        <f>-CF!$H27</f>
        <v>0</v>
      </c>
    </row>
    <row r="59" spans="1:31" ht="24" customHeight="1" x14ac:dyDescent="0.45">
      <c r="A59" s="470"/>
      <c r="B59" s="470"/>
      <c r="C59" s="470"/>
      <c r="D59" s="470"/>
      <c r="E59" s="470"/>
      <c r="F59" s="470"/>
      <c r="G59" s="470"/>
      <c r="H59" s="470"/>
      <c r="I59" s="470"/>
      <c r="J59" s="470"/>
      <c r="K59" s="470"/>
      <c r="L59" s="470"/>
      <c r="M59" s="470"/>
      <c r="N59" s="470"/>
      <c r="O59" s="470"/>
      <c r="P59" s="470"/>
      <c r="Q59" s="470"/>
      <c r="R59" s="470"/>
      <c r="S59" s="470"/>
      <c r="T59" s="470"/>
      <c r="U59" s="470"/>
      <c r="AD59" s="468">
        <v>22</v>
      </c>
      <c r="AE59" s="469">
        <f>-CF!$H28</f>
        <v>0</v>
      </c>
    </row>
    <row r="60" spans="1:31" ht="24" customHeight="1" x14ac:dyDescent="0.45">
      <c r="A60" s="470"/>
      <c r="B60" s="470"/>
      <c r="C60" s="470"/>
      <c r="D60" s="470"/>
      <c r="E60" s="470"/>
      <c r="F60" s="470"/>
      <c r="G60" s="470"/>
      <c r="H60" s="470"/>
      <c r="I60" s="470"/>
      <c r="J60" s="470"/>
      <c r="K60" s="470"/>
      <c r="L60" s="470"/>
      <c r="M60" s="470"/>
      <c r="N60" s="470"/>
      <c r="O60" s="470"/>
      <c r="P60" s="470"/>
      <c r="Q60" s="470"/>
      <c r="R60" s="470"/>
      <c r="S60" s="470"/>
      <c r="T60" s="470"/>
      <c r="U60" s="470"/>
      <c r="AD60" s="468">
        <v>23</v>
      </c>
      <c r="AE60" s="469">
        <f>-CF!$H29</f>
        <v>0</v>
      </c>
    </row>
    <row r="61" spans="1:31" ht="24" customHeight="1" x14ac:dyDescent="0.45">
      <c r="A61" s="470"/>
      <c r="B61" s="470"/>
      <c r="C61" s="470"/>
      <c r="D61" s="470"/>
      <c r="E61" s="470"/>
      <c r="F61" s="470"/>
      <c r="G61" s="470"/>
      <c r="H61" s="470"/>
      <c r="I61" s="470"/>
      <c r="J61" s="470"/>
      <c r="K61" s="470"/>
      <c r="L61" s="470"/>
      <c r="M61" s="470"/>
      <c r="N61" s="470"/>
      <c r="O61" s="470"/>
      <c r="P61" s="470"/>
      <c r="Q61" s="470"/>
      <c r="R61" s="470"/>
      <c r="S61" s="470"/>
      <c r="T61" s="470"/>
      <c r="U61" s="470"/>
      <c r="AD61" s="468">
        <v>24</v>
      </c>
      <c r="AE61" s="469">
        <f>-CF!$H30</f>
        <v>0</v>
      </c>
    </row>
    <row r="62" spans="1:31" ht="24" customHeight="1" x14ac:dyDescent="0.45">
      <c r="A62" s="470"/>
      <c r="B62" s="470"/>
      <c r="C62" s="470"/>
      <c r="D62" s="470"/>
      <c r="E62" s="470"/>
      <c r="F62" s="470"/>
      <c r="G62" s="470"/>
      <c r="H62" s="470"/>
      <c r="I62" s="470"/>
      <c r="J62" s="470"/>
      <c r="K62" s="470"/>
      <c r="L62" s="470"/>
      <c r="M62" s="470"/>
      <c r="N62" s="470"/>
      <c r="O62" s="470"/>
      <c r="P62" s="470"/>
      <c r="Q62" s="470"/>
      <c r="R62" s="470"/>
      <c r="S62" s="470"/>
      <c r="T62" s="470"/>
      <c r="U62" s="470"/>
      <c r="AD62" s="468">
        <v>25</v>
      </c>
      <c r="AE62" s="469">
        <f>-CF!$H31</f>
        <v>0</v>
      </c>
    </row>
    <row r="63" spans="1:31" ht="24" customHeight="1" x14ac:dyDescent="0.45">
      <c r="A63" s="470"/>
      <c r="B63" s="470"/>
      <c r="C63" s="470"/>
      <c r="D63" s="470"/>
      <c r="E63" s="470"/>
      <c r="F63" s="470"/>
      <c r="G63" s="470"/>
      <c r="H63" s="470"/>
      <c r="I63" s="470"/>
      <c r="J63" s="470"/>
      <c r="K63" s="470"/>
      <c r="L63" s="470"/>
      <c r="M63" s="470"/>
      <c r="N63" s="470"/>
      <c r="O63" s="470"/>
      <c r="P63" s="470"/>
      <c r="Q63" s="470"/>
      <c r="R63" s="470"/>
      <c r="S63" s="470"/>
      <c r="T63" s="470"/>
      <c r="U63" s="470"/>
      <c r="AD63" s="468">
        <v>26</v>
      </c>
      <c r="AE63" s="469">
        <f>-CF!$H32</f>
        <v>0</v>
      </c>
    </row>
    <row r="64" spans="1:31" ht="24" customHeight="1" x14ac:dyDescent="0.45">
      <c r="A64" s="470"/>
      <c r="B64" s="470"/>
      <c r="C64" s="470"/>
      <c r="D64" s="470"/>
      <c r="E64" s="470"/>
      <c r="F64" s="470"/>
      <c r="G64" s="470"/>
      <c r="H64" s="470"/>
      <c r="I64" s="470"/>
      <c r="J64" s="470"/>
      <c r="K64" s="470"/>
      <c r="L64" s="470"/>
      <c r="M64" s="470"/>
      <c r="N64" s="470"/>
      <c r="O64" s="470"/>
      <c r="P64" s="470"/>
      <c r="Q64" s="470"/>
      <c r="R64" s="470"/>
      <c r="S64" s="470"/>
      <c r="T64" s="470"/>
      <c r="U64" s="470"/>
      <c r="AD64" s="468">
        <v>27</v>
      </c>
      <c r="AE64" s="469">
        <f>-CF!$H33</f>
        <v>0</v>
      </c>
    </row>
    <row r="65" spans="30:31" ht="24" customHeight="1" x14ac:dyDescent="0.45">
      <c r="AD65" s="468">
        <v>28</v>
      </c>
      <c r="AE65" s="469">
        <f>-CF!$H34</f>
        <v>0</v>
      </c>
    </row>
  </sheetData>
  <printOptions horizontalCentered="1"/>
  <pageMargins left="0.2" right="0.2" top="0.75" bottom="0.75" header="0.3" footer="0.3"/>
  <pageSetup paperSize="9" scale="60" orientation="landscape" r:id="rId1"/>
  <rowBreaks count="1" manualBreakCount="1">
    <brk id="21" max="20" man="1"/>
  </row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9"/>
  <sheetViews>
    <sheetView zoomScaleNormal="100" workbookViewId="0">
      <pane xSplit="7" ySplit="4" topLeftCell="H14" activePane="bottomRight" state="frozen"/>
      <selection pane="topRight" activeCell="H1" sqref="H1"/>
      <selection pane="bottomLeft" activeCell="A7" sqref="A7"/>
      <selection pane="bottomRight" activeCell="J29" sqref="J29"/>
    </sheetView>
  </sheetViews>
  <sheetFormatPr defaultColWidth="8.86328125" defaultRowHeight="13.9" x14ac:dyDescent="0.45"/>
  <cols>
    <col min="1" max="1" width="5.73046875" style="503" customWidth="1"/>
    <col min="2" max="2" width="8.73046875" style="503" customWidth="1"/>
    <col min="3" max="11" width="10.73046875" style="503" customWidth="1"/>
    <col min="12" max="12" width="5.73046875" style="503" customWidth="1"/>
    <col min="13" max="16" width="10.73046875" style="503" customWidth="1"/>
    <col min="17" max="17" width="2.73046875" style="503" customWidth="1"/>
    <col min="18" max="19" width="10.73046875" style="503" customWidth="1"/>
    <col min="20" max="20" width="8.86328125" style="503"/>
    <col min="21" max="22" width="10.73046875" style="503" customWidth="1"/>
    <col min="23" max="16384" width="8.86328125" style="503"/>
  </cols>
  <sheetData>
    <row r="1" spans="1:15" ht="16.149999999999999" customHeight="1" x14ac:dyDescent="0.45">
      <c r="A1" s="521"/>
      <c r="B1" s="602" t="str">
        <f>Rev!$A$1</f>
        <v>Ali Bin Ali Establishment, Manteq Project</v>
      </c>
      <c r="G1" s="520"/>
      <c r="H1" s="520"/>
      <c r="I1" s="520"/>
      <c r="J1" s="520"/>
      <c r="K1" s="520"/>
      <c r="M1" s="520"/>
      <c r="N1" s="520"/>
      <c r="O1" s="520" t="s">
        <v>659</v>
      </c>
    </row>
    <row r="2" spans="1:15" ht="16.149999999999999" customHeight="1" thickBot="1" x14ac:dyDescent="0.5">
      <c r="A2" s="521"/>
      <c r="G2" s="520"/>
      <c r="H2" s="520"/>
      <c r="I2" s="520"/>
      <c r="J2" s="520"/>
      <c r="K2" s="520"/>
      <c r="M2" s="520"/>
      <c r="N2" s="520"/>
      <c r="O2" s="520"/>
    </row>
    <row r="3" spans="1:15" ht="14.25" thickBot="1" x14ac:dyDescent="0.5">
      <c r="H3" s="905" t="s">
        <v>658</v>
      </c>
      <c r="I3" s="906"/>
      <c r="J3" s="907"/>
      <c r="M3" s="905" t="s">
        <v>657</v>
      </c>
      <c r="N3" s="906"/>
      <c r="O3" s="907"/>
    </row>
    <row r="4" spans="1:15" ht="34.15" thickBot="1" x14ac:dyDescent="0.5">
      <c r="B4" s="517" t="s">
        <v>166</v>
      </c>
      <c r="C4" s="516" t="s">
        <v>529</v>
      </c>
      <c r="D4" s="516" t="s">
        <v>363</v>
      </c>
      <c r="E4" s="516" t="s">
        <v>656</v>
      </c>
      <c r="F4" s="516" t="s">
        <v>655</v>
      </c>
      <c r="G4" s="519" t="s">
        <v>630</v>
      </c>
      <c r="H4" s="517" t="s">
        <v>629</v>
      </c>
      <c r="I4" s="516" t="s">
        <v>654</v>
      </c>
      <c r="J4" s="515" t="s">
        <v>653</v>
      </c>
      <c r="K4" s="518"/>
      <c r="M4" s="517" t="s">
        <v>652</v>
      </c>
      <c r="N4" s="516" t="s">
        <v>251</v>
      </c>
      <c r="O4" s="515" t="s">
        <v>651</v>
      </c>
    </row>
    <row r="5" spans="1:15" ht="16.149999999999999" customHeight="1" x14ac:dyDescent="0.45">
      <c r="A5" s="514">
        <v>1</v>
      </c>
      <c r="B5" s="510" t="str">
        <f t="shared" ref="B5:B29" si="0">"Year "&amp;A5</f>
        <v>Year 1</v>
      </c>
      <c r="C5" s="510"/>
      <c r="D5" s="510"/>
      <c r="E5" s="510"/>
      <c r="F5" s="510"/>
      <c r="G5" s="513">
        <f t="shared" ref="G5:G29" si="1">SUM(C5:F5)</f>
        <v>0</v>
      </c>
      <c r="H5" s="511"/>
      <c r="I5" s="510"/>
      <c r="J5" s="509">
        <f t="shared" ref="J5:J29" si="2">SUM(H5:I5)</f>
        <v>0</v>
      </c>
      <c r="K5" s="512">
        <f t="shared" ref="K5:K29" si="3">G5-J5</f>
        <v>0</v>
      </c>
      <c r="M5" s="511"/>
      <c r="N5" s="510"/>
      <c r="O5" s="509">
        <f t="shared" ref="O5:O29" si="4">SUM(M5:N5)</f>
        <v>0</v>
      </c>
    </row>
    <row r="6" spans="1:15" ht="16.149999999999999" customHeight="1" x14ac:dyDescent="0.45">
      <c r="A6" s="634">
        <f t="shared" ref="A6:A29" si="5">A5+1</f>
        <v>2</v>
      </c>
      <c r="B6" s="507" t="str">
        <f t="shared" si="0"/>
        <v>Year 2</v>
      </c>
      <c r="C6" s="507"/>
      <c r="D6" s="507"/>
      <c r="E6" s="507"/>
      <c r="F6" s="507"/>
      <c r="G6" s="506">
        <f t="shared" si="1"/>
        <v>0</v>
      </c>
      <c r="H6" s="508"/>
      <c r="I6" s="507"/>
      <c r="J6" s="504">
        <f t="shared" si="2"/>
        <v>0</v>
      </c>
      <c r="K6" s="505">
        <f t="shared" si="3"/>
        <v>0</v>
      </c>
      <c r="M6" s="508"/>
      <c r="N6" s="507"/>
      <c r="O6" s="504">
        <f t="shared" si="4"/>
        <v>0</v>
      </c>
    </row>
    <row r="7" spans="1:15" ht="16.149999999999999" customHeight="1" x14ac:dyDescent="0.45">
      <c r="A7" s="634">
        <f t="shared" si="5"/>
        <v>3</v>
      </c>
      <c r="B7" s="624" t="str">
        <f t="shared" si="0"/>
        <v>Year 3</v>
      </c>
      <c r="C7" s="624">
        <f ca="1">OFFSET(Rev!$B$78,0,$A7)</f>
        <v>-13772.808413758292</v>
      </c>
      <c r="D7" s="624">
        <f ca="1">OFFSET(Rev!$B$79,0,$A7)</f>
        <v>65012.25783509219</v>
      </c>
      <c r="E7" s="624">
        <f ca="1">OFFSET(Rev!$B$80,0,$A7)</f>
        <v>0</v>
      </c>
      <c r="F7" s="624">
        <f ca="1">OFFSET(Rev!$B$81,0,$A7)</f>
        <v>-5030</v>
      </c>
      <c r="G7" s="625">
        <f t="shared" ca="1" si="1"/>
        <v>46209.449421333898</v>
      </c>
      <c r="H7" s="626">
        <f ca="1">-SUMIF('Loan Plan'!$H$24:$H$209,$A7,'Loan Plan'!$D$24:$D$209)</f>
        <v>46209.449421333898</v>
      </c>
      <c r="I7" s="624">
        <f ca="1">SUMIF('Loan Plan'!$H$24:$H$209,$A7,'Loan Plan'!$F$24:$F$209)</f>
        <v>50198.296254619156</v>
      </c>
      <c r="J7" s="627">
        <f t="shared" ca="1" si="2"/>
        <v>96407.745675953047</v>
      </c>
      <c r="K7" s="628">
        <f t="shared" ca="1" si="3"/>
        <v>-50198.296254619148</v>
      </c>
      <c r="M7" s="626">
        <f ca="1">SUMIF('Loan Plan'!$H$24:$H$209,$A7,'Loan Plan'!$K$24:$K$209)</f>
        <v>50198.296254619134</v>
      </c>
      <c r="N7" s="624">
        <f ca="1">SUMIF('Loan Plan'!$H$24:$H$209,$A7,'Loan Plan'!$J$24:$J$209)</f>
        <v>1522.8247845224403</v>
      </c>
      <c r="O7" s="627">
        <f t="shared" ca="1" si="4"/>
        <v>51721.121039141573</v>
      </c>
    </row>
    <row r="8" spans="1:15" ht="16.149999999999999" customHeight="1" x14ac:dyDescent="0.45">
      <c r="A8" s="634">
        <f t="shared" si="5"/>
        <v>4</v>
      </c>
      <c r="B8" s="624" t="str">
        <f t="shared" si="0"/>
        <v>Year 4</v>
      </c>
      <c r="C8" s="624">
        <f ca="1">OFFSET(Rev!$B$78,0,$A8)</f>
        <v>29633.994653930313</v>
      </c>
      <c r="D8" s="624">
        <f ca="1">OFFSET(Rev!$B$79,0,$A8)</f>
        <v>65012.25783509219</v>
      </c>
      <c r="E8" s="624">
        <f ca="1">OFFSET(Rev!$B$80,0,$A8)</f>
        <v>0</v>
      </c>
      <c r="F8" s="624">
        <f ca="1">OFFSET(Rev!$B$81,0,$A8)</f>
        <v>-3678</v>
      </c>
      <c r="G8" s="625">
        <f t="shared" ca="1" si="1"/>
        <v>90968.252489022503</v>
      </c>
      <c r="H8" s="626">
        <f ca="1">-SUMIF('Loan Plan'!$H$24:$H$209,$A8,'Loan Plan'!$D$24:$D$209)</f>
        <v>90968.252489022518</v>
      </c>
      <c r="I8" s="624">
        <f ca="1">SUMIF('Loan Plan'!$H$24:$H$209,$A8,'Loan Plan'!$F$24:$F$209)</f>
        <v>45861.24270084087</v>
      </c>
      <c r="J8" s="627">
        <f t="shared" ca="1" si="2"/>
        <v>136829.49518986337</v>
      </c>
      <c r="K8" s="628">
        <f t="shared" ca="1" si="3"/>
        <v>-45861.24270084087</v>
      </c>
      <c r="M8" s="626">
        <f ca="1">SUMIF('Loan Plan'!$H$24:$H$209,$A8,'Loan Plan'!$K$24:$K$209)</f>
        <v>45861.242700840878</v>
      </c>
      <c r="N8" s="624">
        <f ca="1">SUMIF('Loan Plan'!$H$24:$H$209,$A8,'Loan Plan'!$J$24:$J$209)</f>
        <v>4855.114390697523</v>
      </c>
      <c r="O8" s="627">
        <f t="shared" ca="1" si="4"/>
        <v>50716.357091538404</v>
      </c>
    </row>
    <row r="9" spans="1:15" ht="16.149999999999999" customHeight="1" x14ac:dyDescent="0.45">
      <c r="A9" s="634">
        <f t="shared" si="5"/>
        <v>5</v>
      </c>
      <c r="B9" s="624" t="str">
        <f t="shared" si="0"/>
        <v>Year 5</v>
      </c>
      <c r="C9" s="624">
        <f ca="1">OFFSET(Rev!$B$78,0,$A9)</f>
        <v>80696.701458464551</v>
      </c>
      <c r="D9" s="624">
        <f ca="1">OFFSET(Rev!$B$79,0,$A9)</f>
        <v>65012.25783509219</v>
      </c>
      <c r="E9" s="624">
        <f ca="1">OFFSET(Rev!$B$80,0,$A9)</f>
        <v>0</v>
      </c>
      <c r="F9" s="624">
        <f ca="1">OFFSET(Rev!$B$81,0,$A9)</f>
        <v>-4327</v>
      </c>
      <c r="G9" s="625">
        <f t="shared" ca="1" si="1"/>
        <v>141381.95929355675</v>
      </c>
      <c r="H9" s="626">
        <f ca="1">-SUMIF('Loan Plan'!$H$24:$H$209,$A9,'Loan Plan'!$D$24:$D$209)</f>
        <v>141381.95929355678</v>
      </c>
      <c r="I9" s="624">
        <f ca="1">SUMIF('Loan Plan'!$H$24:$H$209,$A9,'Loan Plan'!$F$24:$F$209)</f>
        <v>38446.39794050264</v>
      </c>
      <c r="J9" s="627">
        <f t="shared" ca="1" si="2"/>
        <v>179828.35723405943</v>
      </c>
      <c r="K9" s="628">
        <f t="shared" ca="1" si="3"/>
        <v>-38446.397940502677</v>
      </c>
      <c r="M9" s="626">
        <f ca="1">SUMIF('Loan Plan'!$H$24:$H$209,$A9,'Loan Plan'!$K$24:$K$209)</f>
        <v>38446.397940502677</v>
      </c>
      <c r="N9" s="624">
        <f ca="1">SUMIF('Loan Plan'!$H$24:$H$209,$A9,'Loan Plan'!$J$24:$J$209)</f>
        <v>8026.7446521059728</v>
      </c>
      <c r="O9" s="627">
        <f t="shared" ca="1" si="4"/>
        <v>46473.142592608652</v>
      </c>
    </row>
    <row r="10" spans="1:15" ht="16.149999999999999" customHeight="1" x14ac:dyDescent="0.45">
      <c r="A10" s="634">
        <f t="shared" si="5"/>
        <v>6</v>
      </c>
      <c r="B10" s="624" t="str">
        <f t="shared" si="0"/>
        <v>Year 6</v>
      </c>
      <c r="C10" s="624">
        <f ca="1">OFFSET(Rev!$B$78,0,$A10)</f>
        <v>110879.55887426934</v>
      </c>
      <c r="D10" s="624">
        <f ca="1">OFFSET(Rev!$B$79,0,$A10)</f>
        <v>69012.257835092198</v>
      </c>
      <c r="E10" s="624">
        <f ca="1">OFFSET(Rev!$B$80,0,$A10)</f>
        <v>-20000</v>
      </c>
      <c r="F10" s="624">
        <f ca="1">OFFSET(Rev!$B$81,0,$A10)</f>
        <v>-2896</v>
      </c>
      <c r="G10" s="625">
        <f t="shared" ca="1" si="1"/>
        <v>156995.81670936153</v>
      </c>
      <c r="H10" s="626">
        <f ca="1">-SUMIF('Loan Plan'!$H$24:$H$209,$A10,'Loan Plan'!$D$24:$D$209)</f>
        <v>156995.81670936153</v>
      </c>
      <c r="I10" s="624">
        <f ca="1">SUMIF('Loan Plan'!$H$24:$H$209,$A10,'Loan Plan'!$F$24:$F$209)</f>
        <v>28791.407750908904</v>
      </c>
      <c r="J10" s="627">
        <f t="shared" ca="1" si="2"/>
        <v>185787.22446027043</v>
      </c>
      <c r="K10" s="628">
        <f t="shared" ca="1" si="3"/>
        <v>-28791.407750908897</v>
      </c>
      <c r="M10" s="626">
        <f ca="1">SUMIF('Loan Plan'!$H$24:$H$209,$A10,'Loan Plan'!$K$24:$K$209)</f>
        <v>28791.4077509089</v>
      </c>
      <c r="N10" s="624">
        <f ca="1">SUMIF('Loan Plan'!$H$24:$H$209,$A10,'Loan Plan'!$J$24:$J$209)</f>
        <v>10846.241514682179</v>
      </c>
      <c r="O10" s="627">
        <f t="shared" ca="1" si="4"/>
        <v>39637.649265591077</v>
      </c>
    </row>
    <row r="11" spans="1:15" ht="16.149999999999999" customHeight="1" x14ac:dyDescent="0.45">
      <c r="A11" s="634">
        <f t="shared" si="5"/>
        <v>7</v>
      </c>
      <c r="B11" s="624" t="str">
        <f t="shared" si="0"/>
        <v>Year 7</v>
      </c>
      <c r="C11" s="624">
        <f ca="1">OFFSET(Rev!$B$78,0,$A11)</f>
        <v>115434.00333275361</v>
      </c>
      <c r="D11" s="624">
        <f ca="1">OFFSET(Rev!$B$79,0,$A11)</f>
        <v>69012.257835092198</v>
      </c>
      <c r="E11" s="624">
        <f ca="1">OFFSET(Rev!$B$80,0,$A11)</f>
        <v>0</v>
      </c>
      <c r="F11" s="624">
        <f ca="1">OFFSET(Rev!$B$81,0,$A11)</f>
        <v>-593</v>
      </c>
      <c r="G11" s="625">
        <f t="shared" ca="1" si="1"/>
        <v>183853.26116784581</v>
      </c>
      <c r="H11" s="626">
        <f ca="1">-SUMIF('Loan Plan'!$H$24:$H$209,$A11,'Loan Plan'!$D$24:$D$209)</f>
        <v>183853.26116784581</v>
      </c>
      <c r="I11" s="624">
        <f ca="1">SUMIF('Loan Plan'!$H$24:$H$209,$A11,'Loan Plan'!$F$24:$F$209)</f>
        <v>17786.551631974718</v>
      </c>
      <c r="J11" s="627">
        <f t="shared" ca="1" si="2"/>
        <v>201639.81279982053</v>
      </c>
      <c r="K11" s="628">
        <f t="shared" ca="1" si="3"/>
        <v>-17786.551631974726</v>
      </c>
      <c r="M11" s="626">
        <f ca="1">SUMIF('Loan Plan'!$H$24:$H$209,$A11,'Loan Plan'!$K$24:$K$209)</f>
        <v>17786.551631974726</v>
      </c>
      <c r="N11" s="624">
        <f ca="1">SUMIF('Loan Plan'!$H$24:$H$209,$A11,'Loan Plan'!$J$24:$J$209)</f>
        <v>13167.002947705671</v>
      </c>
      <c r="O11" s="627">
        <f t="shared" ca="1" si="4"/>
        <v>30953.554579680396</v>
      </c>
    </row>
    <row r="12" spans="1:15" ht="16.149999999999999" customHeight="1" x14ac:dyDescent="0.45">
      <c r="A12" s="634">
        <f t="shared" si="5"/>
        <v>8</v>
      </c>
      <c r="B12" s="624" t="str">
        <f t="shared" si="0"/>
        <v>Year 8</v>
      </c>
      <c r="C12" s="624">
        <f ca="1">OFFSET(Rev!$B$78,0,$A12)</f>
        <v>115102.95832521562</v>
      </c>
      <c r="D12" s="624">
        <f ca="1">OFFSET(Rev!$B$79,0,$A12)</f>
        <v>69012.257835092198</v>
      </c>
      <c r="E12" s="624">
        <f ca="1">OFFSET(Rev!$B$80,0,$A12)</f>
        <v>0</v>
      </c>
      <c r="F12" s="624">
        <f ca="1">OFFSET(Rev!$B$81,0,$A12)</f>
        <v>14</v>
      </c>
      <c r="G12" s="625">
        <f t="shared" ca="1" si="1"/>
        <v>184129.21616030781</v>
      </c>
      <c r="H12" s="626">
        <f ca="1">-SUMIF('Loan Plan'!$H$24:$H$209,$A12,'Loan Plan'!$D$24:$D$209)</f>
        <v>174052.07274395094</v>
      </c>
      <c r="I12" s="624">
        <f ca="1">SUMIF('Loan Plan'!$H$24:$H$209,$A12,'Loan Plan'!$F$24:$F$209)</f>
        <v>5827.8684969143096</v>
      </c>
      <c r="J12" s="627">
        <f t="shared" ca="1" si="2"/>
        <v>179879.94124086524</v>
      </c>
      <c r="K12" s="628">
        <f t="shared" ca="1" si="3"/>
        <v>4249.2749194425705</v>
      </c>
      <c r="M12" s="626">
        <f ca="1">SUMIF('Loan Plan'!$H$24:$H$209,$A12,'Loan Plan'!$K$24:$K$209)</f>
        <v>-4249.2749194425696</v>
      </c>
      <c r="N12" s="624">
        <f ca="1">SUMIF('Loan Plan'!$H$24:$H$209,$A12,'Loan Plan'!$J$24:$J$209)</f>
        <v>14571.536920689901</v>
      </c>
      <c r="O12" s="627">
        <f t="shared" ca="1" si="4"/>
        <v>10322.262001247331</v>
      </c>
    </row>
    <row r="13" spans="1:15" ht="16.149999999999999" customHeight="1" x14ac:dyDescent="0.45">
      <c r="A13" s="634">
        <f t="shared" si="5"/>
        <v>9</v>
      </c>
      <c r="B13" s="624" t="str">
        <f t="shared" si="0"/>
        <v>Year 9</v>
      </c>
      <c r="C13" s="624">
        <f ca="1">OFFSET(Rev!$B$78,0,$A13)</f>
        <v>123582.65073022156</v>
      </c>
      <c r="D13" s="624">
        <f ca="1">OFFSET(Rev!$B$79,0,$A13)</f>
        <v>69012.257835092198</v>
      </c>
      <c r="E13" s="624">
        <f ca="1">OFFSET(Rev!$B$80,0,$A13)</f>
        <v>0</v>
      </c>
      <c r="F13" s="624">
        <f ca="1">OFFSET(Rev!$B$81,0,$A13)</f>
        <v>-754</v>
      </c>
      <c r="G13" s="625">
        <f t="shared" ca="1" si="1"/>
        <v>191840.90856531376</v>
      </c>
      <c r="H13" s="626">
        <f ca="1">-SUMIF('Loan Plan'!$H$24:$H$209,$A13,'Loan Plan'!$D$24:$D$209)</f>
        <v>0</v>
      </c>
      <c r="I13" s="624">
        <f ca="1">SUMIF('Loan Plan'!$H$24:$H$209,$A13,'Loan Plan'!$F$24:$F$209)</f>
        <v>0</v>
      </c>
      <c r="J13" s="627">
        <f t="shared" ca="1" si="2"/>
        <v>0</v>
      </c>
      <c r="K13" s="628">
        <f t="shared" ca="1" si="3"/>
        <v>191840.90856531376</v>
      </c>
      <c r="M13" s="626">
        <f ca="1">SUMIF('Loan Plan'!$H$24:$H$209,$A13,'Loan Plan'!$K$24:$K$209)</f>
        <v>-191840.90856531379</v>
      </c>
      <c r="N13" s="624">
        <f ca="1">SUMIF('Loan Plan'!$H$24:$H$209,$A13,'Loan Plan'!$J$24:$J$209)</f>
        <v>9572.0234858446438</v>
      </c>
      <c r="O13" s="627">
        <f t="shared" ca="1" si="4"/>
        <v>-182268.88507946915</v>
      </c>
    </row>
    <row r="14" spans="1:15" ht="16.149999999999999" customHeight="1" x14ac:dyDescent="0.45">
      <c r="A14" s="634">
        <f t="shared" si="5"/>
        <v>10</v>
      </c>
      <c r="B14" s="624" t="str">
        <f t="shared" si="0"/>
        <v>Year 10</v>
      </c>
      <c r="C14" s="624">
        <f ca="1">OFFSET(Rev!$B$78,0,$A14)</f>
        <v>123015.1450030136</v>
      </c>
      <c r="D14" s="624">
        <f ca="1">OFFSET(Rev!$B$79,0,$A14)</f>
        <v>69012.257835092198</v>
      </c>
      <c r="E14" s="624">
        <f ca="1">OFFSET(Rev!$B$80,0,$A14)</f>
        <v>0</v>
      </c>
      <c r="F14" s="624">
        <f ca="1">OFFSET(Rev!$B$81,0,$A14)</f>
        <v>23</v>
      </c>
      <c r="G14" s="625">
        <f t="shared" ca="1" si="1"/>
        <v>192050.4028381058</v>
      </c>
      <c r="H14" s="626">
        <f ca="1">-SUMIF('Loan Plan'!$H$24:$H$209,$A14,'Loan Plan'!$D$24:$D$209)</f>
        <v>0</v>
      </c>
      <c r="I14" s="624">
        <f ca="1">SUMIF('Loan Plan'!$H$24:$H$209,$A14,'Loan Plan'!$F$24:$F$209)</f>
        <v>0</v>
      </c>
      <c r="J14" s="627">
        <f t="shared" ca="1" si="2"/>
        <v>0</v>
      </c>
      <c r="K14" s="628">
        <f t="shared" ca="1" si="3"/>
        <v>192050.4028381058</v>
      </c>
      <c r="M14" s="626">
        <f ca="1">SUMIF('Loan Plan'!$H$24:$H$209,$A14,'Loan Plan'!$K$24:$K$209)</f>
        <v>-48071.948836389798</v>
      </c>
      <c r="N14" s="624">
        <f ca="1">SUMIF('Loan Plan'!$H$24:$H$209,$A14,'Loan Plan'!$J$24:$J$209)</f>
        <v>516.74734605179549</v>
      </c>
      <c r="O14" s="627">
        <f t="shared" ca="1" si="4"/>
        <v>-47555.201490338004</v>
      </c>
    </row>
    <row r="15" spans="1:15" ht="16.149999999999999" customHeight="1" x14ac:dyDescent="0.45">
      <c r="A15" s="634">
        <f t="shared" si="5"/>
        <v>11</v>
      </c>
      <c r="B15" s="624" t="str">
        <f t="shared" si="0"/>
        <v>Year 11</v>
      </c>
      <c r="C15" s="624">
        <f ca="1">OFFSET(Rev!$B$78,0,$A15)</f>
        <v>128731.29812768937</v>
      </c>
      <c r="D15" s="624">
        <f ca="1">OFFSET(Rev!$B$79,0,$A15)</f>
        <v>72012.257835092198</v>
      </c>
      <c r="E15" s="624">
        <f ca="1">OFFSET(Rev!$B$80,0,$A15)</f>
        <v>-35000</v>
      </c>
      <c r="F15" s="624">
        <f ca="1">OFFSET(Rev!$B$81,0,$A15)</f>
        <v>-762</v>
      </c>
      <c r="G15" s="625">
        <f t="shared" ca="1" si="1"/>
        <v>164981.55596278157</v>
      </c>
      <c r="H15" s="626">
        <f ca="1">-SUMIF('Loan Plan'!$H$24:$H$209,$A15,'Loan Plan'!$D$24:$D$209)</f>
        <v>0</v>
      </c>
      <c r="I15" s="624">
        <f ca="1">SUMIF('Loan Plan'!$H$24:$H$209,$A15,'Loan Plan'!$F$24:$F$209)</f>
        <v>0</v>
      </c>
      <c r="J15" s="627">
        <f t="shared" ca="1" si="2"/>
        <v>0</v>
      </c>
      <c r="K15" s="628">
        <f t="shared" ca="1" si="3"/>
        <v>164981.55596278157</v>
      </c>
      <c r="M15" s="626">
        <f ca="1">SUMIF('Loan Plan'!$H$24:$H$209,$A15,'Loan Plan'!$K$24:$K$209)</f>
        <v>0</v>
      </c>
      <c r="N15" s="624">
        <f ca="1">SUMIF('Loan Plan'!$H$24:$H$209,$A15,'Loan Plan'!$J$24:$J$209)</f>
        <v>0</v>
      </c>
      <c r="O15" s="627">
        <f t="shared" ca="1" si="4"/>
        <v>0</v>
      </c>
    </row>
    <row r="16" spans="1:15" ht="16.149999999999999" customHeight="1" x14ac:dyDescent="0.45">
      <c r="A16" s="634">
        <f t="shared" si="5"/>
        <v>12</v>
      </c>
      <c r="B16" s="624" t="str">
        <f t="shared" si="0"/>
        <v>Year 12</v>
      </c>
      <c r="C16" s="624">
        <f ca="1">OFFSET(Rev!$B$78,0,$A16)</f>
        <v>125163.79240048141</v>
      </c>
      <c r="D16" s="624">
        <f ca="1">OFFSET(Rev!$B$79,0,$A16)</f>
        <v>75012.257835092198</v>
      </c>
      <c r="E16" s="624">
        <f ca="1">OFFSET(Rev!$B$80,0,$A16)</f>
        <v>-15000</v>
      </c>
      <c r="F16" s="624">
        <f ca="1">OFFSET(Rev!$B$81,0,$A16)</f>
        <v>23</v>
      </c>
      <c r="G16" s="625">
        <f t="shared" ca="1" si="1"/>
        <v>185199.05023557361</v>
      </c>
      <c r="H16" s="626">
        <f ca="1">-SUMIF('Loan Plan'!$H$24:$H$209,$A16,'Loan Plan'!$D$24:$D$209)</f>
        <v>0</v>
      </c>
      <c r="I16" s="624">
        <f ca="1">SUMIF('Loan Plan'!$H$24:$H$209,$A16,'Loan Plan'!$F$24:$F$209)</f>
        <v>0</v>
      </c>
      <c r="J16" s="627">
        <f t="shared" ca="1" si="2"/>
        <v>0</v>
      </c>
      <c r="K16" s="628">
        <f t="shared" ca="1" si="3"/>
        <v>185199.05023557361</v>
      </c>
      <c r="M16" s="626">
        <f ca="1">SUMIF('Loan Plan'!$H$24:$H$209,$A16,'Loan Plan'!$K$24:$K$209)</f>
        <v>0</v>
      </c>
      <c r="N16" s="624">
        <f ca="1">SUMIF('Loan Plan'!$H$24:$H$209,$A16,'Loan Plan'!$J$24:$J$209)</f>
        <v>0</v>
      </c>
      <c r="O16" s="627">
        <f t="shared" ca="1" si="4"/>
        <v>0</v>
      </c>
    </row>
    <row r="17" spans="1:15" ht="16.149999999999999" customHeight="1" x14ac:dyDescent="0.45">
      <c r="A17" s="634">
        <f t="shared" si="5"/>
        <v>13</v>
      </c>
      <c r="B17" s="624" t="str">
        <f t="shared" si="0"/>
        <v>Year 13</v>
      </c>
      <c r="C17" s="624">
        <f ca="1">OFFSET(Rev!$B$78,0,$A17)</f>
        <v>132879.94552515735</v>
      </c>
      <c r="D17" s="624">
        <f ca="1">OFFSET(Rev!$B$79,0,$A17)</f>
        <v>76012.257835092198</v>
      </c>
      <c r="E17" s="624">
        <f ca="1">OFFSET(Rev!$B$80,0,$A17)</f>
        <v>-5000</v>
      </c>
      <c r="F17" s="624">
        <f ca="1">OFFSET(Rev!$B$81,0,$A17)</f>
        <v>-764</v>
      </c>
      <c r="G17" s="625">
        <f t="shared" ca="1" si="1"/>
        <v>203128.20336024955</v>
      </c>
      <c r="H17" s="626">
        <f ca="1">-SUMIF('Loan Plan'!$H$24:$H$209,$A17,'Loan Plan'!$D$24:$D$209)</f>
        <v>0</v>
      </c>
      <c r="I17" s="624">
        <f ca="1">SUMIF('Loan Plan'!$H$24:$H$209,$A17,'Loan Plan'!$F$24:$F$209)</f>
        <v>0</v>
      </c>
      <c r="J17" s="627">
        <f t="shared" ca="1" si="2"/>
        <v>0</v>
      </c>
      <c r="K17" s="628">
        <f t="shared" ca="1" si="3"/>
        <v>203128.20336024955</v>
      </c>
      <c r="M17" s="626">
        <f ca="1">SUMIF('Loan Plan'!$H$24:$H$209,$A17,'Loan Plan'!$K$24:$K$209)</f>
        <v>0</v>
      </c>
      <c r="N17" s="624">
        <f ca="1">SUMIF('Loan Plan'!$H$24:$H$209,$A17,'Loan Plan'!$J$24:$J$209)</f>
        <v>0</v>
      </c>
      <c r="O17" s="627">
        <f t="shared" ca="1" si="4"/>
        <v>0</v>
      </c>
    </row>
    <row r="18" spans="1:15" ht="16.149999999999999" customHeight="1" x14ac:dyDescent="0.45">
      <c r="A18" s="634">
        <f t="shared" si="5"/>
        <v>14</v>
      </c>
      <c r="B18" s="624" t="str">
        <f t="shared" si="0"/>
        <v>Year 14</v>
      </c>
      <c r="C18" s="624">
        <f ca="1">OFFSET(Rev!$B$78,0,$A18)</f>
        <v>130312.4397979494</v>
      </c>
      <c r="D18" s="624">
        <f ca="1">OFFSET(Rev!$B$79,0,$A18)</f>
        <v>78012.257835092198</v>
      </c>
      <c r="E18" s="624">
        <f ca="1">OFFSET(Rev!$B$80,0,$A18)</f>
        <v>-10000</v>
      </c>
      <c r="F18" s="624">
        <f ca="1">OFFSET(Rev!$B$81,0,$A18)</f>
        <v>24</v>
      </c>
      <c r="G18" s="625">
        <f t="shared" ca="1" si="1"/>
        <v>198348.69763304159</v>
      </c>
      <c r="H18" s="626">
        <f ca="1">-SUMIF('Loan Plan'!$H$24:$H$209,$A18,'Loan Plan'!$D$24:$D$209)</f>
        <v>0</v>
      </c>
      <c r="I18" s="624">
        <f ca="1">SUMIF('Loan Plan'!$H$24:$H$209,$A18,'Loan Plan'!$F$24:$F$209)</f>
        <v>0</v>
      </c>
      <c r="J18" s="627">
        <f t="shared" ca="1" si="2"/>
        <v>0</v>
      </c>
      <c r="K18" s="628">
        <f t="shared" ca="1" si="3"/>
        <v>198348.69763304159</v>
      </c>
      <c r="M18" s="626">
        <f ca="1">SUMIF('Loan Plan'!$H$24:$H$209,$A18,'Loan Plan'!$K$24:$K$209)</f>
        <v>0</v>
      </c>
      <c r="N18" s="624">
        <f ca="1">SUMIF('Loan Plan'!$H$24:$H$209,$A18,'Loan Plan'!$J$24:$J$209)</f>
        <v>0</v>
      </c>
      <c r="O18" s="627">
        <f t="shared" ca="1" si="4"/>
        <v>0</v>
      </c>
    </row>
    <row r="19" spans="1:15" ht="16.149999999999999" customHeight="1" x14ac:dyDescent="0.45">
      <c r="A19" s="634">
        <f t="shared" si="5"/>
        <v>15</v>
      </c>
      <c r="B19" s="624" t="str">
        <f t="shared" si="0"/>
        <v>Year 15</v>
      </c>
      <c r="C19" s="624">
        <f ca="1">OFFSET(Rev!$B$78,0,$A19)</f>
        <v>139028.59292262519</v>
      </c>
      <c r="D19" s="624">
        <f ca="1">OFFSET(Rev!$B$79,0,$A19)</f>
        <v>78012.257835092198</v>
      </c>
      <c r="E19" s="624">
        <f ca="1">OFFSET(Rev!$B$80,0,$A19)</f>
        <v>0</v>
      </c>
      <c r="F19" s="624">
        <f ca="1">OFFSET(Rev!$B$81,0,$A19)</f>
        <v>-764</v>
      </c>
      <c r="G19" s="625">
        <f t="shared" ca="1" si="1"/>
        <v>216276.85075771739</v>
      </c>
      <c r="H19" s="626">
        <f ca="1">-SUMIF('Loan Plan'!$H$24:$H$209,$A19,'Loan Plan'!$D$24:$D$209)</f>
        <v>0</v>
      </c>
      <c r="I19" s="624">
        <f ca="1">SUMIF('Loan Plan'!$H$24:$H$209,$A19,'Loan Plan'!$F$24:$F$209)</f>
        <v>0</v>
      </c>
      <c r="J19" s="627">
        <f t="shared" ca="1" si="2"/>
        <v>0</v>
      </c>
      <c r="K19" s="628">
        <f t="shared" ca="1" si="3"/>
        <v>216276.85075771739</v>
      </c>
      <c r="M19" s="626">
        <f ca="1">SUMIF('Loan Plan'!$H$24:$H$209,$A19,'Loan Plan'!$K$24:$K$209)</f>
        <v>0</v>
      </c>
      <c r="N19" s="624">
        <f ca="1">SUMIF('Loan Plan'!$H$24:$H$209,$A19,'Loan Plan'!$J$24:$J$209)</f>
        <v>0</v>
      </c>
      <c r="O19" s="627">
        <f t="shared" ca="1" si="4"/>
        <v>0</v>
      </c>
    </row>
    <row r="20" spans="1:15" ht="16.149999999999999" customHeight="1" x14ac:dyDescent="0.45">
      <c r="A20" s="634">
        <f t="shared" si="5"/>
        <v>16</v>
      </c>
      <c r="B20" s="624" t="str">
        <f t="shared" si="0"/>
        <v>Year 16</v>
      </c>
      <c r="C20" s="624">
        <f ca="1">OFFSET(Rev!$B$78,0,$A20)</f>
        <v>136147.13519541724</v>
      </c>
      <c r="D20" s="624">
        <f ca="1">OFFSET(Rev!$B$79,0,$A20)</f>
        <v>80326.209835092188</v>
      </c>
      <c r="E20" s="624">
        <f ca="1">OFFSET(Rev!$B$80,0,$A20)</f>
        <v>-46569.759999999995</v>
      </c>
      <c r="F20" s="624">
        <f ca="1">OFFSET(Rev!$B$81,0,$A20)</f>
        <v>23</v>
      </c>
      <c r="G20" s="625">
        <f t="shared" ca="1" si="1"/>
        <v>169926.58503050945</v>
      </c>
      <c r="H20" s="626">
        <f ca="1">-SUMIF('Loan Plan'!$H$24:$H$209,$A20,'Loan Plan'!$D$24:$D$209)</f>
        <v>0</v>
      </c>
      <c r="I20" s="624">
        <f ca="1">SUMIF('Loan Plan'!$H$24:$H$209,$A20,'Loan Plan'!$F$24:$F$209)</f>
        <v>0</v>
      </c>
      <c r="J20" s="627">
        <f t="shared" ca="1" si="2"/>
        <v>0</v>
      </c>
      <c r="K20" s="628">
        <f t="shared" ca="1" si="3"/>
        <v>169926.58503050945</v>
      </c>
      <c r="M20" s="626">
        <f ca="1">SUMIF('Loan Plan'!$H$24:$H$209,$A20,'Loan Plan'!$K$24:$K$209)</f>
        <v>0</v>
      </c>
      <c r="N20" s="624">
        <f ca="1">SUMIF('Loan Plan'!$H$24:$H$209,$A20,'Loan Plan'!$J$24:$J$209)</f>
        <v>0</v>
      </c>
      <c r="O20" s="627">
        <f t="shared" ca="1" si="4"/>
        <v>0</v>
      </c>
    </row>
    <row r="21" spans="1:15" ht="16.149999999999999" customHeight="1" x14ac:dyDescent="0.45">
      <c r="A21" s="634">
        <f t="shared" si="5"/>
        <v>17</v>
      </c>
      <c r="B21" s="624" t="str">
        <f t="shared" si="0"/>
        <v>Year 17</v>
      </c>
      <c r="C21" s="624">
        <f ca="1">OFFSET(Rev!$B$78,0,$A21)</f>
        <v>147863.28832009315</v>
      </c>
      <c r="D21" s="624">
        <f ca="1">OFFSET(Rev!$B$79,0,$A21)</f>
        <v>77326.209835092188</v>
      </c>
      <c r="E21" s="624">
        <f ca="1">OFFSET(Rev!$B$80,0,$A21)</f>
        <v>0</v>
      </c>
      <c r="F21" s="624">
        <f ca="1">OFFSET(Rev!$B$81,0,$A21)</f>
        <v>-762</v>
      </c>
      <c r="G21" s="625">
        <f t="shared" ca="1" si="1"/>
        <v>224427.49815518534</v>
      </c>
      <c r="H21" s="626">
        <f ca="1">-SUMIF('Loan Plan'!$H$24:$H$209,$A21,'Loan Plan'!$D$24:$D$209)</f>
        <v>0</v>
      </c>
      <c r="I21" s="624">
        <f ca="1">SUMIF('Loan Plan'!$H$24:$H$209,$A21,'Loan Plan'!$F$24:$F$209)</f>
        <v>0</v>
      </c>
      <c r="J21" s="627">
        <f t="shared" ca="1" si="2"/>
        <v>0</v>
      </c>
      <c r="K21" s="628">
        <f t="shared" ca="1" si="3"/>
        <v>224427.49815518534</v>
      </c>
      <c r="M21" s="626">
        <f ca="1">SUMIF('Loan Plan'!$H$24:$H$209,$A21,'Loan Plan'!$K$24:$K$209)</f>
        <v>0</v>
      </c>
      <c r="N21" s="624">
        <f ca="1">SUMIF('Loan Plan'!$H$24:$H$209,$A21,'Loan Plan'!$J$24:$J$209)</f>
        <v>0</v>
      </c>
      <c r="O21" s="627">
        <f t="shared" ca="1" si="4"/>
        <v>0</v>
      </c>
    </row>
    <row r="22" spans="1:15" ht="16.149999999999999" customHeight="1" x14ac:dyDescent="0.45">
      <c r="A22" s="634">
        <f t="shared" si="5"/>
        <v>18</v>
      </c>
      <c r="B22" s="624" t="str">
        <f t="shared" si="0"/>
        <v>Year 18</v>
      </c>
      <c r="C22" s="624">
        <f ca="1">OFFSET(Rev!$B$78,0,$A22)</f>
        <v>213308.04042797739</v>
      </c>
      <c r="D22" s="624">
        <f ca="1">OFFSET(Rev!$B$79,0,$A22)</f>
        <v>11313.951999999999</v>
      </c>
      <c r="E22" s="624">
        <f ca="1">OFFSET(Rev!$B$80,0,$A22)</f>
        <v>0</v>
      </c>
      <c r="F22" s="624">
        <f ca="1">OFFSET(Rev!$B$81,0,$A22)</f>
        <v>23</v>
      </c>
      <c r="G22" s="625">
        <f t="shared" ca="1" si="1"/>
        <v>224644.99242797738</v>
      </c>
      <c r="H22" s="626">
        <f ca="1">-SUMIF('Loan Plan'!$H$24:$H$209,$A22,'Loan Plan'!$D$24:$D$209)</f>
        <v>0</v>
      </c>
      <c r="I22" s="624">
        <f ca="1">SUMIF('Loan Plan'!$H$24:$H$209,$A22,'Loan Plan'!$F$24:$F$209)</f>
        <v>0</v>
      </c>
      <c r="J22" s="627">
        <f t="shared" ca="1" si="2"/>
        <v>0</v>
      </c>
      <c r="K22" s="628">
        <f t="shared" ca="1" si="3"/>
        <v>224644.99242797738</v>
      </c>
      <c r="M22" s="626">
        <f ca="1">SUMIF('Loan Plan'!$H$24:$H$209,$A22,'Loan Plan'!$K$24:$K$209)</f>
        <v>0</v>
      </c>
      <c r="N22" s="624">
        <f ca="1">SUMIF('Loan Plan'!$H$24:$H$209,$A22,'Loan Plan'!$J$24:$J$209)</f>
        <v>0</v>
      </c>
      <c r="O22" s="627">
        <f t="shared" ca="1" si="4"/>
        <v>0</v>
      </c>
    </row>
    <row r="23" spans="1:15" ht="16.149999999999999" customHeight="1" x14ac:dyDescent="0.45">
      <c r="A23" s="634">
        <f t="shared" si="5"/>
        <v>19</v>
      </c>
      <c r="B23" s="624" t="str">
        <f t="shared" si="0"/>
        <v>Year 19</v>
      </c>
      <c r="C23" s="624">
        <f ca="1">OFFSET(Rev!$B$78,0,$A23)</f>
        <v>224591.69927986123</v>
      </c>
      <c r="D23" s="624">
        <f ca="1">OFFSET(Rev!$B$79,0,$A23)</f>
        <v>9313.9519999999993</v>
      </c>
      <c r="E23" s="624">
        <f ca="1">OFFSET(Rev!$B$80,0,$A23)</f>
        <v>0</v>
      </c>
      <c r="F23" s="624">
        <f ca="1">OFFSET(Rev!$B$81,0,$A23)</f>
        <v>-787</v>
      </c>
      <c r="G23" s="625">
        <f t="shared" ca="1" si="1"/>
        <v>233118.65127986122</v>
      </c>
      <c r="H23" s="626">
        <f>-SUMIF('Loan Plan'!$H$24:$H$209,$A23,'Loan Plan'!$D$24:$D$209)</f>
        <v>0</v>
      </c>
      <c r="I23" s="624">
        <f>SUMIF('Loan Plan'!$H$24:$H$209,$A23,'Loan Plan'!$F$24:$F$209)</f>
        <v>0</v>
      </c>
      <c r="J23" s="627">
        <f t="shared" si="2"/>
        <v>0</v>
      </c>
      <c r="K23" s="628">
        <f t="shared" ca="1" si="3"/>
        <v>233118.65127986122</v>
      </c>
      <c r="M23" s="626">
        <f>SUMIF('Loan Plan'!$H$24:$H$209,$A23,'Loan Plan'!$K$24:$K$209)</f>
        <v>0</v>
      </c>
      <c r="N23" s="624">
        <f>SUMIF('Loan Plan'!$H$24:$H$209,$A23,'Loan Plan'!$J$24:$J$209)</f>
        <v>0</v>
      </c>
      <c r="O23" s="627">
        <f t="shared" si="4"/>
        <v>0</v>
      </c>
    </row>
    <row r="24" spans="1:15" ht="16.149999999999999" customHeight="1" x14ac:dyDescent="0.45">
      <c r="A24" s="634">
        <f t="shared" si="5"/>
        <v>20</v>
      </c>
      <c r="B24" s="624" t="str">
        <f t="shared" si="0"/>
        <v>Year 20</v>
      </c>
      <c r="C24" s="624">
        <f ca="1">OFFSET(Rev!$B$78,0,$A24)</f>
        <v>224591.69927986123</v>
      </c>
      <c r="D24" s="624">
        <f ca="1">OFFSET(Rev!$B$79,0,$A24)</f>
        <v>9313.9519999999993</v>
      </c>
      <c r="E24" s="624">
        <f ca="1">OFFSET(Rev!$B$80,0,$A24)</f>
        <v>0</v>
      </c>
      <c r="F24" s="624">
        <f ca="1">OFFSET(Rev!$B$81,0,$A24)</f>
        <v>22987.000000000076</v>
      </c>
      <c r="G24" s="625">
        <f t="shared" ca="1" si="1"/>
        <v>256892.65127986131</v>
      </c>
      <c r="H24" s="626">
        <f>-SUMIF('Loan Plan'!$H$24:$H$209,$A24,'Loan Plan'!$D$24:$D$209)</f>
        <v>0</v>
      </c>
      <c r="I24" s="624">
        <f>SUMIF('Loan Plan'!$H$24:$H$209,$A24,'Loan Plan'!$F$24:$F$209)</f>
        <v>0</v>
      </c>
      <c r="J24" s="627">
        <f t="shared" si="2"/>
        <v>0</v>
      </c>
      <c r="K24" s="628">
        <f t="shared" ca="1" si="3"/>
        <v>256892.65127986131</v>
      </c>
      <c r="M24" s="626">
        <f>SUMIF('Loan Plan'!$H$24:$H$209,$A24,'Loan Plan'!$K$24:$K$209)</f>
        <v>0</v>
      </c>
      <c r="N24" s="624">
        <f>SUMIF('Loan Plan'!$H$24:$H$209,$A24,'Loan Plan'!$J$24:$J$209)</f>
        <v>0</v>
      </c>
      <c r="O24" s="627">
        <f t="shared" si="4"/>
        <v>0</v>
      </c>
    </row>
    <row r="25" spans="1:15" ht="16.149999999999999" customHeight="1" x14ac:dyDescent="0.45">
      <c r="A25" s="634">
        <f t="shared" si="5"/>
        <v>21</v>
      </c>
      <c r="B25" s="624" t="str">
        <f t="shared" si="0"/>
        <v>Year 21</v>
      </c>
      <c r="C25" s="624">
        <f ca="1">OFFSET(Rev!$B$78,0,$A25)</f>
        <v>0</v>
      </c>
      <c r="D25" s="624">
        <f ca="1">OFFSET(Rev!$B$79,0,$A25)</f>
        <v>0</v>
      </c>
      <c r="E25" s="624">
        <f ca="1">OFFSET(Rev!$B$80,0,$A25)</f>
        <v>0</v>
      </c>
      <c r="F25" s="624">
        <f ca="1">OFFSET(Rev!$B$81,0,$A25)</f>
        <v>0</v>
      </c>
      <c r="G25" s="625">
        <f t="shared" ca="1" si="1"/>
        <v>0</v>
      </c>
      <c r="H25" s="626">
        <f>-SUMIF('Loan Plan'!$H$24:$H$209,$A25,'Loan Plan'!$D$24:$D$209)</f>
        <v>0</v>
      </c>
      <c r="I25" s="624">
        <f>SUMIF('Loan Plan'!$H$24:$H$209,$A25,'Loan Plan'!$F$24:$F$209)</f>
        <v>0</v>
      </c>
      <c r="J25" s="627">
        <f t="shared" si="2"/>
        <v>0</v>
      </c>
      <c r="K25" s="628">
        <f t="shared" ca="1" si="3"/>
        <v>0</v>
      </c>
      <c r="M25" s="626">
        <f>SUMIF('Loan Plan'!$H$24:$H$209,$A25,'Loan Plan'!$K$24:$K$209)</f>
        <v>0</v>
      </c>
      <c r="N25" s="624">
        <f>SUMIF('Loan Plan'!$H$24:$H$209,$A25,'Loan Plan'!$J$24:$J$209)</f>
        <v>0</v>
      </c>
      <c r="O25" s="627">
        <f t="shared" si="4"/>
        <v>0</v>
      </c>
    </row>
    <row r="26" spans="1:15" ht="16.149999999999999" customHeight="1" x14ac:dyDescent="0.45">
      <c r="A26" s="634">
        <f t="shared" si="5"/>
        <v>22</v>
      </c>
      <c r="B26" s="624" t="str">
        <f t="shared" si="0"/>
        <v>Year 22</v>
      </c>
      <c r="C26" s="624">
        <f ca="1">OFFSET(Rev!$B$78,0,$A26)</f>
        <v>0</v>
      </c>
      <c r="D26" s="624">
        <f ca="1">OFFSET(Rev!$B$79,0,$A26)</f>
        <v>0</v>
      </c>
      <c r="E26" s="624">
        <f ca="1">OFFSET(Rev!$B$80,0,$A26)</f>
        <v>0</v>
      </c>
      <c r="F26" s="624">
        <f ca="1">OFFSET(Rev!$B$81,0,$A26)</f>
        <v>0</v>
      </c>
      <c r="G26" s="625">
        <f t="shared" ca="1" si="1"/>
        <v>0</v>
      </c>
      <c r="H26" s="626">
        <f>-SUMIF('Loan Plan'!$H$24:$H$209,$A26,'Loan Plan'!$D$24:$D$209)</f>
        <v>0</v>
      </c>
      <c r="I26" s="624">
        <f>SUMIF('Loan Plan'!$H$24:$H$209,$A26,'Loan Plan'!$F$24:$F$209)</f>
        <v>0</v>
      </c>
      <c r="J26" s="627">
        <f t="shared" si="2"/>
        <v>0</v>
      </c>
      <c r="K26" s="628">
        <f t="shared" ca="1" si="3"/>
        <v>0</v>
      </c>
      <c r="M26" s="626">
        <f>SUMIF('Loan Plan'!$H$24:$H$209,$A26,'Loan Plan'!$K$24:$K$209)</f>
        <v>0</v>
      </c>
      <c r="N26" s="624">
        <f>SUMIF('Loan Plan'!$H$24:$H$209,$A26,'Loan Plan'!$J$24:$J$209)</f>
        <v>0</v>
      </c>
      <c r="O26" s="627">
        <f t="shared" si="4"/>
        <v>0</v>
      </c>
    </row>
    <row r="27" spans="1:15" ht="16.149999999999999" customHeight="1" x14ac:dyDescent="0.45">
      <c r="A27" s="634">
        <f t="shared" si="5"/>
        <v>23</v>
      </c>
      <c r="B27" s="624" t="str">
        <f t="shared" si="0"/>
        <v>Year 23</v>
      </c>
      <c r="C27" s="624">
        <f ca="1">OFFSET(Rev!$B$78,0,$A27)</f>
        <v>0</v>
      </c>
      <c r="D27" s="624">
        <f ca="1">OFFSET(Rev!$B$79,0,$A27)</f>
        <v>0</v>
      </c>
      <c r="E27" s="624">
        <f ca="1">OFFSET(Rev!$B$80,0,$A27)</f>
        <v>0</v>
      </c>
      <c r="F27" s="624">
        <f ca="1">OFFSET(Rev!$B$81,0,$A27)</f>
        <v>0</v>
      </c>
      <c r="G27" s="625">
        <f t="shared" ca="1" si="1"/>
        <v>0</v>
      </c>
      <c r="H27" s="626">
        <f>-SUMIF('Loan Plan'!$H$24:$H$209,$A27,'Loan Plan'!$D$24:$D$209)</f>
        <v>0</v>
      </c>
      <c r="I27" s="624">
        <f>SUMIF('Loan Plan'!$H$24:$H$209,$A27,'Loan Plan'!$F$24:$F$209)</f>
        <v>0</v>
      </c>
      <c r="J27" s="627">
        <f t="shared" si="2"/>
        <v>0</v>
      </c>
      <c r="K27" s="628">
        <f t="shared" ca="1" si="3"/>
        <v>0</v>
      </c>
      <c r="M27" s="626">
        <f>SUMIF('Loan Plan'!$H$24:$H$209,$A27,'Loan Plan'!$K$24:$K$209)</f>
        <v>0</v>
      </c>
      <c r="N27" s="624">
        <f>SUMIF('Loan Plan'!$H$24:$H$209,$A27,'Loan Plan'!$J$24:$J$209)</f>
        <v>0</v>
      </c>
      <c r="O27" s="627">
        <f t="shared" si="4"/>
        <v>0</v>
      </c>
    </row>
    <row r="28" spans="1:15" ht="16.149999999999999" customHeight="1" x14ac:dyDescent="0.45">
      <c r="A28" s="634">
        <f t="shared" si="5"/>
        <v>24</v>
      </c>
      <c r="B28" s="624" t="str">
        <f t="shared" si="0"/>
        <v>Year 24</v>
      </c>
      <c r="C28" s="624">
        <f ca="1">OFFSET(Rev!$B$78,0,$A28)</f>
        <v>0</v>
      </c>
      <c r="D28" s="624">
        <f ca="1">OFFSET(Rev!$B$79,0,$A28)</f>
        <v>0</v>
      </c>
      <c r="E28" s="624">
        <f ca="1">OFFSET(Rev!$B$80,0,$A28)</f>
        <v>0</v>
      </c>
      <c r="F28" s="624">
        <f ca="1">OFFSET(Rev!$B$81,0,$A28)</f>
        <v>0</v>
      </c>
      <c r="G28" s="625">
        <f t="shared" ca="1" si="1"/>
        <v>0</v>
      </c>
      <c r="H28" s="626">
        <f>-SUMIF('Loan Plan'!$H$24:$H$209,$A28,'Loan Plan'!$D$24:$D$209)</f>
        <v>0</v>
      </c>
      <c r="I28" s="624">
        <f>SUMIF('Loan Plan'!$H$24:$H$209,$A28,'Loan Plan'!$F$24:$F$209)</f>
        <v>0</v>
      </c>
      <c r="J28" s="627">
        <f t="shared" si="2"/>
        <v>0</v>
      </c>
      <c r="K28" s="628">
        <f t="shared" ca="1" si="3"/>
        <v>0</v>
      </c>
      <c r="M28" s="626">
        <f>SUMIF('Loan Plan'!$H$24:$H$209,$A28,'Loan Plan'!$K$24:$K$209)</f>
        <v>0</v>
      </c>
      <c r="N28" s="624">
        <f>SUMIF('Loan Plan'!$H$24:$H$209,$A28,'Loan Plan'!$J$24:$J$209)</f>
        <v>0</v>
      </c>
      <c r="O28" s="627">
        <f t="shared" si="4"/>
        <v>0</v>
      </c>
    </row>
    <row r="29" spans="1:15" ht="16.149999999999999" customHeight="1" thickBot="1" x14ac:dyDescent="0.5">
      <c r="A29" s="634">
        <f t="shared" si="5"/>
        <v>25</v>
      </c>
      <c r="B29" s="629" t="str">
        <f t="shared" si="0"/>
        <v>Year 25</v>
      </c>
      <c r="C29" s="629">
        <f ca="1">OFFSET(Rev!$B$78,0,$A29)</f>
        <v>0</v>
      </c>
      <c r="D29" s="629">
        <f ca="1">OFFSET(Rev!$B$79,0,$A29)</f>
        <v>0</v>
      </c>
      <c r="E29" s="629">
        <f ca="1">OFFSET(Rev!$B$80,0,$A29)</f>
        <v>0</v>
      </c>
      <c r="F29" s="629">
        <f ca="1">OFFSET(Rev!$B$81,0,$A29)</f>
        <v>0</v>
      </c>
      <c r="G29" s="630">
        <f t="shared" ca="1" si="1"/>
        <v>0</v>
      </c>
      <c r="H29" s="631">
        <f>-SUMIF('Loan Plan'!$H$24:$H$209,$A29,'Loan Plan'!$D$24:$D$209)</f>
        <v>0</v>
      </c>
      <c r="I29" s="629">
        <f>SUMIF('Loan Plan'!$H$24:$H$209,$A29,'Loan Plan'!$F$24:$F$209)</f>
        <v>0</v>
      </c>
      <c r="J29" s="632">
        <f t="shared" si="2"/>
        <v>0</v>
      </c>
      <c r="K29" s="633">
        <f t="shared" ca="1" si="3"/>
        <v>0</v>
      </c>
      <c r="M29" s="631">
        <f>SUMIF('Loan Plan'!$H$24:$H$209,$A29,'Loan Plan'!$K$24:$K$209)</f>
        <v>0</v>
      </c>
      <c r="N29" s="629">
        <f>SUMIF('Loan Plan'!$H$24:$H$209,$A29,'Loan Plan'!$J$24:$J$209)</f>
        <v>0</v>
      </c>
      <c r="O29" s="632">
        <f t="shared" si="4"/>
        <v>0</v>
      </c>
    </row>
  </sheetData>
  <mergeCells count="2">
    <mergeCell ref="H3:J3"/>
    <mergeCell ref="M3:O3"/>
  </mergeCells>
  <printOptions horizontalCentered="1"/>
  <pageMargins left="0.2" right="0.2" top="0.25" bottom="0.25" header="0.3" footer="0.3"/>
  <pageSetup paperSize="9" scale="9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0"/>
  <sheetViews>
    <sheetView zoomScaleNormal="100" workbookViewId="0">
      <selection activeCell="G17" sqref="G17"/>
    </sheetView>
  </sheetViews>
  <sheetFormatPr defaultColWidth="8.86328125" defaultRowHeight="13.9" x14ac:dyDescent="0.45"/>
  <cols>
    <col min="1" max="2" width="8.73046875" style="503" customWidth="1"/>
    <col min="3" max="6" width="12.73046875" style="503" customWidth="1"/>
    <col min="7" max="7" width="6.73046875" style="503" customWidth="1"/>
    <col min="8" max="8" width="3.73046875" style="503" customWidth="1"/>
    <col min="9" max="14" width="10.73046875" style="503" customWidth="1"/>
    <col min="15" max="15" width="8.86328125" style="503"/>
    <col min="16" max="17" width="10.73046875" style="503" customWidth="1"/>
    <col min="18" max="16384" width="8.86328125" style="503"/>
  </cols>
  <sheetData>
    <row r="1" spans="1:8" ht="16.149999999999999" customHeight="1" x14ac:dyDescent="0.45">
      <c r="A1" s="806"/>
      <c r="B1" s="806"/>
      <c r="C1" s="806"/>
      <c r="D1" s="806"/>
      <c r="E1" s="806"/>
      <c r="F1" s="806"/>
      <c r="G1" s="806"/>
    </row>
    <row r="2" spans="1:8" ht="19.899999999999999" customHeight="1" x14ac:dyDescent="0.35">
      <c r="A2" s="910" t="s">
        <v>673</v>
      </c>
      <c r="B2" s="910"/>
      <c r="C2" s="910"/>
      <c r="D2" s="809">
        <f>CST_LTD_INTEREST</f>
        <v>6.5000000000000002E-2</v>
      </c>
      <c r="E2" s="807"/>
      <c r="F2" s="807"/>
      <c r="G2" s="807"/>
      <c r="H2" s="808"/>
    </row>
    <row r="3" spans="1:8" ht="19.899999999999999" customHeight="1" x14ac:dyDescent="0.35">
      <c r="A3" s="818" t="s">
        <v>672</v>
      </c>
      <c r="B3" s="818"/>
      <c r="C3" s="818"/>
      <c r="D3" s="810">
        <f>CST_INTEREST_STD</f>
        <v>6.5000000000000002E-2</v>
      </c>
      <c r="E3" s="807"/>
      <c r="F3" s="807"/>
      <c r="G3" s="807"/>
      <c r="H3" s="808"/>
    </row>
    <row r="4" spans="1:8" ht="19.899999999999999" customHeight="1" x14ac:dyDescent="0.35">
      <c r="A4" s="911" t="s">
        <v>671</v>
      </c>
      <c r="B4" s="911"/>
      <c r="C4" s="911"/>
      <c r="D4" s="811">
        <f>CST_LTD_PERIODS</f>
        <v>120</v>
      </c>
      <c r="E4" s="807"/>
      <c r="F4" s="807"/>
      <c r="G4" s="807"/>
      <c r="H4" s="808"/>
    </row>
    <row r="5" spans="1:8" ht="18" customHeight="1" x14ac:dyDescent="0.45">
      <c r="A5" s="819"/>
      <c r="B5" s="819"/>
      <c r="C5" s="819"/>
      <c r="D5" s="807"/>
      <c r="E5" s="807"/>
      <c r="F5" s="807"/>
      <c r="G5" s="807"/>
      <c r="H5" s="808"/>
    </row>
    <row r="6" spans="1:8" ht="18" customHeight="1" thickBot="1" x14ac:dyDescent="0.5">
      <c r="A6" s="819"/>
      <c r="B6" s="819"/>
      <c r="C6" s="819"/>
      <c r="D6" s="908" t="s">
        <v>166</v>
      </c>
      <c r="E6" s="909"/>
      <c r="F6" s="820"/>
      <c r="G6" s="807"/>
      <c r="H6" s="808"/>
    </row>
    <row r="7" spans="1:8" ht="18" customHeight="1" thickTop="1" thickBot="1" x14ac:dyDescent="0.45">
      <c r="A7" s="821" t="s">
        <v>367</v>
      </c>
      <c r="B7" s="821"/>
      <c r="C7" s="822"/>
      <c r="D7" s="823">
        <v>1</v>
      </c>
      <c r="E7" s="823">
        <v>2</v>
      </c>
      <c r="F7" s="823" t="s">
        <v>245</v>
      </c>
      <c r="G7" s="807"/>
      <c r="H7" s="808"/>
    </row>
    <row r="8" spans="1:8" ht="18" customHeight="1" thickTop="1" x14ac:dyDescent="0.4">
      <c r="A8" s="910" t="s">
        <v>670</v>
      </c>
      <c r="B8" s="910"/>
      <c r="C8" s="910"/>
      <c r="D8" s="812">
        <f>SUMIF(Capex_Funding!$A$8:$A$307,D$7,Capex_Funding!$H$8:$H$307)</f>
        <v>452038.48685987509</v>
      </c>
      <c r="E8" s="812">
        <f>SUMIF(Capex_Funding!$A$8:$A$307,E$7,Capex_Funding!$H$8:$H$307)</f>
        <v>452038.48685987509</v>
      </c>
      <c r="F8" s="813">
        <f>SUM(D8:E8)</f>
        <v>904076.97371975018</v>
      </c>
      <c r="G8" s="807"/>
      <c r="H8" s="808"/>
    </row>
    <row r="9" spans="1:8" ht="18" customHeight="1" x14ac:dyDescent="0.4">
      <c r="A9" s="911" t="s">
        <v>337</v>
      </c>
      <c r="B9" s="911"/>
      <c r="C9" s="911"/>
      <c r="D9" s="814">
        <f>SUMIF(Capex_Funding!$A$8:$A$307,D$7,Capex_Funding!$J$8:$J$307)</f>
        <v>2000</v>
      </c>
      <c r="E9" s="814">
        <f>SUMIF(Capex_Funding!$A$8:$A$307,E$7,Capex_Funding!$J$8:$J$307)</f>
        <v>0</v>
      </c>
      <c r="F9" s="815">
        <f>SUM(D9:E9)</f>
        <v>2000</v>
      </c>
      <c r="G9" s="807"/>
      <c r="H9" s="808"/>
    </row>
    <row r="10" spans="1:8" ht="18" customHeight="1" x14ac:dyDescent="0.4">
      <c r="A10" s="911" t="s">
        <v>618</v>
      </c>
      <c r="B10" s="911"/>
      <c r="C10" s="911"/>
      <c r="D10" s="814">
        <f>SUMIF(Capex_Funding!$A$8:$A$307,D$7,Capex_Funding!$L$8:$L$307)</f>
        <v>6131.7143933996877</v>
      </c>
      <c r="E10" s="814">
        <f>SUMIF(Capex_Funding!$A$8:$A$307,E$7,Capex_Funding!$L$8:$L$307)</f>
        <v>6406.5903933996879</v>
      </c>
      <c r="F10" s="815">
        <f>SUM(D10:E10)</f>
        <v>12538.304786799376</v>
      </c>
      <c r="G10" s="807"/>
      <c r="H10" s="808"/>
    </row>
    <row r="11" spans="1:8" ht="18" customHeight="1" x14ac:dyDescent="0.4">
      <c r="A11" s="912" t="s">
        <v>245</v>
      </c>
      <c r="B11" s="912"/>
      <c r="C11" s="912"/>
      <c r="D11" s="763">
        <f>SUM(D8:D10)</f>
        <v>460170.2012532748</v>
      </c>
      <c r="E11" s="763">
        <f>SUM(E8:E10)</f>
        <v>458445.07725327479</v>
      </c>
      <c r="F11" s="763">
        <f>SUM(F8:F10)</f>
        <v>918615.27850654954</v>
      </c>
      <c r="G11" s="807"/>
      <c r="H11" s="808"/>
    </row>
    <row r="12" spans="1:8" ht="18" customHeight="1" x14ac:dyDescent="0.45">
      <c r="A12" s="819"/>
      <c r="B12" s="819"/>
      <c r="C12" s="819"/>
      <c r="D12" s="807"/>
      <c r="E12" s="807"/>
      <c r="F12" s="807"/>
      <c r="G12" s="807"/>
      <c r="H12" s="808"/>
    </row>
    <row r="13" spans="1:8" ht="18" customHeight="1" x14ac:dyDescent="0.4">
      <c r="A13" s="910" t="s">
        <v>668</v>
      </c>
      <c r="B13" s="910"/>
      <c r="C13" s="910"/>
      <c r="D13" s="812">
        <f>SUMIF(Capex_Funding!$A$8:$A$307,D$7,Capex_Funding!$P$8:$P$307)</f>
        <v>368136.16100261977</v>
      </c>
      <c r="E13" s="812">
        <f>SUMIF(Capex_Funding!$A$8:$A$307,E$7,Capex_Funding!$P$8:$P$307)</f>
        <v>366756.06180261978</v>
      </c>
      <c r="F13" s="813">
        <f>SUM(D13:E13)</f>
        <v>734892.22280523949</v>
      </c>
      <c r="G13" s="816">
        <f>F13/$F$15</f>
        <v>0.8</v>
      </c>
      <c r="H13" s="808"/>
    </row>
    <row r="14" spans="1:8" ht="18" customHeight="1" x14ac:dyDescent="0.4">
      <c r="A14" s="911" t="s">
        <v>669</v>
      </c>
      <c r="B14" s="911"/>
      <c r="C14" s="911"/>
      <c r="D14" s="814">
        <f>SUMIF(Capex_Funding!$A$8:$A$307,D$7,Capex_Funding!$N$8:$N$307)</f>
        <v>92034.040250654914</v>
      </c>
      <c r="E14" s="814">
        <f>SUMIF(Capex_Funding!$A$8:$A$307,E$7,Capex_Funding!$N$8:$N$307)</f>
        <v>91689.015450654944</v>
      </c>
      <c r="F14" s="815">
        <f>SUM(D14:E14)</f>
        <v>183723.05570130987</v>
      </c>
      <c r="G14" s="817">
        <f>F14/$F$15</f>
        <v>0.2</v>
      </c>
      <c r="H14" s="808"/>
    </row>
    <row r="15" spans="1:8" ht="18" customHeight="1" x14ac:dyDescent="0.4">
      <c r="A15" s="912" t="s">
        <v>245</v>
      </c>
      <c r="B15" s="912"/>
      <c r="C15" s="912"/>
      <c r="D15" s="763">
        <f>SUM(D13:D14)</f>
        <v>460170.20125327469</v>
      </c>
      <c r="E15" s="763">
        <f>SUM(E13:E14)</f>
        <v>458445.07725327474</v>
      </c>
      <c r="F15" s="761">
        <f>SUM(F13:F14)</f>
        <v>918615.27850654931</v>
      </c>
      <c r="G15" s="807"/>
      <c r="H15" s="808"/>
    </row>
    <row r="16" spans="1:8" ht="18" customHeight="1" x14ac:dyDescent="0.4">
      <c r="A16" s="911" t="s">
        <v>667</v>
      </c>
      <c r="B16" s="911"/>
      <c r="C16" s="911"/>
      <c r="D16" s="814">
        <f>SUMIF(Capex_Funding!$A$8:$A$307,D$7,Capex_Funding!$Q$8:$Q$307)</f>
        <v>16552.352822447567</v>
      </c>
      <c r="E16" s="814">
        <f>SUMIF(Capex_Funding!$A$8:$A$307,E$7,Capex_Funding!$Q$8:$Q$307)</f>
        <v>42016.236197385813</v>
      </c>
      <c r="F16" s="815">
        <f>SUM(D16:E16)</f>
        <v>58568.58901983338</v>
      </c>
      <c r="G16" s="807"/>
      <c r="H16" s="808"/>
    </row>
    <row r="17" spans="1:12" ht="18" customHeight="1" x14ac:dyDescent="0.4">
      <c r="A17" s="912" t="s">
        <v>245</v>
      </c>
      <c r="B17" s="912"/>
      <c r="C17" s="912"/>
      <c r="D17" s="763">
        <f>SUM(D15:D16)</f>
        <v>476722.55407572223</v>
      </c>
      <c r="E17" s="763">
        <f>SUM(E15:E16)</f>
        <v>500461.31345066056</v>
      </c>
      <c r="F17" s="763">
        <f>SUM(F15:F16)</f>
        <v>977183.86752638267</v>
      </c>
      <c r="G17" s="807"/>
      <c r="H17" s="808"/>
    </row>
    <row r="18" spans="1:12" ht="18" customHeight="1" x14ac:dyDescent="0.45">
      <c r="A18" s="819"/>
      <c r="B18" s="819"/>
      <c r="C18" s="819"/>
      <c r="D18" s="807"/>
      <c r="E18" s="807"/>
      <c r="F18" s="807"/>
      <c r="G18" s="807"/>
      <c r="H18" s="808"/>
    </row>
    <row r="19" spans="1:12" ht="18" customHeight="1" x14ac:dyDescent="0.4">
      <c r="A19" s="910" t="s">
        <v>668</v>
      </c>
      <c r="B19" s="910"/>
      <c r="C19" s="910"/>
      <c r="D19" s="812">
        <f>D13</f>
        <v>368136.16100261977</v>
      </c>
      <c r="E19" s="812">
        <f>E13</f>
        <v>366756.06180261978</v>
      </c>
      <c r="F19" s="813">
        <f>SUM(D19:E19)</f>
        <v>734892.22280523949</v>
      </c>
      <c r="G19" s="807"/>
      <c r="H19" s="808"/>
    </row>
    <row r="20" spans="1:12" ht="18" customHeight="1" x14ac:dyDescent="0.4">
      <c r="A20" s="911" t="s">
        <v>667</v>
      </c>
      <c r="B20" s="911"/>
      <c r="C20" s="911"/>
      <c r="D20" s="814">
        <f>SUMIF(Capex_Funding!$A$8:$A$307,D$7,Capex_Funding!$Q$8:$Q$307)</f>
        <v>16552.352822447567</v>
      </c>
      <c r="E20" s="814">
        <f>SUMIF(Capex_Funding!$A$8:$A$307,E$7,Capex_Funding!$Q$8:$Q$307)</f>
        <v>42016.236197385813</v>
      </c>
      <c r="F20" s="815">
        <f>SUM(D20:E20)</f>
        <v>58568.58901983338</v>
      </c>
      <c r="G20" s="807"/>
      <c r="H20" s="808"/>
    </row>
    <row r="21" spans="1:12" ht="18" customHeight="1" x14ac:dyDescent="0.4">
      <c r="A21" s="912" t="s">
        <v>666</v>
      </c>
      <c r="B21" s="912"/>
      <c r="C21" s="912"/>
      <c r="D21" s="763">
        <f>SUM(D19:D20)</f>
        <v>384688.51382506732</v>
      </c>
      <c r="E21" s="763">
        <f>SUM(E19:E20)</f>
        <v>408772.2980000056</v>
      </c>
      <c r="F21" s="763">
        <f>SUM(F19:F20)</f>
        <v>793460.81182507286</v>
      </c>
      <c r="G21" s="807"/>
      <c r="H21" s="808"/>
    </row>
    <row r="22" spans="1:12" ht="18" customHeight="1" thickBot="1" x14ac:dyDescent="0.5"/>
    <row r="23" spans="1:12" ht="27" x14ac:dyDescent="0.45">
      <c r="A23" s="525" t="s">
        <v>166</v>
      </c>
      <c r="B23" s="524" t="s">
        <v>665</v>
      </c>
      <c r="C23" s="524" t="s">
        <v>664</v>
      </c>
      <c r="D23" s="524" t="s">
        <v>663</v>
      </c>
      <c r="E23" s="524" t="s">
        <v>662</v>
      </c>
      <c r="F23" s="523" t="s">
        <v>251</v>
      </c>
      <c r="I23" s="525" t="s">
        <v>661</v>
      </c>
      <c r="J23" s="524" t="s">
        <v>251</v>
      </c>
      <c r="K23" s="524" t="s">
        <v>636</v>
      </c>
      <c r="L23" s="523" t="s">
        <v>660</v>
      </c>
    </row>
    <row r="24" spans="1:12" ht="16.149999999999999" customHeight="1" x14ac:dyDescent="0.45">
      <c r="A24" s="697">
        <f t="shared" ref="A24:A55" si="0">ROUNDUP(B24/12,0)</f>
        <v>1</v>
      </c>
      <c r="B24" s="623">
        <v>1</v>
      </c>
      <c r="C24" s="698">
        <f>F21</f>
        <v>793460.81182507286</v>
      </c>
      <c r="D24" s="698">
        <f ca="1">IF($A24=0,0,IF(SUMIF(CF!$A$5:$A$29,($A24+2),CF!$G$5:$G$29)/12&gt;C24,-C24,-SUMIF(CF!$A$5:$A$29,($A24+2),CF!$G$5:$G$29)/12))</f>
        <v>-3850.787451777825</v>
      </c>
      <c r="E24" s="698">
        <f t="shared" ref="E24:E55" ca="1" si="1">SUM(C24:D24)</f>
        <v>789610.02437329502</v>
      </c>
      <c r="F24" s="699">
        <f t="shared" ref="F24:F55" si="2">$C24*$D$2/12</f>
        <v>4297.9127307191447</v>
      </c>
      <c r="H24" s="514">
        <v>3</v>
      </c>
      <c r="I24" s="522"/>
      <c r="J24" s="698">
        <f t="shared" ref="J24:J55" si="3">I24*$D$3/12</f>
        <v>0</v>
      </c>
      <c r="K24" s="698">
        <f ca="1">IF(VLOOKUP($H24,CF!$A$4:$K$29,11,FALSE)/12&gt;(I24+J24),-(I24+J24),(-VLOOKUP($H24,CF!$A$4:$K$29,11,FALSE)/12))</f>
        <v>4183.1913545515954</v>
      </c>
      <c r="L24" s="699">
        <f t="shared" ref="L24:L55" ca="1" si="4">SUM(I24:K24)</f>
        <v>4183.1913545515954</v>
      </c>
    </row>
    <row r="25" spans="1:12" ht="16.149999999999999" customHeight="1" x14ac:dyDescent="0.45">
      <c r="A25" s="700">
        <f t="shared" ca="1" si="0"/>
        <v>1</v>
      </c>
      <c r="B25" s="701">
        <f t="shared" ref="B25:B56" ca="1" si="5">IF(OR(ROUND(E24,0)=0,E24&lt;0),0,B24+1)</f>
        <v>2</v>
      </c>
      <c r="C25" s="624">
        <f t="shared" ref="C25:C56" ca="1" si="6">E24</f>
        <v>789610.02437329502</v>
      </c>
      <c r="D25" s="698">
        <f ca="1">IF($A25=0,0,IF(SUMIF(CF!$A$5:$A$29,($A25+2),CF!$G$5:$G$29)/12&gt;C25,-C25,-SUMIF(CF!$A$5:$A$29,($A25+2),CF!$G$5:$G$29)/12))</f>
        <v>-3850.787451777825</v>
      </c>
      <c r="E25" s="698">
        <f t="shared" ca="1" si="1"/>
        <v>785759.23692151718</v>
      </c>
      <c r="F25" s="699">
        <f t="shared" ca="1" si="2"/>
        <v>4277.0542986886812</v>
      </c>
      <c r="H25" s="514">
        <v>3</v>
      </c>
      <c r="I25" s="626">
        <f t="shared" ref="I25:I56" ca="1" si="7">L24</f>
        <v>4183.1913545515954</v>
      </c>
      <c r="J25" s="698">
        <f t="shared" ca="1" si="3"/>
        <v>22.658953170487809</v>
      </c>
      <c r="K25" s="698">
        <f ca="1">IF(VLOOKUP($H25,CF!$A$4:$K$29,11,FALSE)/12&gt;(I25+J25),-(I25+J25),(-VLOOKUP($H25,CF!$A$4:$K$29,11,FALSE)/12))</f>
        <v>4183.1913545515954</v>
      </c>
      <c r="L25" s="699">
        <f t="shared" ca="1" si="4"/>
        <v>8389.0416622736775</v>
      </c>
    </row>
    <row r="26" spans="1:12" ht="16.149999999999999" customHeight="1" x14ac:dyDescent="0.45">
      <c r="A26" s="700">
        <f t="shared" ca="1" si="0"/>
        <v>1</v>
      </c>
      <c r="B26" s="701">
        <f t="shared" ca="1" si="5"/>
        <v>3</v>
      </c>
      <c r="C26" s="624">
        <f t="shared" ca="1" si="6"/>
        <v>785759.23692151718</v>
      </c>
      <c r="D26" s="698">
        <f ca="1">IF($A26=0,0,IF(SUMIF(CF!$A$5:$A$29,($A26+2),CF!$G$5:$G$29)/12&gt;C26,-C26,-SUMIF(CF!$A$5:$A$29,($A26+2),CF!$G$5:$G$29)/12))</f>
        <v>-3850.787451777825</v>
      </c>
      <c r="E26" s="624">
        <f t="shared" ca="1" si="1"/>
        <v>781908.44946973934</v>
      </c>
      <c r="F26" s="702">
        <f t="shared" ca="1" si="2"/>
        <v>4256.1958666582186</v>
      </c>
      <c r="H26" s="514">
        <v>3</v>
      </c>
      <c r="I26" s="626">
        <f t="shared" ca="1" si="7"/>
        <v>8389.0416622736775</v>
      </c>
      <c r="J26" s="698">
        <f t="shared" ca="1" si="3"/>
        <v>45.440642337315751</v>
      </c>
      <c r="K26" s="698">
        <f ca="1">IF(VLOOKUP($H26,CF!$A$4:$K$29,11,FALSE)/12&gt;(I26+J26),-(I26+J26),(-VLOOKUP($H26,CF!$A$4:$K$29,11,FALSE)/12))</f>
        <v>4183.1913545515954</v>
      </c>
      <c r="L26" s="702">
        <f t="shared" ca="1" si="4"/>
        <v>12617.673659162589</v>
      </c>
    </row>
    <row r="27" spans="1:12" ht="16.149999999999999" customHeight="1" x14ac:dyDescent="0.45">
      <c r="A27" s="700">
        <f t="shared" ca="1" si="0"/>
        <v>1</v>
      </c>
      <c r="B27" s="701">
        <f t="shared" ca="1" si="5"/>
        <v>4</v>
      </c>
      <c r="C27" s="624">
        <f t="shared" ca="1" si="6"/>
        <v>781908.44946973934</v>
      </c>
      <c r="D27" s="698">
        <f ca="1">IF($A27=0,0,IF(SUMIF(CF!$A$5:$A$29,($A27+2),CF!$G$5:$G$29)/12&gt;C27,-C27,-SUMIF(CF!$A$5:$A$29,($A27+2),CF!$G$5:$G$29)/12))</f>
        <v>-3850.787451777825</v>
      </c>
      <c r="E27" s="624">
        <f t="shared" ca="1" si="1"/>
        <v>778057.6620179615</v>
      </c>
      <c r="F27" s="702">
        <f t="shared" ca="1" si="2"/>
        <v>4235.3374346277551</v>
      </c>
      <c r="H27" s="514">
        <v>3</v>
      </c>
      <c r="I27" s="626">
        <f t="shared" ca="1" si="7"/>
        <v>12617.673659162589</v>
      </c>
      <c r="J27" s="698">
        <f t="shared" ca="1" si="3"/>
        <v>68.345732320464023</v>
      </c>
      <c r="K27" s="698">
        <f ca="1">IF(VLOOKUP($H27,CF!$A$4:$K$29,11,FALSE)/12&gt;(I27+J27),-(I27+J27),(-VLOOKUP($H27,CF!$A$4:$K$29,11,FALSE)/12))</f>
        <v>4183.1913545515954</v>
      </c>
      <c r="L27" s="702">
        <f t="shared" ca="1" si="4"/>
        <v>16869.210746034649</v>
      </c>
    </row>
    <row r="28" spans="1:12" ht="16.149999999999999" customHeight="1" x14ac:dyDescent="0.45">
      <c r="A28" s="700">
        <f t="shared" ca="1" si="0"/>
        <v>1</v>
      </c>
      <c r="B28" s="701">
        <f t="shared" ca="1" si="5"/>
        <v>5</v>
      </c>
      <c r="C28" s="624">
        <f t="shared" ca="1" si="6"/>
        <v>778057.6620179615</v>
      </c>
      <c r="D28" s="698">
        <f ca="1">IF($A28=0,0,IF(SUMIF(CF!$A$5:$A$29,($A28+2),CF!$G$5:$G$29)/12&gt;C28,-C28,-SUMIF(CF!$A$5:$A$29,($A28+2),CF!$G$5:$G$29)/12))</f>
        <v>-3850.787451777825</v>
      </c>
      <c r="E28" s="624">
        <f t="shared" ca="1" si="1"/>
        <v>774206.87456618366</v>
      </c>
      <c r="F28" s="702">
        <f t="shared" ca="1" si="2"/>
        <v>4214.4790025972916</v>
      </c>
      <c r="H28" s="514">
        <v>3</v>
      </c>
      <c r="I28" s="626">
        <f t="shared" ca="1" si="7"/>
        <v>16869.210746034649</v>
      </c>
      <c r="J28" s="698">
        <f t="shared" ca="1" si="3"/>
        <v>91.374891541021029</v>
      </c>
      <c r="K28" s="698">
        <f ca="1">IF(VLOOKUP($H28,CF!$A$4:$K$29,11,FALSE)/12&gt;(I28+J28),-(I28+J28),(-VLOOKUP($H28,CF!$A$4:$K$29,11,FALSE)/12))</f>
        <v>4183.1913545515954</v>
      </c>
      <c r="L28" s="702">
        <f t="shared" ca="1" si="4"/>
        <v>21143.776992127267</v>
      </c>
    </row>
    <row r="29" spans="1:12" ht="16.149999999999999" customHeight="1" x14ac:dyDescent="0.45">
      <c r="A29" s="700">
        <f t="shared" ca="1" si="0"/>
        <v>1</v>
      </c>
      <c r="B29" s="701">
        <f t="shared" ca="1" si="5"/>
        <v>6</v>
      </c>
      <c r="C29" s="624">
        <f t="shared" ca="1" si="6"/>
        <v>774206.87456618366</v>
      </c>
      <c r="D29" s="698">
        <f ca="1">IF($A29=0,0,IF(SUMIF(CF!$A$5:$A$29,($A29+2),CF!$G$5:$G$29)/12&gt;C29,-C29,-SUMIF(CF!$A$5:$A$29,($A29+2),CF!$G$5:$G$29)/12))</f>
        <v>-3850.787451777825</v>
      </c>
      <c r="E29" s="624">
        <f t="shared" ca="1" si="1"/>
        <v>770356.08711440582</v>
      </c>
      <c r="F29" s="702">
        <f t="shared" ca="1" si="2"/>
        <v>4193.6205705668281</v>
      </c>
      <c r="H29" s="514">
        <v>3</v>
      </c>
      <c r="I29" s="626">
        <f t="shared" ca="1" si="7"/>
        <v>21143.776992127267</v>
      </c>
      <c r="J29" s="698">
        <f t="shared" ca="1" si="3"/>
        <v>114.52879204068937</v>
      </c>
      <c r="K29" s="698">
        <f ca="1">IF(VLOOKUP($H29,CF!$A$4:$K$29,11,FALSE)/12&gt;(I29+J29),-(I29+J29),(-VLOOKUP($H29,CF!$A$4:$K$29,11,FALSE)/12))</f>
        <v>4183.1913545515954</v>
      </c>
      <c r="L29" s="702">
        <f t="shared" ca="1" si="4"/>
        <v>25441.497138719551</v>
      </c>
    </row>
    <row r="30" spans="1:12" ht="16.149999999999999" customHeight="1" x14ac:dyDescent="0.45">
      <c r="A30" s="700">
        <f t="shared" ca="1" si="0"/>
        <v>1</v>
      </c>
      <c r="B30" s="701">
        <f t="shared" ca="1" si="5"/>
        <v>7</v>
      </c>
      <c r="C30" s="624">
        <f t="shared" ca="1" si="6"/>
        <v>770356.08711440582</v>
      </c>
      <c r="D30" s="698">
        <f ca="1">IF($A30=0,0,IF(SUMIF(CF!$A$5:$A$29,($A30+2),CF!$G$5:$G$29)/12&gt;C30,-C30,-SUMIF(CF!$A$5:$A$29,($A30+2),CF!$G$5:$G$29)/12))</f>
        <v>-3850.787451777825</v>
      </c>
      <c r="E30" s="624">
        <f t="shared" ca="1" si="1"/>
        <v>766505.29966262798</v>
      </c>
      <c r="F30" s="702">
        <f t="shared" ca="1" si="2"/>
        <v>4172.7621385363645</v>
      </c>
      <c r="H30" s="514">
        <v>3</v>
      </c>
      <c r="I30" s="626">
        <f t="shared" ca="1" si="7"/>
        <v>25441.497138719551</v>
      </c>
      <c r="J30" s="698">
        <f t="shared" ca="1" si="3"/>
        <v>137.80810950139758</v>
      </c>
      <c r="K30" s="698">
        <f ca="1">IF(VLOOKUP($H30,CF!$A$4:$K$29,11,FALSE)/12&gt;(I30+J30),-(I30+J30),(-VLOOKUP($H30,CF!$A$4:$K$29,11,FALSE)/12))</f>
        <v>4183.1913545515954</v>
      </c>
      <c r="L30" s="702">
        <f t="shared" ca="1" si="4"/>
        <v>29762.496602772546</v>
      </c>
    </row>
    <row r="31" spans="1:12" ht="16.149999999999999" customHeight="1" x14ac:dyDescent="0.45">
      <c r="A31" s="700">
        <f t="shared" ca="1" si="0"/>
        <v>1</v>
      </c>
      <c r="B31" s="701">
        <f t="shared" ca="1" si="5"/>
        <v>8</v>
      </c>
      <c r="C31" s="624">
        <f t="shared" ca="1" si="6"/>
        <v>766505.29966262798</v>
      </c>
      <c r="D31" s="698">
        <f ca="1">IF($A31=0,0,IF(SUMIF(CF!$A$5:$A$29,($A31+2),CF!$G$5:$G$29)/12&gt;C31,-C31,-SUMIF(CF!$A$5:$A$29,($A31+2),CF!$G$5:$G$29)/12))</f>
        <v>-3850.787451777825</v>
      </c>
      <c r="E31" s="624">
        <f t="shared" ca="1" si="1"/>
        <v>762654.51221085014</v>
      </c>
      <c r="F31" s="702">
        <f t="shared" ca="1" si="2"/>
        <v>4151.9037065059019</v>
      </c>
      <c r="H31" s="514">
        <v>3</v>
      </c>
      <c r="I31" s="626">
        <f t="shared" ca="1" si="7"/>
        <v>29762.496602772546</v>
      </c>
      <c r="J31" s="698">
        <f t="shared" ca="1" si="3"/>
        <v>161.21352326501795</v>
      </c>
      <c r="K31" s="698">
        <f ca="1">IF(VLOOKUP($H31,CF!$A$4:$K$29,11,FALSE)/12&gt;(I31+J31),-(I31+J31),(-VLOOKUP($H31,CF!$A$4:$K$29,11,FALSE)/12))</f>
        <v>4183.1913545515954</v>
      </c>
      <c r="L31" s="702">
        <f t="shared" ca="1" si="4"/>
        <v>34106.901480589157</v>
      </c>
    </row>
    <row r="32" spans="1:12" ht="16.149999999999999" customHeight="1" x14ac:dyDescent="0.45">
      <c r="A32" s="700">
        <f t="shared" ca="1" si="0"/>
        <v>1</v>
      </c>
      <c r="B32" s="701">
        <f t="shared" ca="1" si="5"/>
        <v>9</v>
      </c>
      <c r="C32" s="624">
        <f t="shared" ca="1" si="6"/>
        <v>762654.51221085014</v>
      </c>
      <c r="D32" s="698">
        <f ca="1">IF($A32=0,0,IF(SUMIF(CF!$A$5:$A$29,($A32+2),CF!$G$5:$G$29)/12&gt;C32,-C32,-SUMIF(CF!$A$5:$A$29,($A32+2),CF!$G$5:$G$29)/12))</f>
        <v>-3850.787451777825</v>
      </c>
      <c r="E32" s="624">
        <f t="shared" ca="1" si="1"/>
        <v>758803.7247590723</v>
      </c>
      <c r="F32" s="702">
        <f t="shared" ca="1" si="2"/>
        <v>4131.0452744754384</v>
      </c>
      <c r="H32" s="514">
        <v>3</v>
      </c>
      <c r="I32" s="626">
        <f t="shared" ca="1" si="7"/>
        <v>34106.901480589157</v>
      </c>
      <c r="J32" s="698">
        <f t="shared" ca="1" si="3"/>
        <v>184.74571635319126</v>
      </c>
      <c r="K32" s="698">
        <f ca="1">IF(VLOOKUP($H32,CF!$A$4:$K$29,11,FALSE)/12&gt;(I32+J32),-(I32+J32),(-VLOOKUP($H32,CF!$A$4:$K$29,11,FALSE)/12))</f>
        <v>4183.1913545515954</v>
      </c>
      <c r="L32" s="702">
        <f t="shared" ca="1" si="4"/>
        <v>38474.838551493944</v>
      </c>
    </row>
    <row r="33" spans="1:12" ht="16.149999999999999" customHeight="1" x14ac:dyDescent="0.45">
      <c r="A33" s="700">
        <f t="shared" ca="1" si="0"/>
        <v>1</v>
      </c>
      <c r="B33" s="701">
        <f t="shared" ca="1" si="5"/>
        <v>10</v>
      </c>
      <c r="C33" s="624">
        <f t="shared" ca="1" si="6"/>
        <v>758803.7247590723</v>
      </c>
      <c r="D33" s="698">
        <f ca="1">IF($A33=0,0,IF(SUMIF(CF!$A$5:$A$29,($A33+2),CF!$G$5:$G$29)/12&gt;C33,-C33,-SUMIF(CF!$A$5:$A$29,($A33+2),CF!$G$5:$G$29)/12))</f>
        <v>-3850.787451777825</v>
      </c>
      <c r="E33" s="624">
        <f t="shared" ca="1" si="1"/>
        <v>754952.93730729446</v>
      </c>
      <c r="F33" s="702">
        <f t="shared" ca="1" si="2"/>
        <v>4110.1868424449749</v>
      </c>
      <c r="H33" s="514">
        <v>3</v>
      </c>
      <c r="I33" s="626">
        <f t="shared" ca="1" si="7"/>
        <v>38474.838551493944</v>
      </c>
      <c r="J33" s="698">
        <f t="shared" ca="1" si="3"/>
        <v>208.40537548725888</v>
      </c>
      <c r="K33" s="698">
        <f ca="1">IF(VLOOKUP($H33,CF!$A$4:$K$29,11,FALSE)/12&gt;(I33+J33),-(I33+J33),(-VLOOKUP($H33,CF!$A$4:$K$29,11,FALSE)/12))</f>
        <v>4183.1913545515954</v>
      </c>
      <c r="L33" s="702">
        <f t="shared" ca="1" si="4"/>
        <v>42866.435281532795</v>
      </c>
    </row>
    <row r="34" spans="1:12" ht="16.149999999999999" customHeight="1" x14ac:dyDescent="0.45">
      <c r="A34" s="700">
        <f t="shared" ca="1" si="0"/>
        <v>1</v>
      </c>
      <c r="B34" s="701">
        <f t="shared" ca="1" si="5"/>
        <v>11</v>
      </c>
      <c r="C34" s="624">
        <f t="shared" ca="1" si="6"/>
        <v>754952.93730729446</v>
      </c>
      <c r="D34" s="698">
        <f ca="1">IF($A34=0,0,IF(SUMIF(CF!$A$5:$A$29,($A34+2),CF!$G$5:$G$29)/12&gt;C34,-C34,-SUMIF(CF!$A$5:$A$29,($A34+2),CF!$G$5:$G$29)/12))</f>
        <v>-3850.787451777825</v>
      </c>
      <c r="E34" s="624">
        <f t="shared" ca="1" si="1"/>
        <v>751102.14985551662</v>
      </c>
      <c r="F34" s="702">
        <f t="shared" ca="1" si="2"/>
        <v>4089.3284104145118</v>
      </c>
      <c r="H34" s="514">
        <v>3</v>
      </c>
      <c r="I34" s="626">
        <f t="shared" ca="1" si="7"/>
        <v>42866.435281532795</v>
      </c>
      <c r="J34" s="698">
        <f t="shared" ca="1" si="3"/>
        <v>232.19319110830267</v>
      </c>
      <c r="K34" s="698">
        <f ca="1">IF(VLOOKUP($H34,CF!$A$4:$K$29,11,FALSE)/12&gt;(I34+J34),-(I34+J34),(-VLOOKUP($H34,CF!$A$4:$K$29,11,FALSE)/12))</f>
        <v>4183.1913545515954</v>
      </c>
      <c r="L34" s="702">
        <f t="shared" ca="1" si="4"/>
        <v>47281.819827192689</v>
      </c>
    </row>
    <row r="35" spans="1:12" ht="16.149999999999999" customHeight="1" x14ac:dyDescent="0.45">
      <c r="A35" s="700">
        <f t="shared" ca="1" si="0"/>
        <v>1</v>
      </c>
      <c r="B35" s="701">
        <f t="shared" ca="1" si="5"/>
        <v>12</v>
      </c>
      <c r="C35" s="624">
        <f t="shared" ca="1" si="6"/>
        <v>751102.14985551662</v>
      </c>
      <c r="D35" s="698">
        <f ca="1">IF($A35=0,0,IF(SUMIF(CF!$A$5:$A$29,($A35+2),CF!$G$5:$G$29)/12&gt;C35,-C35,-SUMIF(CF!$A$5:$A$29,($A35+2),CF!$G$5:$G$29)/12))</f>
        <v>-3850.787451777825</v>
      </c>
      <c r="E35" s="624">
        <f t="shared" ca="1" si="1"/>
        <v>747251.36240373878</v>
      </c>
      <c r="F35" s="702">
        <f t="shared" ca="1" si="2"/>
        <v>4068.4699783840483</v>
      </c>
      <c r="H35" s="514">
        <v>3</v>
      </c>
      <c r="I35" s="626">
        <f t="shared" ca="1" si="7"/>
        <v>47281.819827192689</v>
      </c>
      <c r="J35" s="698">
        <f t="shared" ca="1" si="3"/>
        <v>256.10985739729375</v>
      </c>
      <c r="K35" s="698">
        <f ca="1">IF(VLOOKUP($H35,CF!$A$4:$K$29,11,FALSE)/12&gt;(I35+J35),-(I35+J35),(-VLOOKUP($H35,CF!$A$4:$K$29,11,FALSE)/12))</f>
        <v>4183.1913545515954</v>
      </c>
      <c r="L35" s="702">
        <f t="shared" ca="1" si="4"/>
        <v>51721.121039141573</v>
      </c>
    </row>
    <row r="36" spans="1:12" ht="16.149999999999999" customHeight="1" x14ac:dyDescent="0.45">
      <c r="A36" s="700">
        <f t="shared" ca="1" si="0"/>
        <v>2</v>
      </c>
      <c r="B36" s="701">
        <f t="shared" ca="1" si="5"/>
        <v>13</v>
      </c>
      <c r="C36" s="624">
        <f t="shared" ca="1" si="6"/>
        <v>747251.36240373878</v>
      </c>
      <c r="D36" s="698">
        <f ca="1">IF($A36=0,0,IF(SUMIF(CF!$A$5:$A$29,($A36+2),CF!$G$5:$G$29)/12&gt;C36,-C36,-SUMIF(CF!$A$5:$A$29,($A36+2),CF!$G$5:$G$29)/12))</f>
        <v>-7580.6877074185422</v>
      </c>
      <c r="E36" s="624">
        <f t="shared" ca="1" si="1"/>
        <v>739670.6746963202</v>
      </c>
      <c r="F36" s="702">
        <f t="shared" ca="1" si="2"/>
        <v>4047.6115463535848</v>
      </c>
      <c r="H36" s="514">
        <f>H24+1</f>
        <v>4</v>
      </c>
      <c r="I36" s="626">
        <f t="shared" ca="1" si="7"/>
        <v>51721.121039141573</v>
      </c>
      <c r="J36" s="698">
        <f t="shared" ca="1" si="3"/>
        <v>280.15607229535021</v>
      </c>
      <c r="K36" s="698">
        <f ca="1">IF(VLOOKUP($H36,CF!$A$4:$K$29,11,FALSE)/12&gt;(I36+J36),-(I36+J36),(-VLOOKUP($H36,CF!$A$4:$K$29,11,FALSE)/12))</f>
        <v>3821.7702250700727</v>
      </c>
      <c r="L36" s="702">
        <f t="shared" ca="1" si="4"/>
        <v>55823.047336506999</v>
      </c>
    </row>
    <row r="37" spans="1:12" ht="16.149999999999999" customHeight="1" x14ac:dyDescent="0.45">
      <c r="A37" s="700">
        <f t="shared" ca="1" si="0"/>
        <v>2</v>
      </c>
      <c r="B37" s="701">
        <f t="shared" ca="1" si="5"/>
        <v>14</v>
      </c>
      <c r="C37" s="624">
        <f t="shared" ca="1" si="6"/>
        <v>739670.6746963202</v>
      </c>
      <c r="D37" s="698">
        <f ca="1">IF($A37=0,0,IF(SUMIF(CF!$A$5:$A$29,($A37+2),CF!$G$5:$G$29)/12&gt;C37,-C37,-SUMIF(CF!$A$5:$A$29,($A37+2),CF!$G$5:$G$29)/12))</f>
        <v>-7580.6877074185422</v>
      </c>
      <c r="E37" s="624">
        <f t="shared" ca="1" si="1"/>
        <v>732089.98698890163</v>
      </c>
      <c r="F37" s="702">
        <f t="shared" ca="1" si="2"/>
        <v>4006.5494879384009</v>
      </c>
      <c r="H37" s="514">
        <f t="shared" ref="H37:H100" si="8">H25+1</f>
        <v>4</v>
      </c>
      <c r="I37" s="626">
        <f t="shared" ca="1" si="7"/>
        <v>55823.047336506999</v>
      </c>
      <c r="J37" s="698">
        <f t="shared" ca="1" si="3"/>
        <v>302.37483973941295</v>
      </c>
      <c r="K37" s="698">
        <f ca="1">IF(VLOOKUP($H37,CF!$A$4:$K$29,11,FALSE)/12&gt;(I37+J37),-(I37+J37),(-VLOOKUP($H37,CF!$A$4:$K$29,11,FALSE)/12))</f>
        <v>3821.7702250700727</v>
      </c>
      <c r="L37" s="702">
        <f t="shared" ca="1" si="4"/>
        <v>59947.19240131649</v>
      </c>
    </row>
    <row r="38" spans="1:12" ht="16.149999999999999" customHeight="1" x14ac:dyDescent="0.45">
      <c r="A38" s="700">
        <f t="shared" ca="1" si="0"/>
        <v>2</v>
      </c>
      <c r="B38" s="701">
        <f t="shared" ca="1" si="5"/>
        <v>15</v>
      </c>
      <c r="C38" s="624">
        <f t="shared" ca="1" si="6"/>
        <v>732089.98698890163</v>
      </c>
      <c r="D38" s="698">
        <f ca="1">IF($A38=0,0,IF(SUMIF(CF!$A$5:$A$29,($A38+2),CF!$G$5:$G$29)/12&gt;C38,-C38,-SUMIF(CF!$A$5:$A$29,($A38+2),CF!$G$5:$G$29)/12))</f>
        <v>-7580.6877074185422</v>
      </c>
      <c r="E38" s="624">
        <f t="shared" ca="1" si="1"/>
        <v>724509.29928148305</v>
      </c>
      <c r="F38" s="702">
        <f t="shared" ca="1" si="2"/>
        <v>3965.4874295232171</v>
      </c>
      <c r="H38" s="514">
        <f t="shared" si="8"/>
        <v>4</v>
      </c>
      <c r="I38" s="626">
        <f t="shared" ca="1" si="7"/>
        <v>59947.19240131649</v>
      </c>
      <c r="J38" s="698">
        <f t="shared" ca="1" si="3"/>
        <v>324.71395884046433</v>
      </c>
      <c r="K38" s="698">
        <f ca="1">IF(VLOOKUP($H38,CF!$A$4:$K$29,11,FALSE)/12&gt;(I38+J38),-(I38+J38),(-VLOOKUP($H38,CF!$A$4:$K$29,11,FALSE)/12))</f>
        <v>3821.7702250700727</v>
      </c>
      <c r="L38" s="702">
        <f t="shared" ca="1" si="4"/>
        <v>64093.676585227025</v>
      </c>
    </row>
    <row r="39" spans="1:12" ht="16.149999999999999" customHeight="1" x14ac:dyDescent="0.45">
      <c r="A39" s="700">
        <f t="shared" ca="1" si="0"/>
        <v>2</v>
      </c>
      <c r="B39" s="701">
        <f t="shared" ca="1" si="5"/>
        <v>16</v>
      </c>
      <c r="C39" s="624">
        <f t="shared" ca="1" si="6"/>
        <v>724509.29928148305</v>
      </c>
      <c r="D39" s="698">
        <f ca="1">IF($A39=0,0,IF(SUMIF(CF!$A$5:$A$29,($A39+2),CF!$G$5:$G$29)/12&gt;C39,-C39,-SUMIF(CF!$A$5:$A$29,($A39+2),CF!$G$5:$G$29)/12))</f>
        <v>-7580.6877074185422</v>
      </c>
      <c r="E39" s="624">
        <f t="shared" ca="1" si="1"/>
        <v>716928.61157406447</v>
      </c>
      <c r="F39" s="702">
        <f t="shared" ca="1" si="2"/>
        <v>3924.4253711080332</v>
      </c>
      <c r="H39" s="514">
        <f t="shared" si="8"/>
        <v>4</v>
      </c>
      <c r="I39" s="626">
        <f t="shared" ca="1" si="7"/>
        <v>64093.676585227025</v>
      </c>
      <c r="J39" s="698">
        <f t="shared" ca="1" si="3"/>
        <v>347.17408150331306</v>
      </c>
      <c r="K39" s="698">
        <f ca="1">IF(VLOOKUP($H39,CF!$A$4:$K$29,11,FALSE)/12&gt;(I39+J39),-(I39+J39),(-VLOOKUP($H39,CF!$A$4:$K$29,11,FALSE)/12))</f>
        <v>3821.7702250700727</v>
      </c>
      <c r="L39" s="702">
        <f t="shared" ca="1" si="4"/>
        <v>68262.620891800412</v>
      </c>
    </row>
    <row r="40" spans="1:12" ht="16.149999999999999" customHeight="1" x14ac:dyDescent="0.45">
      <c r="A40" s="700">
        <f t="shared" ca="1" si="0"/>
        <v>2</v>
      </c>
      <c r="B40" s="701">
        <f t="shared" ca="1" si="5"/>
        <v>17</v>
      </c>
      <c r="C40" s="624">
        <f t="shared" ca="1" si="6"/>
        <v>716928.61157406447</v>
      </c>
      <c r="D40" s="698">
        <f ca="1">IF($A40=0,0,IF(SUMIF(CF!$A$5:$A$29,($A40+2),CF!$G$5:$G$29)/12&gt;C40,-C40,-SUMIF(CF!$A$5:$A$29,($A40+2),CF!$G$5:$G$29)/12))</f>
        <v>-7580.6877074185422</v>
      </c>
      <c r="E40" s="624">
        <f t="shared" ca="1" si="1"/>
        <v>709347.9238666459</v>
      </c>
      <c r="F40" s="702">
        <f t="shared" ca="1" si="2"/>
        <v>3883.3633126928494</v>
      </c>
      <c r="H40" s="514">
        <f t="shared" si="8"/>
        <v>4</v>
      </c>
      <c r="I40" s="626">
        <f t="shared" ca="1" si="7"/>
        <v>68262.620891800412</v>
      </c>
      <c r="J40" s="698">
        <f t="shared" ca="1" si="3"/>
        <v>369.75586316391895</v>
      </c>
      <c r="K40" s="698">
        <f ca="1">IF(VLOOKUP($H40,CF!$A$4:$K$29,11,FALSE)/12&gt;(I40+J40),-(I40+J40),(-VLOOKUP($H40,CF!$A$4:$K$29,11,FALSE)/12))</f>
        <v>3821.7702250700727</v>
      </c>
      <c r="L40" s="702">
        <f t="shared" ca="1" si="4"/>
        <v>72454.146980034406</v>
      </c>
    </row>
    <row r="41" spans="1:12" ht="16.149999999999999" customHeight="1" x14ac:dyDescent="0.45">
      <c r="A41" s="700">
        <f t="shared" ca="1" si="0"/>
        <v>2</v>
      </c>
      <c r="B41" s="701">
        <f t="shared" ca="1" si="5"/>
        <v>18</v>
      </c>
      <c r="C41" s="624">
        <f t="shared" ca="1" si="6"/>
        <v>709347.9238666459</v>
      </c>
      <c r="D41" s="698">
        <f ca="1">IF($A41=0,0,IF(SUMIF(CF!$A$5:$A$29,($A41+2),CF!$G$5:$G$29)/12&gt;C41,-C41,-SUMIF(CF!$A$5:$A$29,($A41+2),CF!$G$5:$G$29)/12))</f>
        <v>-7580.6877074185422</v>
      </c>
      <c r="E41" s="624">
        <f t="shared" ca="1" si="1"/>
        <v>701767.23615922732</v>
      </c>
      <c r="F41" s="702">
        <f t="shared" ca="1" si="2"/>
        <v>3842.3012542776655</v>
      </c>
      <c r="H41" s="514">
        <f t="shared" si="8"/>
        <v>4</v>
      </c>
      <c r="I41" s="626">
        <f t="shared" ca="1" si="7"/>
        <v>72454.146980034406</v>
      </c>
      <c r="J41" s="698">
        <f t="shared" ca="1" si="3"/>
        <v>392.45996280851972</v>
      </c>
      <c r="K41" s="698">
        <f ca="1">IF(VLOOKUP($H41,CF!$A$4:$K$29,11,FALSE)/12&gt;(I41+J41),-(I41+J41),(-VLOOKUP($H41,CF!$A$4:$K$29,11,FALSE)/12))</f>
        <v>3821.7702250700727</v>
      </c>
      <c r="L41" s="702">
        <f t="shared" ca="1" si="4"/>
        <v>76668.377167912986</v>
      </c>
    </row>
    <row r="42" spans="1:12" ht="16.149999999999999" customHeight="1" x14ac:dyDescent="0.45">
      <c r="A42" s="700">
        <f t="shared" ca="1" si="0"/>
        <v>2</v>
      </c>
      <c r="B42" s="701">
        <f t="shared" ca="1" si="5"/>
        <v>19</v>
      </c>
      <c r="C42" s="624">
        <f t="shared" ca="1" si="6"/>
        <v>701767.23615922732</v>
      </c>
      <c r="D42" s="698">
        <f ca="1">IF($A42=0,0,IF(SUMIF(CF!$A$5:$A$29,($A42+2),CF!$G$5:$G$29)/12&gt;C42,-C42,-SUMIF(CF!$A$5:$A$29,($A42+2),CF!$G$5:$G$29)/12))</f>
        <v>-7580.6877074185422</v>
      </c>
      <c r="E42" s="624">
        <f t="shared" ca="1" si="1"/>
        <v>694186.54845180875</v>
      </c>
      <c r="F42" s="702">
        <f t="shared" ca="1" si="2"/>
        <v>3801.2391958624812</v>
      </c>
      <c r="H42" s="514">
        <f t="shared" si="8"/>
        <v>4</v>
      </c>
      <c r="I42" s="626">
        <f t="shared" ca="1" si="7"/>
        <v>76668.377167912986</v>
      </c>
      <c r="J42" s="698">
        <f t="shared" ca="1" si="3"/>
        <v>415.28704299286204</v>
      </c>
      <c r="K42" s="698">
        <f ca="1">IF(VLOOKUP($H42,CF!$A$4:$K$29,11,FALSE)/12&gt;(I42+J42),-(I42+J42),(-VLOOKUP($H42,CF!$A$4:$K$29,11,FALSE)/12))</f>
        <v>3821.7702250700727</v>
      </c>
      <c r="L42" s="702">
        <f t="shared" ca="1" si="4"/>
        <v>80905.434435975912</v>
      </c>
    </row>
    <row r="43" spans="1:12" ht="16.149999999999999" customHeight="1" x14ac:dyDescent="0.45">
      <c r="A43" s="700">
        <f t="shared" ca="1" si="0"/>
        <v>2</v>
      </c>
      <c r="B43" s="701">
        <f t="shared" ca="1" si="5"/>
        <v>20</v>
      </c>
      <c r="C43" s="624">
        <f t="shared" ca="1" si="6"/>
        <v>694186.54845180875</v>
      </c>
      <c r="D43" s="698">
        <f ca="1">IF($A43=0,0,IF(SUMIF(CF!$A$5:$A$29,($A43+2),CF!$G$5:$G$29)/12&gt;C43,-C43,-SUMIF(CF!$A$5:$A$29,($A43+2),CF!$G$5:$G$29)/12))</f>
        <v>-7580.6877074185422</v>
      </c>
      <c r="E43" s="624">
        <f t="shared" ca="1" si="1"/>
        <v>686605.86074439017</v>
      </c>
      <c r="F43" s="702">
        <f t="shared" ca="1" si="2"/>
        <v>3760.1771374472974</v>
      </c>
      <c r="H43" s="514">
        <f t="shared" si="8"/>
        <v>4</v>
      </c>
      <c r="I43" s="626">
        <f t="shared" ca="1" si="7"/>
        <v>80905.434435975912</v>
      </c>
      <c r="J43" s="698">
        <f t="shared" ca="1" si="3"/>
        <v>438.23776986153621</v>
      </c>
      <c r="K43" s="698">
        <f ca="1">IF(VLOOKUP($H43,CF!$A$4:$K$29,11,FALSE)/12&gt;(I43+J43),-(I43+J43),(-VLOOKUP($H43,CF!$A$4:$K$29,11,FALSE)/12))</f>
        <v>3821.7702250700727</v>
      </c>
      <c r="L43" s="702">
        <f t="shared" ca="1" si="4"/>
        <v>85165.442430907511</v>
      </c>
    </row>
    <row r="44" spans="1:12" ht="16.149999999999999" customHeight="1" x14ac:dyDescent="0.45">
      <c r="A44" s="700">
        <f t="shared" ca="1" si="0"/>
        <v>2</v>
      </c>
      <c r="B44" s="701">
        <f t="shared" ca="1" si="5"/>
        <v>21</v>
      </c>
      <c r="C44" s="624">
        <f t="shared" ca="1" si="6"/>
        <v>686605.86074439017</v>
      </c>
      <c r="D44" s="698">
        <f ca="1">IF($A44=0,0,IF(SUMIF(CF!$A$5:$A$29,($A44+2),CF!$G$5:$G$29)/12&gt;C44,-C44,-SUMIF(CF!$A$5:$A$29,($A44+2),CF!$G$5:$G$29)/12))</f>
        <v>-7580.6877074185422</v>
      </c>
      <c r="E44" s="624">
        <f t="shared" ca="1" si="1"/>
        <v>679025.1730369716</v>
      </c>
      <c r="F44" s="702">
        <f t="shared" ca="1" si="2"/>
        <v>3719.1150790321135</v>
      </c>
      <c r="H44" s="514">
        <f t="shared" si="8"/>
        <v>4</v>
      </c>
      <c r="I44" s="626">
        <f t="shared" ca="1" si="7"/>
        <v>85165.442430907511</v>
      </c>
      <c r="J44" s="698">
        <f t="shared" ca="1" si="3"/>
        <v>461.3128131674157</v>
      </c>
      <c r="K44" s="698">
        <f ca="1">IF(VLOOKUP($H44,CF!$A$4:$K$29,11,FALSE)/12&gt;(I44+J44),-(I44+J44),(-VLOOKUP($H44,CF!$A$4:$K$29,11,FALSE)/12))</f>
        <v>3821.7702250700727</v>
      </c>
      <c r="L44" s="702">
        <f t="shared" ca="1" si="4"/>
        <v>89448.525469144995</v>
      </c>
    </row>
    <row r="45" spans="1:12" ht="16.149999999999999" customHeight="1" x14ac:dyDescent="0.45">
      <c r="A45" s="700">
        <f t="shared" ca="1" si="0"/>
        <v>2</v>
      </c>
      <c r="B45" s="701">
        <f t="shared" ca="1" si="5"/>
        <v>22</v>
      </c>
      <c r="C45" s="624">
        <f t="shared" ca="1" si="6"/>
        <v>679025.1730369716</v>
      </c>
      <c r="D45" s="698">
        <f ca="1">IF($A45=0,0,IF(SUMIF(CF!$A$5:$A$29,($A45+2),CF!$G$5:$G$29)/12&gt;C45,-C45,-SUMIF(CF!$A$5:$A$29,($A45+2),CF!$G$5:$G$29)/12))</f>
        <v>-7580.6877074185422</v>
      </c>
      <c r="E45" s="624">
        <f t="shared" ca="1" si="1"/>
        <v>671444.48532955302</v>
      </c>
      <c r="F45" s="702">
        <f t="shared" ca="1" si="2"/>
        <v>3678.0530206169296</v>
      </c>
      <c r="H45" s="514">
        <f t="shared" si="8"/>
        <v>4</v>
      </c>
      <c r="I45" s="626">
        <f t="shared" ca="1" si="7"/>
        <v>89448.525469144995</v>
      </c>
      <c r="J45" s="698">
        <f t="shared" ca="1" si="3"/>
        <v>484.5128462912021</v>
      </c>
      <c r="K45" s="698">
        <f ca="1">IF(VLOOKUP($H45,CF!$A$4:$K$29,11,FALSE)/12&gt;(I45+J45),-(I45+J45),(-VLOOKUP($H45,CF!$A$4:$K$29,11,FALSE)/12))</f>
        <v>3821.7702250700727</v>
      </c>
      <c r="L45" s="702">
        <f t="shared" ca="1" si="4"/>
        <v>93754.808540506259</v>
      </c>
    </row>
    <row r="46" spans="1:12" ht="16.149999999999999" customHeight="1" x14ac:dyDescent="0.45">
      <c r="A46" s="700">
        <f t="shared" ca="1" si="0"/>
        <v>2</v>
      </c>
      <c r="B46" s="701">
        <f t="shared" ca="1" si="5"/>
        <v>23</v>
      </c>
      <c r="C46" s="624">
        <f t="shared" ca="1" si="6"/>
        <v>671444.48532955302</v>
      </c>
      <c r="D46" s="698">
        <f ca="1">IF($A46=0,0,IF(SUMIF(CF!$A$5:$A$29,($A46+2),CF!$G$5:$G$29)/12&gt;C46,-C46,-SUMIF(CF!$A$5:$A$29,($A46+2),CF!$G$5:$G$29)/12))</f>
        <v>-7580.6877074185422</v>
      </c>
      <c r="E46" s="624">
        <f t="shared" ca="1" si="1"/>
        <v>663863.79762213444</v>
      </c>
      <c r="F46" s="702">
        <f t="shared" ca="1" si="2"/>
        <v>3636.9909622017458</v>
      </c>
      <c r="H46" s="514">
        <f t="shared" si="8"/>
        <v>4</v>
      </c>
      <c r="I46" s="626">
        <f t="shared" ca="1" si="7"/>
        <v>93754.808540506259</v>
      </c>
      <c r="J46" s="698">
        <f t="shared" ca="1" si="3"/>
        <v>507.83854626107558</v>
      </c>
      <c r="K46" s="698">
        <f ca="1">IF(VLOOKUP($H46,CF!$A$4:$K$29,11,FALSE)/12&gt;(I46+J46),-(I46+J46),(-VLOOKUP($H46,CF!$A$4:$K$29,11,FALSE)/12))</f>
        <v>3821.7702250700727</v>
      </c>
      <c r="L46" s="702">
        <f t="shared" ca="1" si="4"/>
        <v>98084.417311837402</v>
      </c>
    </row>
    <row r="47" spans="1:12" ht="16.149999999999999" customHeight="1" x14ac:dyDescent="0.45">
      <c r="A47" s="700">
        <f t="shared" ca="1" si="0"/>
        <v>2</v>
      </c>
      <c r="B47" s="701">
        <f t="shared" ca="1" si="5"/>
        <v>24</v>
      </c>
      <c r="C47" s="624">
        <f t="shared" ca="1" si="6"/>
        <v>663863.79762213444</v>
      </c>
      <c r="D47" s="698">
        <f ca="1">IF($A47=0,0,IF(SUMIF(CF!$A$5:$A$29,($A47+2),CF!$G$5:$G$29)/12&gt;C47,-C47,-SUMIF(CF!$A$5:$A$29,($A47+2),CF!$G$5:$G$29)/12))</f>
        <v>-7580.6877074185422</v>
      </c>
      <c r="E47" s="624">
        <f t="shared" ca="1" si="1"/>
        <v>656283.10991471587</v>
      </c>
      <c r="F47" s="702">
        <f t="shared" ca="1" si="2"/>
        <v>3595.9289037865619</v>
      </c>
      <c r="H47" s="514">
        <f t="shared" si="8"/>
        <v>4</v>
      </c>
      <c r="I47" s="626">
        <f t="shared" ca="1" si="7"/>
        <v>98084.417311837402</v>
      </c>
      <c r="J47" s="698">
        <f t="shared" ca="1" si="3"/>
        <v>531.29059377245255</v>
      </c>
      <c r="K47" s="698">
        <f ca="1">IF(VLOOKUP($H47,CF!$A$4:$K$29,11,FALSE)/12&gt;(I47+J47),-(I47+J47),(-VLOOKUP($H47,CF!$A$4:$K$29,11,FALSE)/12))</f>
        <v>3821.7702250700727</v>
      </c>
      <c r="L47" s="702">
        <f t="shared" ca="1" si="4"/>
        <v>102437.47813067993</v>
      </c>
    </row>
    <row r="48" spans="1:12" ht="16.149999999999999" customHeight="1" x14ac:dyDescent="0.45">
      <c r="A48" s="700">
        <f t="shared" ca="1" si="0"/>
        <v>3</v>
      </c>
      <c r="B48" s="701">
        <f t="shared" ca="1" si="5"/>
        <v>25</v>
      </c>
      <c r="C48" s="624">
        <f t="shared" ca="1" si="6"/>
        <v>656283.10991471587</v>
      </c>
      <c r="D48" s="698">
        <f ca="1">IF($A48=0,0,IF(SUMIF(CF!$A$5:$A$29,($A48+2),CF!$G$5:$G$29)/12&gt;C48,-C48,-SUMIF(CF!$A$5:$A$29,($A48+2),CF!$G$5:$G$29)/12))</f>
        <v>-11781.829941129728</v>
      </c>
      <c r="E48" s="624">
        <f t="shared" ca="1" si="1"/>
        <v>644501.27997358609</v>
      </c>
      <c r="F48" s="702">
        <f t="shared" ca="1" si="2"/>
        <v>3554.8668453713776</v>
      </c>
      <c r="H48" s="514">
        <f t="shared" si="8"/>
        <v>5</v>
      </c>
      <c r="I48" s="626">
        <f t="shared" ca="1" si="7"/>
        <v>102437.47813067993</v>
      </c>
      <c r="J48" s="698">
        <f t="shared" ca="1" si="3"/>
        <v>554.86967320784959</v>
      </c>
      <c r="K48" s="698">
        <f ca="1">IF(VLOOKUP($H48,CF!$A$4:$K$29,11,FALSE)/12&gt;(I48+J48),-(I48+J48),(-VLOOKUP($H48,CF!$A$4:$K$29,11,FALSE)/12))</f>
        <v>3203.8664950418897</v>
      </c>
      <c r="L48" s="702">
        <f t="shared" ca="1" si="4"/>
        <v>106196.21429892967</v>
      </c>
    </row>
    <row r="49" spans="1:12" ht="16.149999999999999" customHeight="1" x14ac:dyDescent="0.45">
      <c r="A49" s="700">
        <f t="shared" ca="1" si="0"/>
        <v>3</v>
      </c>
      <c r="B49" s="701">
        <f t="shared" ca="1" si="5"/>
        <v>26</v>
      </c>
      <c r="C49" s="624">
        <f t="shared" ca="1" si="6"/>
        <v>644501.27997358609</v>
      </c>
      <c r="D49" s="698">
        <f ca="1">IF($A49=0,0,IF(SUMIF(CF!$A$5:$A$29,($A49+2),CF!$G$5:$G$29)/12&gt;C49,-C49,-SUMIF(CF!$A$5:$A$29,($A49+2),CF!$G$5:$G$29)/12))</f>
        <v>-11781.829941129728</v>
      </c>
      <c r="E49" s="624">
        <f t="shared" ca="1" si="1"/>
        <v>632719.45003245631</v>
      </c>
      <c r="F49" s="702">
        <f t="shared" ca="1" si="2"/>
        <v>3491.0485998569252</v>
      </c>
      <c r="H49" s="514">
        <f t="shared" si="8"/>
        <v>5</v>
      </c>
      <c r="I49" s="626">
        <f t="shared" ca="1" si="7"/>
        <v>106196.21429892967</v>
      </c>
      <c r="J49" s="698">
        <f t="shared" ca="1" si="3"/>
        <v>575.2294941192024</v>
      </c>
      <c r="K49" s="698">
        <f ca="1">IF(VLOOKUP($H49,CF!$A$4:$K$29,11,FALSE)/12&gt;(I49+J49),-(I49+J49),(-VLOOKUP($H49,CF!$A$4:$K$29,11,FALSE)/12))</f>
        <v>3203.8664950418897</v>
      </c>
      <c r="L49" s="702">
        <f t="shared" ca="1" si="4"/>
        <v>109975.31028809077</v>
      </c>
    </row>
    <row r="50" spans="1:12" ht="16.149999999999999" customHeight="1" x14ac:dyDescent="0.45">
      <c r="A50" s="700">
        <f t="shared" ca="1" si="0"/>
        <v>3</v>
      </c>
      <c r="B50" s="701">
        <f t="shared" ca="1" si="5"/>
        <v>27</v>
      </c>
      <c r="C50" s="624">
        <f t="shared" ca="1" si="6"/>
        <v>632719.45003245631</v>
      </c>
      <c r="D50" s="698">
        <f ca="1">IF($A50=0,0,IF(SUMIF(CF!$A$5:$A$29,($A50+2),CF!$G$5:$G$29)/12&gt;C50,-C50,-SUMIF(CF!$A$5:$A$29,($A50+2),CF!$G$5:$G$29)/12))</f>
        <v>-11781.829941129728</v>
      </c>
      <c r="E50" s="624">
        <f t="shared" ca="1" si="1"/>
        <v>620937.62009132653</v>
      </c>
      <c r="F50" s="702">
        <f t="shared" ca="1" si="2"/>
        <v>3427.2303543424719</v>
      </c>
      <c r="H50" s="514">
        <f t="shared" si="8"/>
        <v>5</v>
      </c>
      <c r="I50" s="626">
        <f t="shared" ca="1" si="7"/>
        <v>109975.31028809077</v>
      </c>
      <c r="J50" s="698">
        <f t="shared" ca="1" si="3"/>
        <v>595.699597393825</v>
      </c>
      <c r="K50" s="698">
        <f ca="1">IF(VLOOKUP($H50,CF!$A$4:$K$29,11,FALSE)/12&gt;(I50+J50),-(I50+J50),(-VLOOKUP($H50,CF!$A$4:$K$29,11,FALSE)/12))</f>
        <v>3203.8664950418897</v>
      </c>
      <c r="L50" s="702">
        <f t="shared" ca="1" si="4"/>
        <v>113774.87638052649</v>
      </c>
    </row>
    <row r="51" spans="1:12" ht="16.149999999999999" customHeight="1" x14ac:dyDescent="0.45">
      <c r="A51" s="700">
        <f t="shared" ca="1" si="0"/>
        <v>3</v>
      </c>
      <c r="B51" s="701">
        <f t="shared" ca="1" si="5"/>
        <v>28</v>
      </c>
      <c r="C51" s="624">
        <f t="shared" ca="1" si="6"/>
        <v>620937.62009132653</v>
      </c>
      <c r="D51" s="698">
        <f ca="1">IF($A51=0,0,IF(SUMIF(CF!$A$5:$A$29,($A51+2),CF!$G$5:$G$29)/12&gt;C51,-C51,-SUMIF(CF!$A$5:$A$29,($A51+2),CF!$G$5:$G$29)/12))</f>
        <v>-11781.829941129728</v>
      </c>
      <c r="E51" s="624">
        <f t="shared" ca="1" si="1"/>
        <v>609155.79015019676</v>
      </c>
      <c r="F51" s="702">
        <f t="shared" ca="1" si="2"/>
        <v>3363.412108828019</v>
      </c>
      <c r="H51" s="514">
        <f t="shared" si="8"/>
        <v>5</v>
      </c>
      <c r="I51" s="626">
        <f t="shared" ca="1" si="7"/>
        <v>113774.87638052649</v>
      </c>
      <c r="J51" s="698">
        <f t="shared" ca="1" si="3"/>
        <v>616.28058039451855</v>
      </c>
      <c r="K51" s="698">
        <f ca="1">IF(VLOOKUP($H51,CF!$A$4:$K$29,11,FALSE)/12&gt;(I51+J51),-(I51+J51),(-VLOOKUP($H51,CF!$A$4:$K$29,11,FALSE)/12))</f>
        <v>3203.8664950418897</v>
      </c>
      <c r="L51" s="702">
        <f t="shared" ca="1" si="4"/>
        <v>117595.0234559629</v>
      </c>
    </row>
    <row r="52" spans="1:12" ht="16.149999999999999" customHeight="1" x14ac:dyDescent="0.45">
      <c r="A52" s="700">
        <f t="shared" ca="1" si="0"/>
        <v>3</v>
      </c>
      <c r="B52" s="701">
        <f t="shared" ca="1" si="5"/>
        <v>29</v>
      </c>
      <c r="C52" s="624">
        <f t="shared" ca="1" si="6"/>
        <v>609155.79015019676</v>
      </c>
      <c r="D52" s="698">
        <f ca="1">IF($A52=0,0,IF(SUMIF(CF!$A$5:$A$29,($A52+2),CF!$G$5:$G$29)/12&gt;C52,-C52,-SUMIF(CF!$A$5:$A$29,($A52+2),CF!$G$5:$G$29)/12))</f>
        <v>-11781.829941129728</v>
      </c>
      <c r="E52" s="624">
        <f t="shared" ca="1" si="1"/>
        <v>597373.96020906698</v>
      </c>
      <c r="F52" s="702">
        <f t="shared" ca="1" si="2"/>
        <v>3299.5938633135661</v>
      </c>
      <c r="H52" s="514">
        <f t="shared" si="8"/>
        <v>5</v>
      </c>
      <c r="I52" s="626">
        <f t="shared" ca="1" si="7"/>
        <v>117595.0234559629</v>
      </c>
      <c r="J52" s="698">
        <f t="shared" ca="1" si="3"/>
        <v>636.97304371979908</v>
      </c>
      <c r="K52" s="698">
        <f ca="1">IF(VLOOKUP($H52,CF!$A$4:$K$29,11,FALSE)/12&gt;(I52+J52),-(I52+J52),(-VLOOKUP($H52,CF!$A$4:$K$29,11,FALSE)/12))</f>
        <v>3203.8664950418897</v>
      </c>
      <c r="L52" s="702">
        <f t="shared" ca="1" si="4"/>
        <v>121435.86299472459</v>
      </c>
    </row>
    <row r="53" spans="1:12" ht="16.149999999999999" customHeight="1" x14ac:dyDescent="0.45">
      <c r="A53" s="700">
        <f t="shared" ca="1" si="0"/>
        <v>3</v>
      </c>
      <c r="B53" s="701">
        <f t="shared" ca="1" si="5"/>
        <v>30</v>
      </c>
      <c r="C53" s="624">
        <f t="shared" ca="1" si="6"/>
        <v>597373.96020906698</v>
      </c>
      <c r="D53" s="698">
        <f ca="1">IF($A53=0,0,IF(SUMIF(CF!$A$5:$A$29,($A53+2),CF!$G$5:$G$29)/12&gt;C53,-C53,-SUMIF(CF!$A$5:$A$29,($A53+2),CF!$G$5:$G$29)/12))</f>
        <v>-11781.829941129728</v>
      </c>
      <c r="E53" s="624">
        <f t="shared" ca="1" si="1"/>
        <v>585592.1302679372</v>
      </c>
      <c r="F53" s="702">
        <f t="shared" ca="1" si="2"/>
        <v>3235.7756177991128</v>
      </c>
      <c r="H53" s="514">
        <f t="shared" si="8"/>
        <v>5</v>
      </c>
      <c r="I53" s="626">
        <f t="shared" ca="1" si="7"/>
        <v>121435.86299472459</v>
      </c>
      <c r="J53" s="698">
        <f t="shared" ca="1" si="3"/>
        <v>657.77759122142493</v>
      </c>
      <c r="K53" s="698">
        <f ca="1">IF(VLOOKUP($H53,CF!$A$4:$K$29,11,FALSE)/12&gt;(I53+J53),-(I53+J53),(-VLOOKUP($H53,CF!$A$4:$K$29,11,FALSE)/12))</f>
        <v>3203.8664950418897</v>
      </c>
      <c r="L53" s="702">
        <f t="shared" ca="1" si="4"/>
        <v>125297.50708098791</v>
      </c>
    </row>
    <row r="54" spans="1:12" ht="16.149999999999999" customHeight="1" x14ac:dyDescent="0.45">
      <c r="A54" s="700">
        <f t="shared" ca="1" si="0"/>
        <v>3</v>
      </c>
      <c r="B54" s="701">
        <f t="shared" ca="1" si="5"/>
        <v>31</v>
      </c>
      <c r="C54" s="624">
        <f t="shared" ca="1" si="6"/>
        <v>585592.1302679372</v>
      </c>
      <c r="D54" s="698">
        <f ca="1">IF($A54=0,0,IF(SUMIF(CF!$A$5:$A$29,($A54+2),CF!$G$5:$G$29)/12&gt;C54,-C54,-SUMIF(CF!$A$5:$A$29,($A54+2),CF!$G$5:$G$29)/12))</f>
        <v>-11781.829941129728</v>
      </c>
      <c r="E54" s="624">
        <f t="shared" ca="1" si="1"/>
        <v>573810.30032680742</v>
      </c>
      <c r="F54" s="702">
        <f t="shared" ca="1" si="2"/>
        <v>3171.9573722846599</v>
      </c>
      <c r="H54" s="514">
        <f t="shared" si="8"/>
        <v>5</v>
      </c>
      <c r="I54" s="626">
        <f t="shared" ca="1" si="7"/>
        <v>125297.50708098791</v>
      </c>
      <c r="J54" s="698">
        <f t="shared" ca="1" si="3"/>
        <v>678.69483002201787</v>
      </c>
      <c r="K54" s="698">
        <f ca="1">IF(VLOOKUP($H54,CF!$A$4:$K$29,11,FALSE)/12&gt;(I54+J54),-(I54+J54),(-VLOOKUP($H54,CF!$A$4:$K$29,11,FALSE)/12))</f>
        <v>3203.8664950418897</v>
      </c>
      <c r="L54" s="702">
        <f t="shared" ca="1" si="4"/>
        <v>129180.06840605183</v>
      </c>
    </row>
    <row r="55" spans="1:12" ht="16.149999999999999" customHeight="1" x14ac:dyDescent="0.45">
      <c r="A55" s="700">
        <f t="shared" ca="1" si="0"/>
        <v>3</v>
      </c>
      <c r="B55" s="701">
        <f t="shared" ca="1" si="5"/>
        <v>32</v>
      </c>
      <c r="C55" s="624">
        <f t="shared" ca="1" si="6"/>
        <v>573810.30032680742</v>
      </c>
      <c r="D55" s="698">
        <f ca="1">IF($A55=0,0,IF(SUMIF(CF!$A$5:$A$29,($A55+2),CF!$G$5:$G$29)/12&gt;C55,-C55,-SUMIF(CF!$A$5:$A$29,($A55+2),CF!$G$5:$G$29)/12))</f>
        <v>-11781.829941129728</v>
      </c>
      <c r="E55" s="624">
        <f t="shared" ca="1" si="1"/>
        <v>562028.47038567765</v>
      </c>
      <c r="F55" s="702">
        <f t="shared" ca="1" si="2"/>
        <v>3108.139126770207</v>
      </c>
      <c r="H55" s="514">
        <f t="shared" si="8"/>
        <v>5</v>
      </c>
      <c r="I55" s="626">
        <f t="shared" ca="1" si="7"/>
        <v>129180.06840605183</v>
      </c>
      <c r="J55" s="698">
        <f t="shared" ca="1" si="3"/>
        <v>699.72537053278074</v>
      </c>
      <c r="K55" s="698">
        <f ca="1">IF(VLOOKUP($H55,CF!$A$4:$K$29,11,FALSE)/12&gt;(I55+J55),-(I55+J55),(-VLOOKUP($H55,CF!$A$4:$K$29,11,FALSE)/12))</f>
        <v>3203.8664950418897</v>
      </c>
      <c r="L55" s="702">
        <f t="shared" ca="1" si="4"/>
        <v>133083.66027162649</v>
      </c>
    </row>
    <row r="56" spans="1:12" ht="16.149999999999999" customHeight="1" x14ac:dyDescent="0.45">
      <c r="A56" s="700">
        <f t="shared" ref="A56:A87" ca="1" si="9">ROUNDUP(B56/12,0)</f>
        <v>3</v>
      </c>
      <c r="B56" s="701">
        <f t="shared" ca="1" si="5"/>
        <v>33</v>
      </c>
      <c r="C56" s="624">
        <f t="shared" ca="1" si="6"/>
        <v>562028.47038567765</v>
      </c>
      <c r="D56" s="698">
        <f ca="1">IF($A56=0,0,IF(SUMIF(CF!$A$5:$A$29,($A56+2),CF!$G$5:$G$29)/12&gt;C56,-C56,-SUMIF(CF!$A$5:$A$29,($A56+2),CF!$G$5:$G$29)/12))</f>
        <v>-11781.829941129728</v>
      </c>
      <c r="E56" s="624">
        <f t="shared" ref="E56:E87" ca="1" si="10">SUM(C56:D56)</f>
        <v>550246.64044454787</v>
      </c>
      <c r="F56" s="702">
        <f t="shared" ref="F56:F87" ca="1" si="11">$C56*$D$2/12</f>
        <v>3044.3208812557536</v>
      </c>
      <c r="H56" s="514">
        <f t="shared" si="8"/>
        <v>5</v>
      </c>
      <c r="I56" s="626">
        <f t="shared" ca="1" si="7"/>
        <v>133083.66027162649</v>
      </c>
      <c r="J56" s="698">
        <f t="shared" ref="J56:J87" ca="1" si="12">I56*$D$3/12</f>
        <v>720.86982647131015</v>
      </c>
      <c r="K56" s="624">
        <f ca="1">IF(VLOOKUP($H56,CF!$A$4:$K$29,11,FALSE)/12&gt;(I56+J56),-(I56+J56),(-VLOOKUP($H56,CF!$A$4:$K$29,11,FALSE)/12))</f>
        <v>3203.8664950418897</v>
      </c>
      <c r="L56" s="702">
        <f t="shared" ref="L56:L87" ca="1" si="13">SUM(I56:K56)</f>
        <v>137008.39659313968</v>
      </c>
    </row>
    <row r="57" spans="1:12" ht="16.149999999999999" customHeight="1" x14ac:dyDescent="0.45">
      <c r="A57" s="700">
        <f t="shared" ca="1" si="9"/>
        <v>3</v>
      </c>
      <c r="B57" s="701">
        <f t="shared" ref="B57:B88" ca="1" si="14">IF(OR(ROUND(E56,0)=0,E56&lt;0),0,B56+1)</f>
        <v>34</v>
      </c>
      <c r="C57" s="624">
        <f t="shared" ref="C57:C88" ca="1" si="15">E56</f>
        <v>550246.64044454787</v>
      </c>
      <c r="D57" s="698">
        <f ca="1">IF($A57=0,0,IF(SUMIF(CF!$A$5:$A$29,($A57+2),CF!$G$5:$G$29)/12&gt;C57,-C57,-SUMIF(CF!$A$5:$A$29,($A57+2),CF!$G$5:$G$29)/12))</f>
        <v>-11781.829941129728</v>
      </c>
      <c r="E57" s="624">
        <f t="shared" ca="1" si="10"/>
        <v>538464.81050341809</v>
      </c>
      <c r="F57" s="702">
        <f t="shared" ca="1" si="11"/>
        <v>2980.5026357413008</v>
      </c>
      <c r="H57" s="514">
        <f t="shared" si="8"/>
        <v>5</v>
      </c>
      <c r="I57" s="626">
        <f t="shared" ref="I57:I88" ca="1" si="16">L56</f>
        <v>137008.39659313968</v>
      </c>
      <c r="J57" s="698">
        <f t="shared" ca="1" si="12"/>
        <v>742.12881487950665</v>
      </c>
      <c r="K57" s="624">
        <f ca="1">IF(VLOOKUP($H57,CF!$A$4:$K$29,11,FALSE)/12&gt;(I57+J57),-(I57+J57),(-VLOOKUP($H57,CF!$A$4:$K$29,11,FALSE)/12))</f>
        <v>3203.8664950418897</v>
      </c>
      <c r="L57" s="702">
        <f t="shared" ca="1" si="13"/>
        <v>140954.39190306107</v>
      </c>
    </row>
    <row r="58" spans="1:12" ht="16.149999999999999" customHeight="1" x14ac:dyDescent="0.45">
      <c r="A58" s="700">
        <f t="shared" ca="1" si="9"/>
        <v>3</v>
      </c>
      <c r="B58" s="701">
        <f t="shared" ca="1" si="14"/>
        <v>35</v>
      </c>
      <c r="C58" s="624">
        <f t="shared" ca="1" si="15"/>
        <v>538464.81050341809</v>
      </c>
      <c r="D58" s="698">
        <f ca="1">IF($A58=0,0,IF(SUMIF(CF!$A$5:$A$29,($A58+2),CF!$G$5:$G$29)/12&gt;C58,-C58,-SUMIF(CF!$A$5:$A$29,($A58+2),CF!$G$5:$G$29)/12))</f>
        <v>-11781.829941129728</v>
      </c>
      <c r="E58" s="624">
        <f t="shared" ca="1" si="10"/>
        <v>526682.98056228831</v>
      </c>
      <c r="F58" s="702">
        <f t="shared" ca="1" si="11"/>
        <v>2916.6843902268483</v>
      </c>
      <c r="H58" s="514">
        <f t="shared" si="8"/>
        <v>5</v>
      </c>
      <c r="I58" s="626">
        <f t="shared" ca="1" si="16"/>
        <v>140954.39190306107</v>
      </c>
      <c r="J58" s="698">
        <f t="shared" ca="1" si="12"/>
        <v>763.50295614158085</v>
      </c>
      <c r="K58" s="624">
        <f ca="1">IF(VLOOKUP($H58,CF!$A$4:$K$29,11,FALSE)/12&gt;(I58+J58),-(I58+J58),(-VLOOKUP($H58,CF!$A$4:$K$29,11,FALSE)/12))</f>
        <v>3203.8664950418897</v>
      </c>
      <c r="L58" s="702">
        <f t="shared" ca="1" si="13"/>
        <v>144921.76135424455</v>
      </c>
    </row>
    <row r="59" spans="1:12" ht="16.149999999999999" customHeight="1" x14ac:dyDescent="0.45">
      <c r="A59" s="700">
        <f t="shared" ca="1" si="9"/>
        <v>3</v>
      </c>
      <c r="B59" s="701">
        <f t="shared" ca="1" si="14"/>
        <v>36</v>
      </c>
      <c r="C59" s="624">
        <f t="shared" ca="1" si="15"/>
        <v>526682.98056228831</v>
      </c>
      <c r="D59" s="698">
        <f ca="1">IF($A59=0,0,IF(SUMIF(CF!$A$5:$A$29,($A59+2),CF!$G$5:$G$29)/12&gt;C59,-C59,-SUMIF(CF!$A$5:$A$29,($A59+2),CF!$G$5:$G$29)/12))</f>
        <v>-11781.829941129728</v>
      </c>
      <c r="E59" s="624">
        <f t="shared" ca="1" si="10"/>
        <v>514901.15062115859</v>
      </c>
      <c r="F59" s="702">
        <f t="shared" ca="1" si="11"/>
        <v>2852.8661447123955</v>
      </c>
      <c r="H59" s="514">
        <f t="shared" si="8"/>
        <v>5</v>
      </c>
      <c r="I59" s="626">
        <f t="shared" ca="1" si="16"/>
        <v>144921.76135424455</v>
      </c>
      <c r="J59" s="698">
        <f t="shared" ca="1" si="12"/>
        <v>784.99287400215792</v>
      </c>
      <c r="K59" s="624">
        <f ca="1">IF(VLOOKUP($H59,CF!$A$4:$K$29,11,FALSE)/12&gt;(I59+J59),-(I59+J59),(-VLOOKUP($H59,CF!$A$4:$K$29,11,FALSE)/12))</f>
        <v>3203.8664950418897</v>
      </c>
      <c r="L59" s="702">
        <f t="shared" ca="1" si="13"/>
        <v>148910.62072328862</v>
      </c>
    </row>
    <row r="60" spans="1:12" ht="16.149999999999999" customHeight="1" x14ac:dyDescent="0.45">
      <c r="A60" s="700">
        <f t="shared" ca="1" si="9"/>
        <v>4</v>
      </c>
      <c r="B60" s="701">
        <f t="shared" ca="1" si="14"/>
        <v>37</v>
      </c>
      <c r="C60" s="624">
        <f t="shared" ca="1" si="15"/>
        <v>514901.15062115859</v>
      </c>
      <c r="D60" s="698">
        <f ca="1">IF($A60=0,0,IF(SUMIF(CF!$A$5:$A$29,($A60+2),CF!$G$5:$G$29)/12&gt;C60,-C60,-SUMIF(CF!$A$5:$A$29,($A60+2),CF!$G$5:$G$29)/12))</f>
        <v>-13082.984725780128</v>
      </c>
      <c r="E60" s="624">
        <f t="shared" ca="1" si="10"/>
        <v>501818.16589537845</v>
      </c>
      <c r="F60" s="702">
        <f t="shared" ca="1" si="11"/>
        <v>2789.0478991979421</v>
      </c>
      <c r="H60" s="514">
        <f t="shared" si="8"/>
        <v>6</v>
      </c>
      <c r="I60" s="626">
        <f t="shared" ca="1" si="16"/>
        <v>148910.62072328862</v>
      </c>
      <c r="J60" s="698">
        <f t="shared" ca="1" si="12"/>
        <v>806.59919558448007</v>
      </c>
      <c r="K60" s="624">
        <f ca="1">IF(VLOOKUP($H60,CF!$A$4:$K$29,11,FALSE)/12&gt;(I60+J60),-(I60+J60),(-VLOOKUP($H60,CF!$A$4:$K$29,11,FALSE)/12))</f>
        <v>2399.2839792424079</v>
      </c>
      <c r="L60" s="702">
        <f t="shared" ca="1" si="13"/>
        <v>152116.50389811551</v>
      </c>
    </row>
    <row r="61" spans="1:12" ht="16.149999999999999" customHeight="1" x14ac:dyDescent="0.45">
      <c r="A61" s="700">
        <f t="shared" ca="1" si="9"/>
        <v>4</v>
      </c>
      <c r="B61" s="701">
        <f t="shared" ca="1" si="14"/>
        <v>38</v>
      </c>
      <c r="C61" s="624">
        <f t="shared" ca="1" si="15"/>
        <v>501818.16589537845</v>
      </c>
      <c r="D61" s="698">
        <f ca="1">IF($A61=0,0,IF(SUMIF(CF!$A$5:$A$29,($A61+2),CF!$G$5:$G$29)/12&gt;C61,-C61,-SUMIF(CF!$A$5:$A$29,($A61+2),CF!$G$5:$G$29)/12))</f>
        <v>-13082.984725780128</v>
      </c>
      <c r="E61" s="624">
        <f t="shared" ca="1" si="10"/>
        <v>488735.18116959831</v>
      </c>
      <c r="F61" s="702">
        <f t="shared" ca="1" si="11"/>
        <v>2718.1817319332999</v>
      </c>
      <c r="H61" s="514">
        <f t="shared" si="8"/>
        <v>6</v>
      </c>
      <c r="I61" s="626">
        <f t="shared" ca="1" si="16"/>
        <v>152116.50389811551</v>
      </c>
      <c r="J61" s="698">
        <f t="shared" ca="1" si="12"/>
        <v>823.96439611479229</v>
      </c>
      <c r="K61" s="624">
        <f ca="1">IF(VLOOKUP($H61,CF!$A$4:$K$29,11,FALSE)/12&gt;(I61+J61),-(I61+J61),(-VLOOKUP($H61,CF!$A$4:$K$29,11,FALSE)/12))</f>
        <v>2399.2839792424079</v>
      </c>
      <c r="L61" s="702">
        <f t="shared" ca="1" si="13"/>
        <v>155339.7522734727</v>
      </c>
    </row>
    <row r="62" spans="1:12" ht="16.149999999999999" customHeight="1" x14ac:dyDescent="0.45">
      <c r="A62" s="700">
        <f t="shared" ca="1" si="9"/>
        <v>4</v>
      </c>
      <c r="B62" s="701">
        <f t="shared" ca="1" si="14"/>
        <v>39</v>
      </c>
      <c r="C62" s="624">
        <f t="shared" ca="1" si="15"/>
        <v>488735.18116959831</v>
      </c>
      <c r="D62" s="698">
        <f ca="1">IF($A62=0,0,IF(SUMIF(CF!$A$5:$A$29,($A62+2),CF!$G$5:$G$29)/12&gt;C62,-C62,-SUMIF(CF!$A$5:$A$29,($A62+2),CF!$G$5:$G$29)/12))</f>
        <v>-13082.984725780128</v>
      </c>
      <c r="E62" s="624">
        <f t="shared" ca="1" si="10"/>
        <v>475652.19644381816</v>
      </c>
      <c r="F62" s="702">
        <f t="shared" ca="1" si="11"/>
        <v>2647.3155646686578</v>
      </c>
      <c r="H62" s="514">
        <f t="shared" si="8"/>
        <v>6</v>
      </c>
      <c r="I62" s="626">
        <f t="shared" ca="1" si="16"/>
        <v>155339.7522734727</v>
      </c>
      <c r="J62" s="698">
        <f t="shared" ca="1" si="12"/>
        <v>841.42365814797711</v>
      </c>
      <c r="K62" s="624">
        <f ca="1">IF(VLOOKUP($H62,CF!$A$4:$K$29,11,FALSE)/12&gt;(I62+J62),-(I62+J62),(-VLOOKUP($H62,CF!$A$4:$K$29,11,FALSE)/12))</f>
        <v>2399.2839792424079</v>
      </c>
      <c r="L62" s="702">
        <f t="shared" ca="1" si="13"/>
        <v>158580.45991086308</v>
      </c>
    </row>
    <row r="63" spans="1:12" ht="16.149999999999999" customHeight="1" x14ac:dyDescent="0.45">
      <c r="A63" s="700">
        <f t="shared" ca="1" si="9"/>
        <v>4</v>
      </c>
      <c r="B63" s="701">
        <f t="shared" ca="1" si="14"/>
        <v>40</v>
      </c>
      <c r="C63" s="624">
        <f t="shared" ca="1" si="15"/>
        <v>475652.19644381816</v>
      </c>
      <c r="D63" s="698">
        <f ca="1">IF($A63=0,0,IF(SUMIF(CF!$A$5:$A$29,($A63+2),CF!$G$5:$G$29)/12&gt;C63,-C63,-SUMIF(CF!$A$5:$A$29,($A63+2),CF!$G$5:$G$29)/12))</f>
        <v>-13082.984725780128</v>
      </c>
      <c r="E63" s="624">
        <f t="shared" ca="1" si="10"/>
        <v>462569.21171803802</v>
      </c>
      <c r="F63" s="702">
        <f t="shared" ca="1" si="11"/>
        <v>2576.4493974040151</v>
      </c>
      <c r="H63" s="514">
        <f t="shared" si="8"/>
        <v>6</v>
      </c>
      <c r="I63" s="626">
        <f t="shared" ca="1" si="16"/>
        <v>158580.45991086308</v>
      </c>
      <c r="J63" s="698">
        <f t="shared" ca="1" si="12"/>
        <v>858.97749118384172</v>
      </c>
      <c r="K63" s="624">
        <f ca="1">IF(VLOOKUP($H63,CF!$A$4:$K$29,11,FALSE)/12&gt;(I63+J63),-(I63+J63),(-VLOOKUP($H63,CF!$A$4:$K$29,11,FALSE)/12))</f>
        <v>2399.2839792424079</v>
      </c>
      <c r="L63" s="702">
        <f t="shared" ca="1" si="13"/>
        <v>161838.72138128933</v>
      </c>
    </row>
    <row r="64" spans="1:12" ht="16.149999999999999" customHeight="1" x14ac:dyDescent="0.45">
      <c r="A64" s="700">
        <f t="shared" ca="1" si="9"/>
        <v>4</v>
      </c>
      <c r="B64" s="701">
        <f t="shared" ca="1" si="14"/>
        <v>41</v>
      </c>
      <c r="C64" s="624">
        <f t="shared" ca="1" si="15"/>
        <v>462569.21171803802</v>
      </c>
      <c r="D64" s="698">
        <f ca="1">IF($A64=0,0,IF(SUMIF(CF!$A$5:$A$29,($A64+2),CF!$G$5:$G$29)/12&gt;C64,-C64,-SUMIF(CF!$A$5:$A$29,($A64+2),CF!$G$5:$G$29)/12))</f>
        <v>-13082.984725780128</v>
      </c>
      <c r="E64" s="624">
        <f t="shared" ca="1" si="10"/>
        <v>449486.22699225787</v>
      </c>
      <c r="F64" s="702">
        <f t="shared" ca="1" si="11"/>
        <v>2505.5832301393725</v>
      </c>
      <c r="H64" s="514">
        <f t="shared" si="8"/>
        <v>6</v>
      </c>
      <c r="I64" s="626">
        <f t="shared" ca="1" si="16"/>
        <v>161838.72138128933</v>
      </c>
      <c r="J64" s="698">
        <f t="shared" ca="1" si="12"/>
        <v>876.62640748198385</v>
      </c>
      <c r="K64" s="624">
        <f ca="1">IF(VLOOKUP($H64,CF!$A$4:$K$29,11,FALSE)/12&gt;(I64+J64),-(I64+J64),(-VLOOKUP($H64,CF!$A$4:$K$29,11,FALSE)/12))</f>
        <v>2399.2839792424079</v>
      </c>
      <c r="L64" s="702">
        <f t="shared" ca="1" si="13"/>
        <v>165114.63176801373</v>
      </c>
    </row>
    <row r="65" spans="1:12" ht="16.149999999999999" customHeight="1" x14ac:dyDescent="0.45">
      <c r="A65" s="700">
        <f t="shared" ca="1" si="9"/>
        <v>4</v>
      </c>
      <c r="B65" s="701">
        <f t="shared" ca="1" si="14"/>
        <v>42</v>
      </c>
      <c r="C65" s="624">
        <f t="shared" ca="1" si="15"/>
        <v>449486.22699225787</v>
      </c>
      <c r="D65" s="698">
        <f ca="1">IF($A65=0,0,IF(SUMIF(CF!$A$5:$A$29,($A65+2),CF!$G$5:$G$29)/12&gt;C65,-C65,-SUMIF(CF!$A$5:$A$29,($A65+2),CF!$G$5:$G$29)/12))</f>
        <v>-13082.984725780128</v>
      </c>
      <c r="E65" s="624">
        <f t="shared" ca="1" si="10"/>
        <v>436403.24226647773</v>
      </c>
      <c r="F65" s="702">
        <f t="shared" ca="1" si="11"/>
        <v>2434.7170628747303</v>
      </c>
      <c r="H65" s="514">
        <f t="shared" si="8"/>
        <v>6</v>
      </c>
      <c r="I65" s="626">
        <f t="shared" ca="1" si="16"/>
        <v>165114.63176801373</v>
      </c>
      <c r="J65" s="698">
        <f t="shared" ca="1" si="12"/>
        <v>894.37092207674107</v>
      </c>
      <c r="K65" s="624">
        <f ca="1">IF(VLOOKUP($H65,CF!$A$4:$K$29,11,FALSE)/12&gt;(I65+J65),-(I65+J65),(-VLOOKUP($H65,CF!$A$4:$K$29,11,FALSE)/12))</f>
        <v>2399.2839792424079</v>
      </c>
      <c r="L65" s="702">
        <f t="shared" ca="1" si="13"/>
        <v>168408.28666933288</v>
      </c>
    </row>
    <row r="66" spans="1:12" ht="16.149999999999999" customHeight="1" x14ac:dyDescent="0.45">
      <c r="A66" s="700">
        <f t="shared" ca="1" si="9"/>
        <v>4</v>
      </c>
      <c r="B66" s="701">
        <f t="shared" ca="1" si="14"/>
        <v>43</v>
      </c>
      <c r="C66" s="624">
        <f t="shared" ca="1" si="15"/>
        <v>436403.24226647773</v>
      </c>
      <c r="D66" s="698">
        <f ca="1">IF($A66=0,0,IF(SUMIF(CF!$A$5:$A$29,($A66+2),CF!$G$5:$G$29)/12&gt;C66,-C66,-SUMIF(CF!$A$5:$A$29,($A66+2),CF!$G$5:$G$29)/12))</f>
        <v>-13082.984725780128</v>
      </c>
      <c r="E66" s="624">
        <f t="shared" ca="1" si="10"/>
        <v>423320.25754069758</v>
      </c>
      <c r="F66" s="702">
        <f t="shared" ca="1" si="11"/>
        <v>2363.8508956100877</v>
      </c>
      <c r="H66" s="514">
        <f t="shared" si="8"/>
        <v>6</v>
      </c>
      <c r="I66" s="626">
        <f t="shared" ca="1" si="16"/>
        <v>168408.28666933288</v>
      </c>
      <c r="J66" s="698">
        <f t="shared" ca="1" si="12"/>
        <v>912.21155279221978</v>
      </c>
      <c r="K66" s="624">
        <f ca="1">IF(VLOOKUP($H66,CF!$A$4:$K$29,11,FALSE)/12&gt;(I66+J66),-(I66+J66),(-VLOOKUP($H66,CF!$A$4:$K$29,11,FALSE)/12))</f>
        <v>2399.2839792424079</v>
      </c>
      <c r="L66" s="702">
        <f t="shared" ca="1" si="13"/>
        <v>171719.78220136752</v>
      </c>
    </row>
    <row r="67" spans="1:12" ht="16.149999999999999" customHeight="1" x14ac:dyDescent="0.45">
      <c r="A67" s="700">
        <f t="shared" ca="1" si="9"/>
        <v>4</v>
      </c>
      <c r="B67" s="701">
        <f t="shared" ca="1" si="14"/>
        <v>44</v>
      </c>
      <c r="C67" s="624">
        <f t="shared" ca="1" si="15"/>
        <v>423320.25754069758</v>
      </c>
      <c r="D67" s="698">
        <f ca="1">IF($A67=0,0,IF(SUMIF(CF!$A$5:$A$29,($A67+2),CF!$G$5:$G$29)/12&gt;C67,-C67,-SUMIF(CF!$A$5:$A$29,($A67+2),CF!$G$5:$G$29)/12))</f>
        <v>-13082.984725780128</v>
      </c>
      <c r="E67" s="624">
        <f t="shared" ca="1" si="10"/>
        <v>410237.27281491744</v>
      </c>
      <c r="F67" s="702">
        <f t="shared" ca="1" si="11"/>
        <v>2292.9847283454451</v>
      </c>
      <c r="H67" s="514">
        <f t="shared" si="8"/>
        <v>6</v>
      </c>
      <c r="I67" s="626">
        <f t="shared" ca="1" si="16"/>
        <v>171719.78220136752</v>
      </c>
      <c r="J67" s="698">
        <f t="shared" ca="1" si="12"/>
        <v>930.14882025740735</v>
      </c>
      <c r="K67" s="624">
        <f ca="1">IF(VLOOKUP($H67,CF!$A$4:$K$29,11,FALSE)/12&gt;(I67+J67),-(I67+J67),(-VLOOKUP($H67,CF!$A$4:$K$29,11,FALSE)/12))</f>
        <v>2399.2839792424079</v>
      </c>
      <c r="L67" s="702">
        <f t="shared" ca="1" si="13"/>
        <v>175049.21500086732</v>
      </c>
    </row>
    <row r="68" spans="1:12" ht="16.149999999999999" customHeight="1" x14ac:dyDescent="0.45">
      <c r="A68" s="700">
        <f t="shared" ca="1" si="9"/>
        <v>4</v>
      </c>
      <c r="B68" s="701">
        <f t="shared" ca="1" si="14"/>
        <v>45</v>
      </c>
      <c r="C68" s="624">
        <f t="shared" ca="1" si="15"/>
        <v>410237.27281491744</v>
      </c>
      <c r="D68" s="698">
        <f ca="1">IF($A68=0,0,IF(SUMIF(CF!$A$5:$A$29,($A68+2),CF!$G$5:$G$29)/12&gt;C68,-C68,-SUMIF(CF!$A$5:$A$29,($A68+2),CF!$G$5:$G$29)/12))</f>
        <v>-13082.984725780128</v>
      </c>
      <c r="E68" s="624">
        <f t="shared" ca="1" si="10"/>
        <v>397154.28808913729</v>
      </c>
      <c r="F68" s="702">
        <f t="shared" ca="1" si="11"/>
        <v>2222.1185610808029</v>
      </c>
      <c r="H68" s="514">
        <f t="shared" si="8"/>
        <v>6</v>
      </c>
      <c r="I68" s="626">
        <f t="shared" ca="1" si="16"/>
        <v>175049.21500086732</v>
      </c>
      <c r="J68" s="698">
        <f t="shared" ca="1" si="12"/>
        <v>948.18324792136457</v>
      </c>
      <c r="K68" s="624">
        <f ca="1">IF(VLOOKUP($H68,CF!$A$4:$K$29,11,FALSE)/12&gt;(I68+J68),-(I68+J68),(-VLOOKUP($H68,CF!$A$4:$K$29,11,FALSE)/12))</f>
        <v>2399.2839792424079</v>
      </c>
      <c r="L68" s="702">
        <f t="shared" ca="1" si="13"/>
        <v>178396.6822280311</v>
      </c>
    </row>
    <row r="69" spans="1:12" ht="16.149999999999999" customHeight="1" x14ac:dyDescent="0.45">
      <c r="A69" s="700">
        <f t="shared" ca="1" si="9"/>
        <v>4</v>
      </c>
      <c r="B69" s="701">
        <f t="shared" ca="1" si="14"/>
        <v>46</v>
      </c>
      <c r="C69" s="624">
        <f t="shared" ca="1" si="15"/>
        <v>397154.28808913729</v>
      </c>
      <c r="D69" s="698">
        <f ca="1">IF($A69=0,0,IF(SUMIF(CF!$A$5:$A$29,($A69+2),CF!$G$5:$G$29)/12&gt;C69,-C69,-SUMIF(CF!$A$5:$A$29,($A69+2),CF!$G$5:$G$29)/12))</f>
        <v>-13082.984725780128</v>
      </c>
      <c r="E69" s="624">
        <f t="shared" ca="1" si="10"/>
        <v>384071.30336335715</v>
      </c>
      <c r="F69" s="702">
        <f t="shared" ca="1" si="11"/>
        <v>2151.2523938161603</v>
      </c>
      <c r="H69" s="514">
        <f t="shared" si="8"/>
        <v>6</v>
      </c>
      <c r="I69" s="626">
        <f t="shared" ca="1" si="16"/>
        <v>178396.6822280311</v>
      </c>
      <c r="J69" s="698">
        <f t="shared" ca="1" si="12"/>
        <v>966.31536206850194</v>
      </c>
      <c r="K69" s="624">
        <f ca="1">IF(VLOOKUP($H69,CF!$A$4:$K$29,11,FALSE)/12&gt;(I69+J69),-(I69+J69),(-VLOOKUP($H69,CF!$A$4:$K$29,11,FALSE)/12))</f>
        <v>2399.2839792424079</v>
      </c>
      <c r="L69" s="702">
        <f t="shared" ca="1" si="13"/>
        <v>181762.28156934201</v>
      </c>
    </row>
    <row r="70" spans="1:12" ht="16.149999999999999" customHeight="1" x14ac:dyDescent="0.45">
      <c r="A70" s="700">
        <f t="shared" ca="1" si="9"/>
        <v>4</v>
      </c>
      <c r="B70" s="701">
        <f t="shared" ca="1" si="14"/>
        <v>47</v>
      </c>
      <c r="C70" s="624">
        <f t="shared" ca="1" si="15"/>
        <v>384071.30336335715</v>
      </c>
      <c r="D70" s="698">
        <f ca="1">IF($A70=0,0,IF(SUMIF(CF!$A$5:$A$29,($A70+2),CF!$G$5:$G$29)/12&gt;C70,-C70,-SUMIF(CF!$A$5:$A$29,($A70+2),CF!$G$5:$G$29)/12))</f>
        <v>-13082.984725780128</v>
      </c>
      <c r="E70" s="624">
        <f t="shared" ca="1" si="10"/>
        <v>370988.318637577</v>
      </c>
      <c r="F70" s="702">
        <f t="shared" ca="1" si="11"/>
        <v>2080.3862265515177</v>
      </c>
      <c r="H70" s="514">
        <f t="shared" si="8"/>
        <v>6</v>
      </c>
      <c r="I70" s="626">
        <f t="shared" ca="1" si="16"/>
        <v>181762.28156934201</v>
      </c>
      <c r="J70" s="698">
        <f t="shared" ca="1" si="12"/>
        <v>984.54569183393596</v>
      </c>
      <c r="K70" s="624">
        <f ca="1">IF(VLOOKUP($H70,CF!$A$4:$K$29,11,FALSE)/12&gt;(I70+J70),-(I70+J70),(-VLOOKUP($H70,CF!$A$4:$K$29,11,FALSE)/12))</f>
        <v>2399.2839792424079</v>
      </c>
      <c r="L70" s="702">
        <f t="shared" ca="1" si="13"/>
        <v>185146.11124041837</v>
      </c>
    </row>
    <row r="71" spans="1:12" ht="16.149999999999999" customHeight="1" x14ac:dyDescent="0.45">
      <c r="A71" s="700">
        <f t="shared" ca="1" si="9"/>
        <v>4</v>
      </c>
      <c r="B71" s="701">
        <f t="shared" ca="1" si="14"/>
        <v>48</v>
      </c>
      <c r="C71" s="624">
        <f t="shared" ca="1" si="15"/>
        <v>370988.318637577</v>
      </c>
      <c r="D71" s="698">
        <f ca="1">IF($A71=0,0,IF(SUMIF(CF!$A$5:$A$29,($A71+2),CF!$G$5:$G$29)/12&gt;C71,-C71,-SUMIF(CF!$A$5:$A$29,($A71+2),CF!$G$5:$G$29)/12))</f>
        <v>-13082.984725780128</v>
      </c>
      <c r="E71" s="624">
        <f t="shared" ca="1" si="10"/>
        <v>357905.33391179686</v>
      </c>
      <c r="F71" s="702">
        <f t="shared" ca="1" si="11"/>
        <v>2009.5200592868757</v>
      </c>
      <c r="H71" s="514">
        <f t="shared" si="8"/>
        <v>6</v>
      </c>
      <c r="I71" s="626">
        <f t="shared" ca="1" si="16"/>
        <v>185146.11124041837</v>
      </c>
      <c r="J71" s="698">
        <f t="shared" ca="1" si="12"/>
        <v>1002.8747692189328</v>
      </c>
      <c r="K71" s="624">
        <f ca="1">IF(VLOOKUP($H71,CF!$A$4:$K$29,11,FALSE)/12&gt;(I71+J71),-(I71+J71),(-VLOOKUP($H71,CF!$A$4:$K$29,11,FALSE)/12))</f>
        <v>2399.2839792424079</v>
      </c>
      <c r="L71" s="702">
        <f t="shared" ca="1" si="13"/>
        <v>188548.26998887971</v>
      </c>
    </row>
    <row r="72" spans="1:12" ht="16.149999999999999" customHeight="1" x14ac:dyDescent="0.45">
      <c r="A72" s="700">
        <f t="shared" ca="1" si="9"/>
        <v>5</v>
      </c>
      <c r="B72" s="701">
        <f t="shared" ca="1" si="14"/>
        <v>49</v>
      </c>
      <c r="C72" s="624">
        <f t="shared" ca="1" si="15"/>
        <v>357905.33391179686</v>
      </c>
      <c r="D72" s="698">
        <f ca="1">IF($A72=0,0,IF(SUMIF(CF!$A$5:$A$29,($A72+2),CF!$G$5:$G$29)/12&gt;C72,-C72,-SUMIF(CF!$A$5:$A$29,($A72+2),CF!$G$5:$G$29)/12))</f>
        <v>-15321.105097320484</v>
      </c>
      <c r="E72" s="624">
        <f t="shared" ca="1" si="10"/>
        <v>342584.2288144764</v>
      </c>
      <c r="F72" s="702">
        <f t="shared" ca="1" si="11"/>
        <v>1938.6538920222331</v>
      </c>
      <c r="H72" s="514">
        <f t="shared" si="8"/>
        <v>7</v>
      </c>
      <c r="I72" s="626">
        <f t="shared" ca="1" si="16"/>
        <v>188548.26998887971</v>
      </c>
      <c r="J72" s="698">
        <f t="shared" ca="1" si="12"/>
        <v>1021.3031291064318</v>
      </c>
      <c r="K72" s="624">
        <f ca="1">IF(VLOOKUP($H72,CF!$A$4:$K$29,11,FALSE)/12&gt;(I72+J72),-(I72+J72),(-VLOOKUP($H72,CF!$A$4:$K$29,11,FALSE)/12))</f>
        <v>1482.2126359978938</v>
      </c>
      <c r="L72" s="702">
        <f t="shared" ca="1" si="13"/>
        <v>191051.78575398403</v>
      </c>
    </row>
    <row r="73" spans="1:12" ht="16.149999999999999" customHeight="1" x14ac:dyDescent="0.45">
      <c r="A73" s="700">
        <f t="shared" ca="1" si="9"/>
        <v>5</v>
      </c>
      <c r="B73" s="701">
        <f t="shared" ca="1" si="14"/>
        <v>50</v>
      </c>
      <c r="C73" s="624">
        <f t="shared" ca="1" si="15"/>
        <v>342584.2288144764</v>
      </c>
      <c r="D73" s="698">
        <f ca="1">IF($A73=0,0,IF(SUMIF(CF!$A$5:$A$29,($A73+2),CF!$G$5:$G$29)/12&gt;C73,-C73,-SUMIF(CF!$A$5:$A$29,($A73+2),CF!$G$5:$G$29)/12))</f>
        <v>-15321.105097320484</v>
      </c>
      <c r="E73" s="624">
        <f t="shared" ca="1" si="10"/>
        <v>327263.12371715589</v>
      </c>
      <c r="F73" s="702">
        <f t="shared" ca="1" si="11"/>
        <v>1855.6645727450805</v>
      </c>
      <c r="H73" s="514">
        <f t="shared" si="8"/>
        <v>7</v>
      </c>
      <c r="I73" s="626">
        <f t="shared" ca="1" si="16"/>
        <v>191051.78575398403</v>
      </c>
      <c r="J73" s="698">
        <f t="shared" ca="1" si="12"/>
        <v>1034.8638395007467</v>
      </c>
      <c r="K73" s="624">
        <f ca="1">IF(VLOOKUP($H73,CF!$A$4:$K$29,11,FALSE)/12&gt;(I73+J73),-(I73+J73),(-VLOOKUP($H73,CF!$A$4:$K$29,11,FALSE)/12))</f>
        <v>1482.2126359978938</v>
      </c>
      <c r="L73" s="702">
        <f t="shared" ca="1" si="13"/>
        <v>193568.86222948268</v>
      </c>
    </row>
    <row r="74" spans="1:12" ht="16.149999999999999" customHeight="1" x14ac:dyDescent="0.45">
      <c r="A74" s="700">
        <f t="shared" ca="1" si="9"/>
        <v>5</v>
      </c>
      <c r="B74" s="701">
        <f t="shared" ca="1" si="14"/>
        <v>51</v>
      </c>
      <c r="C74" s="624">
        <f t="shared" ca="1" si="15"/>
        <v>327263.12371715589</v>
      </c>
      <c r="D74" s="698">
        <f ca="1">IF($A74=0,0,IF(SUMIF(CF!$A$5:$A$29,($A74+2),CF!$G$5:$G$29)/12&gt;C74,-C74,-SUMIF(CF!$A$5:$A$29,($A74+2),CF!$G$5:$G$29)/12))</f>
        <v>-15321.105097320484</v>
      </c>
      <c r="E74" s="624">
        <f t="shared" ca="1" si="10"/>
        <v>311942.01861983538</v>
      </c>
      <c r="F74" s="702">
        <f t="shared" ca="1" si="11"/>
        <v>1772.6752534679279</v>
      </c>
      <c r="H74" s="514">
        <f t="shared" si="8"/>
        <v>7</v>
      </c>
      <c r="I74" s="626">
        <f t="shared" ca="1" si="16"/>
        <v>193568.86222948268</v>
      </c>
      <c r="J74" s="698">
        <f t="shared" ca="1" si="12"/>
        <v>1048.4980037430312</v>
      </c>
      <c r="K74" s="624">
        <f ca="1">IF(VLOOKUP($H74,CF!$A$4:$K$29,11,FALSE)/12&gt;(I74+J74),-(I74+J74),(-VLOOKUP($H74,CF!$A$4:$K$29,11,FALSE)/12))</f>
        <v>1482.2126359978938</v>
      </c>
      <c r="L74" s="702">
        <f t="shared" ca="1" si="13"/>
        <v>196099.5728692236</v>
      </c>
    </row>
    <row r="75" spans="1:12" ht="16.149999999999999" customHeight="1" x14ac:dyDescent="0.45">
      <c r="A75" s="700">
        <f t="shared" ca="1" si="9"/>
        <v>5</v>
      </c>
      <c r="B75" s="701">
        <f t="shared" ca="1" si="14"/>
        <v>52</v>
      </c>
      <c r="C75" s="624">
        <f t="shared" ca="1" si="15"/>
        <v>311942.01861983538</v>
      </c>
      <c r="D75" s="698">
        <f ca="1">IF($A75=0,0,IF(SUMIF(CF!$A$5:$A$29,($A75+2),CF!$G$5:$G$29)/12&gt;C75,-C75,-SUMIF(CF!$A$5:$A$29,($A75+2),CF!$G$5:$G$29)/12))</f>
        <v>-15321.105097320484</v>
      </c>
      <c r="E75" s="624">
        <f t="shared" ca="1" si="10"/>
        <v>296620.91352251486</v>
      </c>
      <c r="F75" s="702">
        <f t="shared" ca="1" si="11"/>
        <v>1689.685934190775</v>
      </c>
      <c r="H75" s="514">
        <f t="shared" si="8"/>
        <v>7</v>
      </c>
      <c r="I75" s="626">
        <f t="shared" ca="1" si="16"/>
        <v>196099.5728692236</v>
      </c>
      <c r="J75" s="698">
        <f t="shared" ca="1" si="12"/>
        <v>1062.2060197082944</v>
      </c>
      <c r="K75" s="624">
        <f ca="1">IF(VLOOKUP($H75,CF!$A$4:$K$29,11,FALSE)/12&gt;(I75+J75),-(I75+J75),(-VLOOKUP($H75,CF!$A$4:$K$29,11,FALSE)/12))</f>
        <v>1482.2126359978938</v>
      </c>
      <c r="L75" s="702">
        <f t="shared" ca="1" si="13"/>
        <v>198643.99152492979</v>
      </c>
    </row>
    <row r="76" spans="1:12" ht="16.149999999999999" customHeight="1" x14ac:dyDescent="0.45">
      <c r="A76" s="700">
        <f t="shared" ca="1" si="9"/>
        <v>5</v>
      </c>
      <c r="B76" s="701">
        <f t="shared" ca="1" si="14"/>
        <v>53</v>
      </c>
      <c r="C76" s="624">
        <f t="shared" ca="1" si="15"/>
        <v>296620.91352251486</v>
      </c>
      <c r="D76" s="698">
        <f ca="1">IF($A76=0,0,IF(SUMIF(CF!$A$5:$A$29,($A76+2),CF!$G$5:$G$29)/12&gt;C76,-C76,-SUMIF(CF!$A$5:$A$29,($A76+2),CF!$G$5:$G$29)/12))</f>
        <v>-15321.105097320484</v>
      </c>
      <c r="E76" s="624">
        <f t="shared" ca="1" si="10"/>
        <v>281299.80842519435</v>
      </c>
      <c r="F76" s="702">
        <f t="shared" ca="1" si="11"/>
        <v>1606.6966149136222</v>
      </c>
      <c r="H76" s="514">
        <f t="shared" si="8"/>
        <v>7</v>
      </c>
      <c r="I76" s="626">
        <f t="shared" ca="1" si="16"/>
        <v>198643.99152492979</v>
      </c>
      <c r="J76" s="698">
        <f t="shared" ca="1" si="12"/>
        <v>1075.988287426703</v>
      </c>
      <c r="K76" s="624">
        <f ca="1">IF(VLOOKUP($H76,CF!$A$4:$K$29,11,FALSE)/12&gt;(I76+J76),-(I76+J76),(-VLOOKUP($H76,CF!$A$4:$K$29,11,FALSE)/12))</f>
        <v>1482.2126359978938</v>
      </c>
      <c r="L76" s="702">
        <f t="shared" ca="1" si="13"/>
        <v>201202.19244835438</v>
      </c>
    </row>
    <row r="77" spans="1:12" ht="16.149999999999999" customHeight="1" x14ac:dyDescent="0.45">
      <c r="A77" s="700">
        <f t="shared" ca="1" si="9"/>
        <v>5</v>
      </c>
      <c r="B77" s="701">
        <f t="shared" ca="1" si="14"/>
        <v>54</v>
      </c>
      <c r="C77" s="624">
        <f t="shared" ca="1" si="15"/>
        <v>281299.80842519435</v>
      </c>
      <c r="D77" s="698">
        <f ca="1">IF($A77=0,0,IF(SUMIF(CF!$A$5:$A$29,($A77+2),CF!$G$5:$G$29)/12&gt;C77,-C77,-SUMIF(CF!$A$5:$A$29,($A77+2),CF!$G$5:$G$29)/12))</f>
        <v>-15321.105097320484</v>
      </c>
      <c r="E77" s="624">
        <f t="shared" ca="1" si="10"/>
        <v>265978.70332787384</v>
      </c>
      <c r="F77" s="702">
        <f t="shared" ca="1" si="11"/>
        <v>1523.7072956364693</v>
      </c>
      <c r="H77" s="514">
        <f t="shared" si="8"/>
        <v>7</v>
      </c>
      <c r="I77" s="626">
        <f t="shared" ca="1" si="16"/>
        <v>201202.19244835438</v>
      </c>
      <c r="J77" s="698">
        <f t="shared" ca="1" si="12"/>
        <v>1089.845209095253</v>
      </c>
      <c r="K77" s="624">
        <f ca="1">IF(VLOOKUP($H77,CF!$A$4:$K$29,11,FALSE)/12&gt;(I77+J77),-(I77+J77),(-VLOOKUP($H77,CF!$A$4:$K$29,11,FALSE)/12))</f>
        <v>1482.2126359978938</v>
      </c>
      <c r="L77" s="702">
        <f t="shared" ca="1" si="13"/>
        <v>203774.25029344752</v>
      </c>
    </row>
    <row r="78" spans="1:12" ht="16.149999999999999" customHeight="1" x14ac:dyDescent="0.45">
      <c r="A78" s="700">
        <f t="shared" ca="1" si="9"/>
        <v>5</v>
      </c>
      <c r="B78" s="701">
        <f t="shared" ca="1" si="14"/>
        <v>55</v>
      </c>
      <c r="C78" s="624">
        <f t="shared" ca="1" si="15"/>
        <v>265978.70332787384</v>
      </c>
      <c r="D78" s="698">
        <f ca="1">IF($A78=0,0,IF(SUMIF(CF!$A$5:$A$29,($A78+2),CF!$G$5:$G$29)/12&gt;C78,-C78,-SUMIF(CF!$A$5:$A$29,($A78+2),CF!$G$5:$G$29)/12))</f>
        <v>-15321.105097320484</v>
      </c>
      <c r="E78" s="624">
        <f t="shared" ca="1" si="10"/>
        <v>250657.59823055335</v>
      </c>
      <c r="F78" s="702">
        <f t="shared" ca="1" si="11"/>
        <v>1440.7179763593167</v>
      </c>
      <c r="H78" s="514">
        <f t="shared" si="8"/>
        <v>7</v>
      </c>
      <c r="I78" s="626">
        <f t="shared" ca="1" si="16"/>
        <v>203774.25029344752</v>
      </c>
      <c r="J78" s="698">
        <f t="shared" ca="1" si="12"/>
        <v>1103.7771890895074</v>
      </c>
      <c r="K78" s="624">
        <f ca="1">IF(VLOOKUP($H78,CF!$A$4:$K$29,11,FALSE)/12&gt;(I78+J78),-(I78+J78),(-VLOOKUP($H78,CF!$A$4:$K$29,11,FALSE)/12))</f>
        <v>1482.2126359978938</v>
      </c>
      <c r="L78" s="702">
        <f t="shared" ca="1" si="13"/>
        <v>206360.24011853492</v>
      </c>
    </row>
    <row r="79" spans="1:12" ht="16.149999999999999" customHeight="1" x14ac:dyDescent="0.45">
      <c r="A79" s="700">
        <f t="shared" ca="1" si="9"/>
        <v>5</v>
      </c>
      <c r="B79" s="701">
        <f t="shared" ca="1" si="14"/>
        <v>56</v>
      </c>
      <c r="C79" s="624">
        <f t="shared" ca="1" si="15"/>
        <v>250657.59823055335</v>
      </c>
      <c r="D79" s="698">
        <f ca="1">IF($A79=0,0,IF(SUMIF(CF!$A$5:$A$29,($A79+2),CF!$G$5:$G$29)/12&gt;C79,-C79,-SUMIF(CF!$A$5:$A$29,($A79+2),CF!$G$5:$G$29)/12))</f>
        <v>-15321.105097320484</v>
      </c>
      <c r="E79" s="624">
        <f t="shared" ca="1" si="10"/>
        <v>235336.49313323287</v>
      </c>
      <c r="F79" s="702">
        <f t="shared" ca="1" si="11"/>
        <v>1357.7286570821641</v>
      </c>
      <c r="H79" s="514">
        <f t="shared" si="8"/>
        <v>7</v>
      </c>
      <c r="I79" s="626">
        <f t="shared" ca="1" si="16"/>
        <v>206360.24011853492</v>
      </c>
      <c r="J79" s="698">
        <f t="shared" ca="1" si="12"/>
        <v>1117.7846339753976</v>
      </c>
      <c r="K79" s="624">
        <f ca="1">IF(VLOOKUP($H79,CF!$A$4:$K$29,11,FALSE)/12&gt;(I79+J79),-(I79+J79),(-VLOOKUP($H79,CF!$A$4:$K$29,11,FALSE)/12))</f>
        <v>1482.2126359978938</v>
      </c>
      <c r="L79" s="702">
        <f t="shared" ca="1" si="13"/>
        <v>208960.23738850819</v>
      </c>
    </row>
    <row r="80" spans="1:12" ht="16.149999999999999" customHeight="1" x14ac:dyDescent="0.45">
      <c r="A80" s="700">
        <f t="shared" ca="1" si="9"/>
        <v>5</v>
      </c>
      <c r="B80" s="701">
        <f t="shared" ca="1" si="14"/>
        <v>57</v>
      </c>
      <c r="C80" s="624">
        <f t="shared" ca="1" si="15"/>
        <v>235336.49313323287</v>
      </c>
      <c r="D80" s="698">
        <f ca="1">IF($A80=0,0,IF(SUMIF(CF!$A$5:$A$29,($A80+2),CF!$G$5:$G$29)/12&gt;C80,-C80,-SUMIF(CF!$A$5:$A$29,($A80+2),CF!$G$5:$G$29)/12))</f>
        <v>-15321.105097320484</v>
      </c>
      <c r="E80" s="624">
        <f t="shared" ca="1" si="10"/>
        <v>220015.38803591239</v>
      </c>
      <c r="F80" s="702">
        <f t="shared" ca="1" si="11"/>
        <v>1274.7393378050115</v>
      </c>
      <c r="H80" s="514">
        <f t="shared" si="8"/>
        <v>7</v>
      </c>
      <c r="I80" s="626">
        <f t="shared" ca="1" si="16"/>
        <v>208960.23738850819</v>
      </c>
      <c r="J80" s="698">
        <f t="shared" ca="1" si="12"/>
        <v>1131.8679525210862</v>
      </c>
      <c r="K80" s="624">
        <f ca="1">IF(VLOOKUP($H80,CF!$A$4:$K$29,11,FALSE)/12&gt;(I80+J80),-(I80+J80),(-VLOOKUP($H80,CF!$A$4:$K$29,11,FALSE)/12))</f>
        <v>1482.2126359978938</v>
      </c>
      <c r="L80" s="702">
        <f t="shared" ca="1" si="13"/>
        <v>211574.31797702715</v>
      </c>
    </row>
    <row r="81" spans="1:12" ht="16.149999999999999" customHeight="1" x14ac:dyDescent="0.45">
      <c r="A81" s="700">
        <f t="shared" ca="1" si="9"/>
        <v>5</v>
      </c>
      <c r="B81" s="701">
        <f t="shared" ca="1" si="14"/>
        <v>58</v>
      </c>
      <c r="C81" s="624">
        <f t="shared" ca="1" si="15"/>
        <v>220015.38803591239</v>
      </c>
      <c r="D81" s="698">
        <f ca="1">IF($A81=0,0,IF(SUMIF(CF!$A$5:$A$29,($A81+2),CF!$G$5:$G$29)/12&gt;C81,-C81,-SUMIF(CF!$A$5:$A$29,($A81+2),CF!$G$5:$G$29)/12))</f>
        <v>-15321.105097320484</v>
      </c>
      <c r="E81" s="624">
        <f t="shared" ca="1" si="10"/>
        <v>204694.2829385919</v>
      </c>
      <c r="F81" s="702">
        <f t="shared" ca="1" si="11"/>
        <v>1191.7500185278589</v>
      </c>
      <c r="H81" s="514">
        <f t="shared" si="8"/>
        <v>7</v>
      </c>
      <c r="I81" s="626">
        <f t="shared" ca="1" si="16"/>
        <v>211574.31797702715</v>
      </c>
      <c r="J81" s="698">
        <f t="shared" ca="1" si="12"/>
        <v>1146.0275557088971</v>
      </c>
      <c r="K81" s="624">
        <f ca="1">IF(VLOOKUP($H81,CF!$A$4:$K$29,11,FALSE)/12&gt;(I81+J81),-(I81+J81),(-VLOOKUP($H81,CF!$A$4:$K$29,11,FALSE)/12))</f>
        <v>1482.2126359978938</v>
      </c>
      <c r="L81" s="702">
        <f t="shared" ca="1" si="13"/>
        <v>214202.55816873393</v>
      </c>
    </row>
    <row r="82" spans="1:12" ht="16.149999999999999" customHeight="1" x14ac:dyDescent="0.45">
      <c r="A82" s="700">
        <f t="shared" ca="1" si="9"/>
        <v>5</v>
      </c>
      <c r="B82" s="701">
        <f t="shared" ca="1" si="14"/>
        <v>59</v>
      </c>
      <c r="C82" s="624">
        <f t="shared" ca="1" si="15"/>
        <v>204694.2829385919</v>
      </c>
      <c r="D82" s="698">
        <f ca="1">IF($A82=0,0,IF(SUMIF(CF!$A$5:$A$29,($A82+2),CF!$G$5:$G$29)/12&gt;C82,-C82,-SUMIF(CF!$A$5:$A$29,($A82+2),CF!$G$5:$G$29)/12))</f>
        <v>-15321.105097320484</v>
      </c>
      <c r="E82" s="624">
        <f t="shared" ca="1" si="10"/>
        <v>189373.17784127142</v>
      </c>
      <c r="F82" s="702">
        <f t="shared" ca="1" si="11"/>
        <v>1108.7606992507062</v>
      </c>
      <c r="H82" s="514">
        <f t="shared" si="8"/>
        <v>7</v>
      </c>
      <c r="I82" s="626">
        <f t="shared" ca="1" si="16"/>
        <v>214202.55816873393</v>
      </c>
      <c r="J82" s="698">
        <f t="shared" ca="1" si="12"/>
        <v>1160.2638567473089</v>
      </c>
      <c r="K82" s="624">
        <f ca="1">IF(VLOOKUP($H82,CF!$A$4:$K$29,11,FALSE)/12&gt;(I82+J82),-(I82+J82),(-VLOOKUP($H82,CF!$A$4:$K$29,11,FALSE)/12))</f>
        <v>1482.2126359978938</v>
      </c>
      <c r="L82" s="702">
        <f t="shared" ca="1" si="13"/>
        <v>216845.03466147912</v>
      </c>
    </row>
    <row r="83" spans="1:12" ht="16.149999999999999" customHeight="1" x14ac:dyDescent="0.45">
      <c r="A83" s="700">
        <f t="shared" ca="1" si="9"/>
        <v>5</v>
      </c>
      <c r="B83" s="701">
        <f t="shared" ca="1" si="14"/>
        <v>60</v>
      </c>
      <c r="C83" s="624">
        <f t="shared" ca="1" si="15"/>
        <v>189373.17784127142</v>
      </c>
      <c r="D83" s="698">
        <f ca="1">IF($A83=0,0,IF(SUMIF(CF!$A$5:$A$29,($A83+2),CF!$G$5:$G$29)/12&gt;C83,-C83,-SUMIF(CF!$A$5:$A$29,($A83+2),CF!$G$5:$G$29)/12))</f>
        <v>-15321.105097320484</v>
      </c>
      <c r="E83" s="624">
        <f t="shared" ca="1" si="10"/>
        <v>174052.07274395094</v>
      </c>
      <c r="F83" s="702">
        <f t="shared" ca="1" si="11"/>
        <v>1025.7713799735536</v>
      </c>
      <c r="H83" s="514">
        <f t="shared" si="8"/>
        <v>7</v>
      </c>
      <c r="I83" s="626">
        <f t="shared" ca="1" si="16"/>
        <v>216845.03466147912</v>
      </c>
      <c r="J83" s="698">
        <f t="shared" ca="1" si="12"/>
        <v>1174.577271083012</v>
      </c>
      <c r="K83" s="624">
        <f ca="1">IF(VLOOKUP($H83,CF!$A$4:$K$29,11,FALSE)/12&gt;(I83+J83),-(I83+J83),(-VLOOKUP($H83,CF!$A$4:$K$29,11,FALSE)/12))</f>
        <v>1482.2126359978938</v>
      </c>
      <c r="L83" s="702">
        <f t="shared" ca="1" si="13"/>
        <v>219501.82456856003</v>
      </c>
    </row>
    <row r="84" spans="1:12" ht="16.149999999999999" customHeight="1" x14ac:dyDescent="0.45">
      <c r="A84" s="700">
        <f t="shared" ca="1" si="9"/>
        <v>6</v>
      </c>
      <c r="B84" s="701">
        <f t="shared" ca="1" si="14"/>
        <v>61</v>
      </c>
      <c r="C84" s="624">
        <f t="shared" ca="1" si="15"/>
        <v>174052.07274395094</v>
      </c>
      <c r="D84" s="698">
        <f ca="1">IF($A84=0,0,IF(SUMIF(CF!$A$5:$A$29,($A84+2),CF!$G$5:$G$29)/12&gt;C84,-C84,-SUMIF(CF!$A$5:$A$29,($A84+2),CF!$G$5:$G$29)/12))</f>
        <v>-15344.101346692318</v>
      </c>
      <c r="E84" s="624">
        <f t="shared" ca="1" si="10"/>
        <v>158707.97139725863</v>
      </c>
      <c r="F84" s="702">
        <f t="shared" ca="1" si="11"/>
        <v>942.782060696401</v>
      </c>
      <c r="H84" s="514">
        <f t="shared" si="8"/>
        <v>8</v>
      </c>
      <c r="I84" s="626">
        <f t="shared" ca="1" si="16"/>
        <v>219501.82456856003</v>
      </c>
      <c r="J84" s="698">
        <f t="shared" ca="1" si="12"/>
        <v>1188.9682164130336</v>
      </c>
      <c r="K84" s="624">
        <f ca="1">IF(VLOOKUP($H84,CF!$A$4:$K$29,11,FALSE)/12&gt;(I84+J84),-(I84+J84),(-VLOOKUP($H84,CF!$A$4:$K$29,11,FALSE)/12))</f>
        <v>-354.1062432868809</v>
      </c>
      <c r="L84" s="702">
        <f t="shared" ca="1" si="13"/>
        <v>220336.68654168615</v>
      </c>
    </row>
    <row r="85" spans="1:12" ht="16.149999999999999" customHeight="1" x14ac:dyDescent="0.45">
      <c r="A85" s="700">
        <f t="shared" ca="1" si="9"/>
        <v>6</v>
      </c>
      <c r="B85" s="701">
        <f t="shared" ca="1" si="14"/>
        <v>62</v>
      </c>
      <c r="C85" s="624">
        <f t="shared" ca="1" si="15"/>
        <v>158707.97139725863</v>
      </c>
      <c r="D85" s="698">
        <f ca="1">IF($A85=0,0,IF(SUMIF(CF!$A$5:$A$29,($A85+2),CF!$G$5:$G$29)/12&gt;C85,-C85,-SUMIF(CF!$A$5:$A$29,($A85+2),CF!$G$5:$G$29)/12))</f>
        <v>-15344.101346692318</v>
      </c>
      <c r="E85" s="624">
        <f t="shared" ca="1" si="10"/>
        <v>143363.87005056633</v>
      </c>
      <c r="F85" s="702">
        <f t="shared" ca="1" si="11"/>
        <v>859.66817840181773</v>
      </c>
      <c r="H85" s="514">
        <f t="shared" si="8"/>
        <v>8</v>
      </c>
      <c r="I85" s="626">
        <f t="shared" ca="1" si="16"/>
        <v>220336.68654168615</v>
      </c>
      <c r="J85" s="698">
        <f t="shared" ca="1" si="12"/>
        <v>1193.4903854341335</v>
      </c>
      <c r="K85" s="624">
        <f ca="1">IF(VLOOKUP($H85,CF!$A$4:$K$29,11,FALSE)/12&gt;(I85+J85),-(I85+J85),(-VLOOKUP($H85,CF!$A$4:$K$29,11,FALSE)/12))</f>
        <v>-354.1062432868809</v>
      </c>
      <c r="L85" s="702">
        <f t="shared" ca="1" si="13"/>
        <v>221176.07068383339</v>
      </c>
    </row>
    <row r="86" spans="1:12" ht="16.149999999999999" customHeight="1" x14ac:dyDescent="0.45">
      <c r="A86" s="700">
        <f t="shared" ca="1" si="9"/>
        <v>6</v>
      </c>
      <c r="B86" s="701">
        <f t="shared" ca="1" si="14"/>
        <v>63</v>
      </c>
      <c r="C86" s="624">
        <f t="shared" ca="1" si="15"/>
        <v>143363.87005056633</v>
      </c>
      <c r="D86" s="698">
        <f ca="1">IF($A86=0,0,IF(SUMIF(CF!$A$5:$A$29,($A86+2),CF!$G$5:$G$29)/12&gt;C86,-C86,-SUMIF(CF!$A$5:$A$29,($A86+2),CF!$G$5:$G$29)/12))</f>
        <v>-15344.101346692318</v>
      </c>
      <c r="E86" s="624">
        <f t="shared" ca="1" si="10"/>
        <v>128019.76870387401</v>
      </c>
      <c r="F86" s="702">
        <f t="shared" ca="1" si="11"/>
        <v>776.55429610723434</v>
      </c>
      <c r="H86" s="514">
        <f t="shared" si="8"/>
        <v>8</v>
      </c>
      <c r="I86" s="626">
        <f t="shared" ca="1" si="16"/>
        <v>221176.07068383339</v>
      </c>
      <c r="J86" s="698">
        <f t="shared" ca="1" si="12"/>
        <v>1198.0370495374309</v>
      </c>
      <c r="K86" s="624">
        <f ca="1">IF(VLOOKUP($H86,CF!$A$4:$K$29,11,FALSE)/12&gt;(I86+J86),-(I86+J86),(-VLOOKUP($H86,CF!$A$4:$K$29,11,FALSE)/12))</f>
        <v>-354.1062432868809</v>
      </c>
      <c r="L86" s="702">
        <f t="shared" ca="1" si="13"/>
        <v>222020.00149008393</v>
      </c>
    </row>
    <row r="87" spans="1:12" ht="16.149999999999999" customHeight="1" x14ac:dyDescent="0.45">
      <c r="A87" s="700">
        <f t="shared" ca="1" si="9"/>
        <v>6</v>
      </c>
      <c r="B87" s="701">
        <f t="shared" ca="1" si="14"/>
        <v>64</v>
      </c>
      <c r="C87" s="624">
        <f t="shared" ca="1" si="15"/>
        <v>128019.76870387401</v>
      </c>
      <c r="D87" s="698">
        <f ca="1">IF($A87=0,0,IF(SUMIF(CF!$A$5:$A$29,($A87+2),CF!$G$5:$G$29)/12&gt;C87,-C87,-SUMIF(CF!$A$5:$A$29,($A87+2),CF!$G$5:$G$29)/12))</f>
        <v>-15344.101346692318</v>
      </c>
      <c r="E87" s="624">
        <f t="shared" ca="1" si="10"/>
        <v>112675.66735718169</v>
      </c>
      <c r="F87" s="702">
        <f t="shared" ca="1" si="11"/>
        <v>693.44041381265095</v>
      </c>
      <c r="H87" s="514">
        <f t="shared" si="8"/>
        <v>8</v>
      </c>
      <c r="I87" s="626">
        <f t="shared" ca="1" si="16"/>
        <v>222020.00149008393</v>
      </c>
      <c r="J87" s="698">
        <f t="shared" ca="1" si="12"/>
        <v>1202.6083414046213</v>
      </c>
      <c r="K87" s="624">
        <f ca="1">IF(VLOOKUP($H87,CF!$A$4:$K$29,11,FALSE)/12&gt;(I87+J87),-(I87+J87),(-VLOOKUP($H87,CF!$A$4:$K$29,11,FALSE)/12))</f>
        <v>-354.1062432868809</v>
      </c>
      <c r="L87" s="702">
        <f t="shared" ca="1" si="13"/>
        <v>222868.50358820165</v>
      </c>
    </row>
    <row r="88" spans="1:12" ht="16.149999999999999" customHeight="1" x14ac:dyDescent="0.45">
      <c r="A88" s="700">
        <f t="shared" ref="A88:A119" ca="1" si="17">ROUNDUP(B88/12,0)</f>
        <v>6</v>
      </c>
      <c r="B88" s="701">
        <f t="shared" ca="1" si="14"/>
        <v>65</v>
      </c>
      <c r="C88" s="624">
        <f t="shared" ca="1" si="15"/>
        <v>112675.66735718169</v>
      </c>
      <c r="D88" s="698">
        <f ca="1">IF($A88=0,0,IF(SUMIF(CF!$A$5:$A$29,($A88+2),CF!$G$5:$G$29)/12&gt;C88,-C88,-SUMIF(CF!$A$5:$A$29,($A88+2),CF!$G$5:$G$29)/12))</f>
        <v>-15344.101346692318</v>
      </c>
      <c r="E88" s="624">
        <f t="shared" ref="E88:E119" ca="1" si="18">SUM(C88:D88)</f>
        <v>97331.566010489376</v>
      </c>
      <c r="F88" s="702">
        <f t="shared" ref="F88:F119" ca="1" si="19">$C88*$D$2/12</f>
        <v>610.32653151806755</v>
      </c>
      <c r="H88" s="514">
        <f t="shared" si="8"/>
        <v>8</v>
      </c>
      <c r="I88" s="626">
        <f t="shared" ca="1" si="16"/>
        <v>222868.50358820165</v>
      </c>
      <c r="J88" s="698">
        <f t="shared" ref="J88:J119" ca="1" si="20">I88*$D$3/12</f>
        <v>1207.2043944360923</v>
      </c>
      <c r="K88" s="624">
        <f ca="1">IF(VLOOKUP($H88,CF!$A$4:$K$29,11,FALSE)/12&gt;(I88+J88),-(I88+J88),(-VLOOKUP($H88,CF!$A$4:$K$29,11,FALSE)/12))</f>
        <v>-354.1062432868809</v>
      </c>
      <c r="L88" s="702">
        <f t="shared" ref="L88:L119" ca="1" si="21">SUM(I88:K88)</f>
        <v>223721.60173935085</v>
      </c>
    </row>
    <row r="89" spans="1:12" ht="16.149999999999999" customHeight="1" x14ac:dyDescent="0.45">
      <c r="A89" s="700">
        <f t="shared" ca="1" si="17"/>
        <v>6</v>
      </c>
      <c r="B89" s="701">
        <f t="shared" ref="B89:B120" ca="1" si="22">IF(OR(ROUND(E88,0)=0,E88&lt;0),0,B88+1)</f>
        <v>66</v>
      </c>
      <c r="C89" s="624">
        <f t="shared" ref="C89:C120" ca="1" si="23">E88</f>
        <v>97331.566010489376</v>
      </c>
      <c r="D89" s="698">
        <f ca="1">IF($A89=0,0,IF(SUMIF(CF!$A$5:$A$29,($A89+2),CF!$G$5:$G$29)/12&gt;C89,-C89,-SUMIF(CF!$A$5:$A$29,($A89+2),CF!$G$5:$G$29)/12))</f>
        <v>-15344.101346692318</v>
      </c>
      <c r="E89" s="624">
        <f t="shared" ca="1" si="18"/>
        <v>81987.464663797058</v>
      </c>
      <c r="F89" s="702">
        <f t="shared" ca="1" si="19"/>
        <v>527.21264922348416</v>
      </c>
      <c r="H89" s="514">
        <f t="shared" si="8"/>
        <v>8</v>
      </c>
      <c r="I89" s="626">
        <f t="shared" ref="I89:I120" ca="1" si="24">L88</f>
        <v>223721.60173935085</v>
      </c>
      <c r="J89" s="698">
        <f t="shared" ca="1" si="20"/>
        <v>1211.8253427548173</v>
      </c>
      <c r="K89" s="624">
        <f ca="1">IF(VLOOKUP($H89,CF!$A$4:$K$29,11,FALSE)/12&gt;(I89+J89),-(I89+J89),(-VLOOKUP($H89,CF!$A$4:$K$29,11,FALSE)/12))</f>
        <v>-354.1062432868809</v>
      </c>
      <c r="L89" s="702">
        <f t="shared" ca="1" si="21"/>
        <v>224579.32083881876</v>
      </c>
    </row>
    <row r="90" spans="1:12" ht="16.149999999999999" customHeight="1" x14ac:dyDescent="0.45">
      <c r="A90" s="700">
        <f t="shared" ca="1" si="17"/>
        <v>6</v>
      </c>
      <c r="B90" s="701">
        <f t="shared" ca="1" si="22"/>
        <v>67</v>
      </c>
      <c r="C90" s="624">
        <f t="shared" ca="1" si="23"/>
        <v>81987.464663797058</v>
      </c>
      <c r="D90" s="698">
        <f ca="1">IF($A90=0,0,IF(SUMIF(CF!$A$5:$A$29,($A90+2),CF!$G$5:$G$29)/12&gt;C90,-C90,-SUMIF(CF!$A$5:$A$29,($A90+2),CF!$G$5:$G$29)/12))</f>
        <v>-15344.101346692318</v>
      </c>
      <c r="E90" s="624">
        <f t="shared" ca="1" si="18"/>
        <v>66643.36331710474</v>
      </c>
      <c r="F90" s="702">
        <f t="shared" ca="1" si="19"/>
        <v>444.09876692890072</v>
      </c>
      <c r="H90" s="514">
        <f t="shared" si="8"/>
        <v>8</v>
      </c>
      <c r="I90" s="626">
        <f t="shared" ca="1" si="24"/>
        <v>224579.32083881876</v>
      </c>
      <c r="J90" s="698">
        <f t="shared" ca="1" si="20"/>
        <v>1216.4713212102683</v>
      </c>
      <c r="K90" s="624">
        <f ca="1">IF(VLOOKUP($H90,CF!$A$4:$K$29,11,FALSE)/12&gt;(I90+J90),-(I90+J90),(-VLOOKUP($H90,CF!$A$4:$K$29,11,FALSE)/12))</f>
        <v>-354.1062432868809</v>
      </c>
      <c r="L90" s="702">
        <f t="shared" ca="1" si="21"/>
        <v>225441.68591674214</v>
      </c>
    </row>
    <row r="91" spans="1:12" ht="16.149999999999999" customHeight="1" x14ac:dyDescent="0.45">
      <c r="A91" s="700">
        <f t="shared" ca="1" si="17"/>
        <v>6</v>
      </c>
      <c r="B91" s="701">
        <f t="shared" ca="1" si="22"/>
        <v>68</v>
      </c>
      <c r="C91" s="624">
        <f t="shared" ca="1" si="23"/>
        <v>66643.36331710474</v>
      </c>
      <c r="D91" s="698">
        <f ca="1">IF($A91=0,0,IF(SUMIF(CF!$A$5:$A$29,($A91+2),CF!$G$5:$G$29)/12&gt;C91,-C91,-SUMIF(CF!$A$5:$A$29,($A91+2),CF!$G$5:$G$29)/12))</f>
        <v>-15344.101346692318</v>
      </c>
      <c r="E91" s="624">
        <f t="shared" ca="1" si="18"/>
        <v>51299.261970412423</v>
      </c>
      <c r="F91" s="702">
        <f t="shared" ca="1" si="19"/>
        <v>360.98488463431732</v>
      </c>
      <c r="H91" s="514">
        <f t="shared" si="8"/>
        <v>8</v>
      </c>
      <c r="I91" s="626">
        <f t="shared" ca="1" si="24"/>
        <v>225441.68591674214</v>
      </c>
      <c r="J91" s="698">
        <f t="shared" ca="1" si="20"/>
        <v>1221.1424653823533</v>
      </c>
      <c r="K91" s="624">
        <f ca="1">IF(VLOOKUP($H91,CF!$A$4:$K$29,11,FALSE)/12&gt;(I91+J91),-(I91+J91),(-VLOOKUP($H91,CF!$A$4:$K$29,11,FALSE)/12))</f>
        <v>-354.1062432868809</v>
      </c>
      <c r="L91" s="702">
        <f t="shared" ca="1" si="21"/>
        <v>226308.72213883759</v>
      </c>
    </row>
    <row r="92" spans="1:12" ht="16.149999999999999" customHeight="1" x14ac:dyDescent="0.45">
      <c r="A92" s="700">
        <f t="shared" ca="1" si="17"/>
        <v>6</v>
      </c>
      <c r="B92" s="701">
        <f t="shared" ca="1" si="22"/>
        <v>69</v>
      </c>
      <c r="C92" s="624">
        <f t="shared" ca="1" si="23"/>
        <v>51299.261970412423</v>
      </c>
      <c r="D92" s="698">
        <f ca="1">IF($A92=0,0,IF(SUMIF(CF!$A$5:$A$29,($A92+2),CF!$G$5:$G$29)/12&gt;C92,-C92,-SUMIF(CF!$A$5:$A$29,($A92+2),CF!$G$5:$G$29)/12))</f>
        <v>-15344.101346692318</v>
      </c>
      <c r="E92" s="624">
        <f t="shared" ca="1" si="18"/>
        <v>35955.160623720105</v>
      </c>
      <c r="F92" s="702">
        <f t="shared" ca="1" si="19"/>
        <v>277.87100233973393</v>
      </c>
      <c r="H92" s="514">
        <f t="shared" si="8"/>
        <v>8</v>
      </c>
      <c r="I92" s="626">
        <f t="shared" ca="1" si="24"/>
        <v>226308.72213883759</v>
      </c>
      <c r="J92" s="698">
        <f t="shared" ca="1" si="20"/>
        <v>1225.8389115853704</v>
      </c>
      <c r="K92" s="624">
        <f ca="1">IF(VLOOKUP($H92,CF!$A$4:$K$29,11,FALSE)/12&gt;(I92+J92),-(I92+J92),(-VLOOKUP($H92,CF!$A$4:$K$29,11,FALSE)/12))</f>
        <v>-354.1062432868809</v>
      </c>
      <c r="L92" s="702">
        <f t="shared" ca="1" si="21"/>
        <v>227180.45480713606</v>
      </c>
    </row>
    <row r="93" spans="1:12" ht="16.149999999999999" customHeight="1" x14ac:dyDescent="0.45">
      <c r="A93" s="700">
        <f t="shared" ca="1" si="17"/>
        <v>6</v>
      </c>
      <c r="B93" s="701">
        <f t="shared" ca="1" si="22"/>
        <v>70</v>
      </c>
      <c r="C93" s="624">
        <f t="shared" ca="1" si="23"/>
        <v>35955.160623720105</v>
      </c>
      <c r="D93" s="698">
        <f ca="1">IF($A93=0,0,IF(SUMIF(CF!$A$5:$A$29,($A93+2),CF!$G$5:$G$29)/12&gt;C93,-C93,-SUMIF(CF!$A$5:$A$29,($A93+2),CF!$G$5:$G$29)/12))</f>
        <v>-15344.101346692318</v>
      </c>
      <c r="E93" s="624">
        <f t="shared" ca="1" si="18"/>
        <v>20611.059277027787</v>
      </c>
      <c r="F93" s="702">
        <f t="shared" ca="1" si="19"/>
        <v>194.75712004515057</v>
      </c>
      <c r="H93" s="514">
        <f t="shared" si="8"/>
        <v>8</v>
      </c>
      <c r="I93" s="626">
        <f t="shared" ca="1" si="24"/>
        <v>227180.45480713606</v>
      </c>
      <c r="J93" s="698">
        <f t="shared" ca="1" si="20"/>
        <v>1230.5607968719871</v>
      </c>
      <c r="K93" s="624">
        <f ca="1">IF(VLOOKUP($H93,CF!$A$4:$K$29,11,FALSE)/12&gt;(I93+J93),-(I93+J93),(-VLOOKUP($H93,CF!$A$4:$K$29,11,FALSE)/12))</f>
        <v>-354.1062432868809</v>
      </c>
      <c r="L93" s="702">
        <f t="shared" ca="1" si="21"/>
        <v>228056.90936072115</v>
      </c>
    </row>
    <row r="94" spans="1:12" ht="16.149999999999999" customHeight="1" x14ac:dyDescent="0.45">
      <c r="A94" s="700">
        <f t="shared" ca="1" si="17"/>
        <v>6</v>
      </c>
      <c r="B94" s="701">
        <f t="shared" ca="1" si="22"/>
        <v>71</v>
      </c>
      <c r="C94" s="624">
        <f t="shared" ca="1" si="23"/>
        <v>20611.059277027787</v>
      </c>
      <c r="D94" s="698">
        <f ca="1">IF($A94=0,0,IF(SUMIF(CF!$A$5:$A$29,($A94+2),CF!$G$5:$G$29)/12&gt;C94,-C94,-SUMIF(CF!$A$5:$A$29,($A94+2),CF!$G$5:$G$29)/12))</f>
        <v>-15344.101346692318</v>
      </c>
      <c r="E94" s="624">
        <f t="shared" ca="1" si="18"/>
        <v>5266.9579303354694</v>
      </c>
      <c r="F94" s="702">
        <f t="shared" ca="1" si="19"/>
        <v>111.6432377505672</v>
      </c>
      <c r="H94" s="514">
        <f t="shared" si="8"/>
        <v>8</v>
      </c>
      <c r="I94" s="626">
        <f t="shared" ca="1" si="24"/>
        <v>228056.90936072115</v>
      </c>
      <c r="J94" s="698">
        <f t="shared" ca="1" si="20"/>
        <v>1235.3082590372396</v>
      </c>
      <c r="K94" s="624">
        <f ca="1">IF(VLOOKUP($H94,CF!$A$4:$K$29,11,FALSE)/12&gt;(I94+J94),-(I94+J94),(-VLOOKUP($H94,CF!$A$4:$K$29,11,FALSE)/12))</f>
        <v>-354.1062432868809</v>
      </c>
      <c r="L94" s="702">
        <f t="shared" ca="1" si="21"/>
        <v>228938.1113764715</v>
      </c>
    </row>
    <row r="95" spans="1:12" ht="16.149999999999999" customHeight="1" x14ac:dyDescent="0.45">
      <c r="A95" s="700">
        <f t="shared" ca="1" si="17"/>
        <v>6</v>
      </c>
      <c r="B95" s="701">
        <f t="shared" ca="1" si="22"/>
        <v>72</v>
      </c>
      <c r="C95" s="624">
        <f t="shared" ca="1" si="23"/>
        <v>5266.9579303354694</v>
      </c>
      <c r="D95" s="698">
        <f ca="1">IF($A95=0,0,IF(SUMIF(CF!$A$5:$A$29,($A95+2),CF!$G$5:$G$29)/12&gt;C95,-C95,-SUMIF(CF!$A$5:$A$29,($A95+2),CF!$G$5:$G$29)/12))</f>
        <v>-5266.9579303354694</v>
      </c>
      <c r="E95" s="624">
        <f t="shared" ca="1" si="18"/>
        <v>0</v>
      </c>
      <c r="F95" s="702">
        <f t="shared" ca="1" si="19"/>
        <v>28.529355455983794</v>
      </c>
      <c r="H95" s="514">
        <f t="shared" si="8"/>
        <v>8</v>
      </c>
      <c r="I95" s="626">
        <f t="shared" ca="1" si="24"/>
        <v>228938.1113764715</v>
      </c>
      <c r="J95" s="698">
        <f t="shared" ca="1" si="20"/>
        <v>1240.0814366225538</v>
      </c>
      <c r="K95" s="624">
        <f ca="1">IF(VLOOKUP($H95,CF!$A$4:$K$29,11,FALSE)/12&gt;(I95+J95),-(I95+J95),(-VLOOKUP($H95,CF!$A$4:$K$29,11,FALSE)/12))</f>
        <v>-354.1062432868809</v>
      </c>
      <c r="L95" s="702">
        <f t="shared" ca="1" si="21"/>
        <v>229824.08656980717</v>
      </c>
    </row>
    <row r="96" spans="1:12" ht="16.149999999999999" customHeight="1" x14ac:dyDescent="0.45">
      <c r="A96" s="700">
        <f t="shared" ca="1" si="17"/>
        <v>0</v>
      </c>
      <c r="B96" s="701">
        <f t="shared" ca="1" si="22"/>
        <v>0</v>
      </c>
      <c r="C96" s="624">
        <f t="shared" ca="1" si="23"/>
        <v>0</v>
      </c>
      <c r="D96" s="698">
        <f ca="1">IF($A96=0,0,IF(SUMIF(CF!$A$5:$A$29,($A96+2),CF!$G$5:$G$29)/12&gt;C96,-C96,-SUMIF(CF!$A$5:$A$29,($A96+2),CF!$G$5:$G$29)/12))</f>
        <v>0</v>
      </c>
      <c r="E96" s="624">
        <f t="shared" ca="1" si="18"/>
        <v>0</v>
      </c>
      <c r="F96" s="702">
        <f t="shared" ca="1" si="19"/>
        <v>0</v>
      </c>
      <c r="H96" s="514">
        <f t="shared" si="8"/>
        <v>9</v>
      </c>
      <c r="I96" s="626">
        <f t="shared" ca="1" si="24"/>
        <v>229824.08656980717</v>
      </c>
      <c r="J96" s="698">
        <f t="shared" ca="1" si="20"/>
        <v>1244.8804689197889</v>
      </c>
      <c r="K96" s="624">
        <f ca="1">IF(VLOOKUP($H96,CF!$A$4:$K$29,11,FALSE)/12&gt;(I96+J96),-(I96+J96),(-VLOOKUP($H96,CF!$A$4:$K$29,11,FALSE)/12))</f>
        <v>-15986.742380442813</v>
      </c>
      <c r="L96" s="702">
        <f t="shared" ca="1" si="21"/>
        <v>215082.22465828413</v>
      </c>
    </row>
    <row r="97" spans="1:12" ht="16.149999999999999" customHeight="1" x14ac:dyDescent="0.45">
      <c r="A97" s="700">
        <f t="shared" ca="1" si="17"/>
        <v>0</v>
      </c>
      <c r="B97" s="701">
        <f t="shared" ca="1" si="22"/>
        <v>0</v>
      </c>
      <c r="C97" s="624">
        <f t="shared" ca="1" si="23"/>
        <v>0</v>
      </c>
      <c r="D97" s="698">
        <f ca="1">IF($A97=0,0,IF(SUMIF(CF!$A$5:$A$29,($A97+2),CF!$G$5:$G$29)/12&gt;C97,-C97,-SUMIF(CF!$A$5:$A$29,($A97+2),CF!$G$5:$G$29)/12))</f>
        <v>0</v>
      </c>
      <c r="E97" s="624">
        <f t="shared" ca="1" si="18"/>
        <v>0</v>
      </c>
      <c r="F97" s="702">
        <f t="shared" ca="1" si="19"/>
        <v>0</v>
      </c>
      <c r="H97" s="514">
        <f t="shared" si="8"/>
        <v>9</v>
      </c>
      <c r="I97" s="626">
        <f t="shared" ca="1" si="24"/>
        <v>215082.22465828413</v>
      </c>
      <c r="J97" s="698">
        <f t="shared" ca="1" si="20"/>
        <v>1165.0287168990392</v>
      </c>
      <c r="K97" s="624">
        <f ca="1">IF(VLOOKUP($H97,CF!$A$4:$K$29,11,FALSE)/12&gt;(I97+J97),-(I97+J97),(-VLOOKUP($H97,CF!$A$4:$K$29,11,FALSE)/12))</f>
        <v>-15986.742380442813</v>
      </c>
      <c r="L97" s="702">
        <f t="shared" ca="1" si="21"/>
        <v>200260.51099474035</v>
      </c>
    </row>
    <row r="98" spans="1:12" ht="16.149999999999999" customHeight="1" x14ac:dyDescent="0.45">
      <c r="A98" s="700">
        <f t="shared" ca="1" si="17"/>
        <v>0</v>
      </c>
      <c r="B98" s="701">
        <f t="shared" ca="1" si="22"/>
        <v>0</v>
      </c>
      <c r="C98" s="624">
        <f t="shared" ca="1" si="23"/>
        <v>0</v>
      </c>
      <c r="D98" s="698">
        <f ca="1">IF($A98=0,0,IF(SUMIF(CF!$A$5:$A$29,($A98+2),CF!$G$5:$G$29)/12&gt;C98,-C98,-SUMIF(CF!$A$5:$A$29,($A98+2),CF!$G$5:$G$29)/12))</f>
        <v>0</v>
      </c>
      <c r="E98" s="624">
        <f t="shared" ca="1" si="18"/>
        <v>0</v>
      </c>
      <c r="F98" s="702">
        <f t="shared" ca="1" si="19"/>
        <v>0</v>
      </c>
      <c r="H98" s="514">
        <f t="shared" si="8"/>
        <v>9</v>
      </c>
      <c r="I98" s="626">
        <f t="shared" ca="1" si="24"/>
        <v>200260.51099474035</v>
      </c>
      <c r="J98" s="698">
        <f t="shared" ca="1" si="20"/>
        <v>1084.7444345548436</v>
      </c>
      <c r="K98" s="624">
        <f ca="1">IF(VLOOKUP($H98,CF!$A$4:$K$29,11,FALSE)/12&gt;(I98+J98),-(I98+J98),(-VLOOKUP($H98,CF!$A$4:$K$29,11,FALSE)/12))</f>
        <v>-15986.742380442813</v>
      </c>
      <c r="L98" s="702">
        <f t="shared" ca="1" si="21"/>
        <v>185358.51304885239</v>
      </c>
    </row>
    <row r="99" spans="1:12" ht="16.149999999999999" customHeight="1" x14ac:dyDescent="0.45">
      <c r="A99" s="700">
        <f t="shared" ca="1" si="17"/>
        <v>0</v>
      </c>
      <c r="B99" s="701">
        <f t="shared" ca="1" si="22"/>
        <v>0</v>
      </c>
      <c r="C99" s="624">
        <f t="shared" ca="1" si="23"/>
        <v>0</v>
      </c>
      <c r="D99" s="698">
        <f ca="1">IF($A99=0,0,IF(SUMIF(CF!$A$5:$A$29,($A99+2),CF!$G$5:$G$29)/12&gt;C99,-C99,-SUMIF(CF!$A$5:$A$29,($A99+2),CF!$G$5:$G$29)/12))</f>
        <v>0</v>
      </c>
      <c r="E99" s="624">
        <f t="shared" ca="1" si="18"/>
        <v>0</v>
      </c>
      <c r="F99" s="702">
        <f t="shared" ca="1" si="19"/>
        <v>0</v>
      </c>
      <c r="H99" s="514">
        <f t="shared" si="8"/>
        <v>9</v>
      </c>
      <c r="I99" s="626">
        <f t="shared" ca="1" si="24"/>
        <v>185358.51304885239</v>
      </c>
      <c r="J99" s="698">
        <f t="shared" ca="1" si="20"/>
        <v>1004.0252790146172</v>
      </c>
      <c r="K99" s="624">
        <f ca="1">IF(VLOOKUP($H99,CF!$A$4:$K$29,11,FALSE)/12&gt;(I99+J99),-(I99+J99),(-VLOOKUP($H99,CF!$A$4:$K$29,11,FALSE)/12))</f>
        <v>-15986.742380442813</v>
      </c>
      <c r="L99" s="702">
        <f t="shared" ca="1" si="21"/>
        <v>170375.79594742417</v>
      </c>
    </row>
    <row r="100" spans="1:12" ht="16.149999999999999" customHeight="1" x14ac:dyDescent="0.45">
      <c r="A100" s="700">
        <f t="shared" ca="1" si="17"/>
        <v>0</v>
      </c>
      <c r="B100" s="701">
        <f t="shared" ca="1" si="22"/>
        <v>0</v>
      </c>
      <c r="C100" s="624">
        <f t="shared" ca="1" si="23"/>
        <v>0</v>
      </c>
      <c r="D100" s="698">
        <f ca="1">IF($A100=0,0,IF(SUMIF(CF!$A$5:$A$29,($A100+2),CF!$G$5:$G$29)/12&gt;C100,-C100,-SUMIF(CF!$A$5:$A$29,($A100+2),CF!$G$5:$G$29)/12))</f>
        <v>0</v>
      </c>
      <c r="E100" s="624">
        <f t="shared" ca="1" si="18"/>
        <v>0</v>
      </c>
      <c r="F100" s="702">
        <f t="shared" ca="1" si="19"/>
        <v>0</v>
      </c>
      <c r="H100" s="514">
        <f t="shared" si="8"/>
        <v>9</v>
      </c>
      <c r="I100" s="626">
        <f t="shared" ca="1" si="24"/>
        <v>170375.79594742417</v>
      </c>
      <c r="J100" s="698">
        <f t="shared" ca="1" si="20"/>
        <v>922.8688947152142</v>
      </c>
      <c r="K100" s="624">
        <f ca="1">IF(VLOOKUP($H100,CF!$A$4:$K$29,11,FALSE)/12&gt;(I100+J100),-(I100+J100),(-VLOOKUP($H100,CF!$A$4:$K$29,11,FALSE)/12))</f>
        <v>-15986.742380442813</v>
      </c>
      <c r="L100" s="702">
        <f t="shared" ca="1" si="21"/>
        <v>155311.92246169655</v>
      </c>
    </row>
    <row r="101" spans="1:12" ht="16.149999999999999" customHeight="1" x14ac:dyDescent="0.45">
      <c r="A101" s="700">
        <f t="shared" ca="1" si="17"/>
        <v>0</v>
      </c>
      <c r="B101" s="701">
        <f t="shared" ca="1" si="22"/>
        <v>0</v>
      </c>
      <c r="C101" s="624">
        <f t="shared" ca="1" si="23"/>
        <v>0</v>
      </c>
      <c r="D101" s="698">
        <f ca="1">IF($A101=0,0,IF(SUMIF(CF!$A$5:$A$29,($A101+2),CF!$G$5:$G$29)/12&gt;C101,-C101,-SUMIF(CF!$A$5:$A$29,($A101+2),CF!$G$5:$G$29)/12))</f>
        <v>0</v>
      </c>
      <c r="E101" s="624">
        <f t="shared" ca="1" si="18"/>
        <v>0</v>
      </c>
      <c r="F101" s="702">
        <f t="shared" ca="1" si="19"/>
        <v>0</v>
      </c>
      <c r="H101" s="514">
        <f t="shared" ref="H101:H164" si="25">H89+1</f>
        <v>9</v>
      </c>
      <c r="I101" s="626">
        <f t="shared" ca="1" si="24"/>
        <v>155311.92246169655</v>
      </c>
      <c r="J101" s="698">
        <f t="shared" ca="1" si="20"/>
        <v>841.27291333418964</v>
      </c>
      <c r="K101" s="624">
        <f ca="1">IF(VLOOKUP($H101,CF!$A$4:$K$29,11,FALSE)/12&gt;(I101+J101),-(I101+J101),(-VLOOKUP($H101,CF!$A$4:$K$29,11,FALSE)/12))</f>
        <v>-15986.742380442813</v>
      </c>
      <c r="L101" s="702">
        <f t="shared" ca="1" si="21"/>
        <v>140166.45299458792</v>
      </c>
    </row>
    <row r="102" spans="1:12" ht="16.149999999999999" customHeight="1" x14ac:dyDescent="0.45">
      <c r="A102" s="700">
        <f t="shared" ca="1" si="17"/>
        <v>0</v>
      </c>
      <c r="B102" s="701">
        <f t="shared" ca="1" si="22"/>
        <v>0</v>
      </c>
      <c r="C102" s="624">
        <f t="shared" ca="1" si="23"/>
        <v>0</v>
      </c>
      <c r="D102" s="698">
        <f ca="1">IF($A102=0,0,IF(SUMIF(CF!$A$5:$A$29,($A102+2),CF!$G$5:$G$29)/12&gt;C102,-C102,-SUMIF(CF!$A$5:$A$29,($A102+2),CF!$G$5:$G$29)/12))</f>
        <v>0</v>
      </c>
      <c r="E102" s="624">
        <f t="shared" ca="1" si="18"/>
        <v>0</v>
      </c>
      <c r="F102" s="702">
        <f t="shared" ca="1" si="19"/>
        <v>0</v>
      </c>
      <c r="H102" s="514">
        <f t="shared" si="25"/>
        <v>9</v>
      </c>
      <c r="I102" s="626">
        <f t="shared" ca="1" si="24"/>
        <v>140166.45299458792</v>
      </c>
      <c r="J102" s="698">
        <f t="shared" ca="1" si="20"/>
        <v>759.23495372068464</v>
      </c>
      <c r="K102" s="624">
        <f ca="1">IF(VLOOKUP($H102,CF!$A$4:$K$29,11,FALSE)/12&gt;(I102+J102),-(I102+J102),(-VLOOKUP($H102,CF!$A$4:$K$29,11,FALSE)/12))</f>
        <v>-15986.742380442813</v>
      </c>
      <c r="L102" s="702">
        <f t="shared" ca="1" si="21"/>
        <v>124938.94556786578</v>
      </c>
    </row>
    <row r="103" spans="1:12" ht="16.149999999999999" customHeight="1" x14ac:dyDescent="0.45">
      <c r="A103" s="700">
        <f t="shared" ca="1" si="17"/>
        <v>0</v>
      </c>
      <c r="B103" s="701">
        <f t="shared" ca="1" si="22"/>
        <v>0</v>
      </c>
      <c r="C103" s="624">
        <f t="shared" ca="1" si="23"/>
        <v>0</v>
      </c>
      <c r="D103" s="698">
        <f ca="1">IF($A103=0,0,IF(SUMIF(CF!$A$5:$A$29,($A103+2),CF!$G$5:$G$29)/12&gt;C103,-C103,-SUMIF(CF!$A$5:$A$29,($A103+2),CF!$G$5:$G$29)/12))</f>
        <v>0</v>
      </c>
      <c r="E103" s="624">
        <f t="shared" ca="1" si="18"/>
        <v>0</v>
      </c>
      <c r="F103" s="702">
        <f t="shared" ca="1" si="19"/>
        <v>0</v>
      </c>
      <c r="H103" s="514">
        <f t="shared" si="25"/>
        <v>9</v>
      </c>
      <c r="I103" s="626">
        <f t="shared" ca="1" si="24"/>
        <v>124938.94556786578</v>
      </c>
      <c r="J103" s="698">
        <f t="shared" ca="1" si="20"/>
        <v>676.75262182593963</v>
      </c>
      <c r="K103" s="624">
        <f ca="1">IF(VLOOKUP($H103,CF!$A$4:$K$29,11,FALSE)/12&gt;(I103+J103),-(I103+J103),(-VLOOKUP($H103,CF!$A$4:$K$29,11,FALSE)/12))</f>
        <v>-15986.742380442813</v>
      </c>
      <c r="L103" s="702">
        <f t="shared" ca="1" si="21"/>
        <v>109628.95580924892</v>
      </c>
    </row>
    <row r="104" spans="1:12" ht="16.149999999999999" customHeight="1" x14ac:dyDescent="0.45">
      <c r="A104" s="700">
        <f t="shared" ca="1" si="17"/>
        <v>0</v>
      </c>
      <c r="B104" s="701">
        <f t="shared" ca="1" si="22"/>
        <v>0</v>
      </c>
      <c r="C104" s="624">
        <f t="shared" ca="1" si="23"/>
        <v>0</v>
      </c>
      <c r="D104" s="698">
        <f ca="1">IF($A104=0,0,IF(SUMIF(CF!$A$5:$A$29,($A104+2),CF!$G$5:$G$29)/12&gt;C104,-C104,-SUMIF(CF!$A$5:$A$29,($A104+2),CF!$G$5:$G$29)/12))</f>
        <v>0</v>
      </c>
      <c r="E104" s="624">
        <f t="shared" ca="1" si="18"/>
        <v>0</v>
      </c>
      <c r="F104" s="702">
        <f t="shared" ca="1" si="19"/>
        <v>0</v>
      </c>
      <c r="H104" s="514">
        <f t="shared" si="25"/>
        <v>9</v>
      </c>
      <c r="I104" s="626">
        <f t="shared" ca="1" si="24"/>
        <v>109628.95580924892</v>
      </c>
      <c r="J104" s="698">
        <f t="shared" ca="1" si="20"/>
        <v>593.82351063343162</v>
      </c>
      <c r="K104" s="624">
        <f ca="1">IF(VLOOKUP($H104,CF!$A$4:$K$29,11,FALSE)/12&gt;(I104+J104),-(I104+J104),(-VLOOKUP($H104,CF!$A$4:$K$29,11,FALSE)/12))</f>
        <v>-15986.742380442813</v>
      </c>
      <c r="L104" s="702">
        <f t="shared" ca="1" si="21"/>
        <v>94236.036939439538</v>
      </c>
    </row>
    <row r="105" spans="1:12" ht="16.149999999999999" customHeight="1" x14ac:dyDescent="0.45">
      <c r="A105" s="700">
        <f t="shared" ca="1" si="17"/>
        <v>0</v>
      </c>
      <c r="B105" s="701">
        <f t="shared" ca="1" si="22"/>
        <v>0</v>
      </c>
      <c r="C105" s="624">
        <f t="shared" ca="1" si="23"/>
        <v>0</v>
      </c>
      <c r="D105" s="698">
        <f ca="1">IF($A105=0,0,IF(SUMIF(CF!$A$5:$A$29,($A105+2),CF!$G$5:$G$29)/12&gt;C105,-C105,-SUMIF(CF!$A$5:$A$29,($A105+2),CF!$G$5:$G$29)/12))</f>
        <v>0</v>
      </c>
      <c r="E105" s="624">
        <f t="shared" ca="1" si="18"/>
        <v>0</v>
      </c>
      <c r="F105" s="702">
        <f t="shared" ca="1" si="19"/>
        <v>0</v>
      </c>
      <c r="H105" s="514">
        <f t="shared" si="25"/>
        <v>9</v>
      </c>
      <c r="I105" s="626">
        <f t="shared" ca="1" si="24"/>
        <v>94236.036939439538</v>
      </c>
      <c r="J105" s="698">
        <f t="shared" ca="1" si="20"/>
        <v>510.44520008863083</v>
      </c>
      <c r="K105" s="624">
        <f ca="1">IF(VLOOKUP($H105,CF!$A$4:$K$29,11,FALSE)/12&gt;(I105+J105),-(I105+J105),(-VLOOKUP($H105,CF!$A$4:$K$29,11,FALSE)/12))</f>
        <v>-15986.742380442813</v>
      </c>
      <c r="L105" s="702">
        <f t="shared" ca="1" si="21"/>
        <v>78759.739759085365</v>
      </c>
    </row>
    <row r="106" spans="1:12" ht="16.149999999999999" customHeight="1" x14ac:dyDescent="0.45">
      <c r="A106" s="700">
        <f t="shared" ca="1" si="17"/>
        <v>0</v>
      </c>
      <c r="B106" s="701">
        <f t="shared" ca="1" si="22"/>
        <v>0</v>
      </c>
      <c r="C106" s="624">
        <f t="shared" ca="1" si="23"/>
        <v>0</v>
      </c>
      <c r="D106" s="698">
        <f ca="1">IF($A106=0,0,IF(SUMIF(CF!$A$5:$A$29,($A106+2),CF!$G$5:$G$29)/12&gt;C106,-C106,-SUMIF(CF!$A$5:$A$29,($A106+2),CF!$G$5:$G$29)/12))</f>
        <v>0</v>
      </c>
      <c r="E106" s="624">
        <f t="shared" ca="1" si="18"/>
        <v>0</v>
      </c>
      <c r="F106" s="702">
        <f t="shared" ca="1" si="19"/>
        <v>0</v>
      </c>
      <c r="H106" s="514">
        <f t="shared" si="25"/>
        <v>9</v>
      </c>
      <c r="I106" s="626">
        <f t="shared" ca="1" si="24"/>
        <v>78759.739759085365</v>
      </c>
      <c r="J106" s="698">
        <f t="shared" ca="1" si="20"/>
        <v>426.61525702837906</v>
      </c>
      <c r="K106" s="624">
        <f ca="1">IF(VLOOKUP($H106,CF!$A$4:$K$29,11,FALSE)/12&gt;(I106+J106),-(I106+J106),(-VLOOKUP($H106,CF!$A$4:$K$29,11,FALSE)/12))</f>
        <v>-15986.742380442813</v>
      </c>
      <c r="L106" s="702">
        <f t="shared" ca="1" si="21"/>
        <v>63199.612635670928</v>
      </c>
    </row>
    <row r="107" spans="1:12" ht="16.149999999999999" customHeight="1" x14ac:dyDescent="0.45">
      <c r="A107" s="700">
        <f t="shared" ca="1" si="17"/>
        <v>0</v>
      </c>
      <c r="B107" s="701">
        <f t="shared" ca="1" si="22"/>
        <v>0</v>
      </c>
      <c r="C107" s="624">
        <f t="shared" ca="1" si="23"/>
        <v>0</v>
      </c>
      <c r="D107" s="698">
        <f ca="1">IF($A107=0,0,IF(SUMIF(CF!$A$5:$A$29,($A107+2),CF!$G$5:$G$29)/12&gt;C107,-C107,-SUMIF(CF!$A$5:$A$29,($A107+2),CF!$G$5:$G$29)/12))</f>
        <v>0</v>
      </c>
      <c r="E107" s="624">
        <f t="shared" ca="1" si="18"/>
        <v>0</v>
      </c>
      <c r="F107" s="702">
        <f t="shared" ca="1" si="19"/>
        <v>0</v>
      </c>
      <c r="H107" s="514">
        <f t="shared" si="25"/>
        <v>9</v>
      </c>
      <c r="I107" s="626">
        <f t="shared" ca="1" si="24"/>
        <v>63199.612635670928</v>
      </c>
      <c r="J107" s="698">
        <f t="shared" ca="1" si="20"/>
        <v>342.33123510988418</v>
      </c>
      <c r="K107" s="624">
        <f ca="1">IF(VLOOKUP($H107,CF!$A$4:$K$29,11,FALSE)/12&gt;(I107+J107),-(I107+J107),(-VLOOKUP($H107,CF!$A$4:$K$29,11,FALSE)/12))</f>
        <v>-15986.742380442813</v>
      </c>
      <c r="L107" s="702">
        <f t="shared" ca="1" si="21"/>
        <v>47555.201490338004</v>
      </c>
    </row>
    <row r="108" spans="1:12" ht="16.149999999999999" customHeight="1" x14ac:dyDescent="0.45">
      <c r="A108" s="700">
        <f t="shared" ca="1" si="17"/>
        <v>0</v>
      </c>
      <c r="B108" s="701">
        <f t="shared" ca="1" si="22"/>
        <v>0</v>
      </c>
      <c r="C108" s="624">
        <f t="shared" ca="1" si="23"/>
        <v>0</v>
      </c>
      <c r="D108" s="698">
        <f ca="1">IF($A108=0,0,IF(SUMIF(CF!$A$5:$A$29,($A108+2),CF!$G$5:$G$29)/12&gt;C108,-C108,-SUMIF(CF!$A$5:$A$29,($A108+2),CF!$G$5:$G$29)/12))</f>
        <v>0</v>
      </c>
      <c r="E108" s="624">
        <f t="shared" ca="1" si="18"/>
        <v>0</v>
      </c>
      <c r="F108" s="702">
        <f t="shared" ca="1" si="19"/>
        <v>0</v>
      </c>
      <c r="H108" s="514">
        <f t="shared" si="25"/>
        <v>10</v>
      </c>
      <c r="I108" s="626">
        <f t="shared" ca="1" si="24"/>
        <v>47555.201490338004</v>
      </c>
      <c r="J108" s="698">
        <f t="shared" ca="1" si="20"/>
        <v>257.59067473933084</v>
      </c>
      <c r="K108" s="624">
        <f ca="1">IF(VLOOKUP($H108,CF!$A$4:$K$29,11,FALSE)/12&gt;(I108+J108),-(I108+J108),(-VLOOKUP($H108,CF!$A$4:$K$29,11,FALSE)/12))</f>
        <v>-16004.200236508817</v>
      </c>
      <c r="L108" s="702">
        <f t="shared" ca="1" si="21"/>
        <v>31808.591928568516</v>
      </c>
    </row>
    <row r="109" spans="1:12" ht="16.149999999999999" customHeight="1" x14ac:dyDescent="0.45">
      <c r="A109" s="700">
        <f t="shared" ca="1" si="17"/>
        <v>0</v>
      </c>
      <c r="B109" s="701">
        <f t="shared" ca="1" si="22"/>
        <v>0</v>
      </c>
      <c r="C109" s="624">
        <f t="shared" ca="1" si="23"/>
        <v>0</v>
      </c>
      <c r="D109" s="698">
        <f ca="1">IF($A109=0,0,IF(SUMIF(CF!$A$5:$A$29,($A109+2),CF!$G$5:$G$29)/12&gt;C109,-C109,-SUMIF(CF!$A$5:$A$29,($A109+2),CF!$G$5:$G$29)/12))</f>
        <v>0</v>
      </c>
      <c r="E109" s="624">
        <f t="shared" ca="1" si="18"/>
        <v>0</v>
      </c>
      <c r="F109" s="702">
        <f t="shared" ca="1" si="19"/>
        <v>0</v>
      </c>
      <c r="H109" s="514">
        <f t="shared" si="25"/>
        <v>10</v>
      </c>
      <c r="I109" s="626">
        <f t="shared" ca="1" si="24"/>
        <v>31808.591928568516</v>
      </c>
      <c r="J109" s="698">
        <f t="shared" ca="1" si="20"/>
        <v>172.29653961307949</v>
      </c>
      <c r="K109" s="624">
        <f ca="1">IF(VLOOKUP($H109,CF!$A$4:$K$29,11,FALSE)/12&gt;(I109+J109),-(I109+J109),(-VLOOKUP($H109,CF!$A$4:$K$29,11,FALSE)/12))</f>
        <v>-16004.200236508817</v>
      </c>
      <c r="L109" s="702">
        <f t="shared" ca="1" si="21"/>
        <v>15976.688231672777</v>
      </c>
    </row>
    <row r="110" spans="1:12" ht="16.149999999999999" customHeight="1" x14ac:dyDescent="0.45">
      <c r="A110" s="700">
        <f t="shared" ca="1" si="17"/>
        <v>0</v>
      </c>
      <c r="B110" s="701">
        <f t="shared" ca="1" si="22"/>
        <v>0</v>
      </c>
      <c r="C110" s="624">
        <f t="shared" ca="1" si="23"/>
        <v>0</v>
      </c>
      <c r="D110" s="698">
        <f ca="1">IF($A110=0,0,IF(SUMIF(CF!$A$5:$A$29,($A110+2),CF!$G$5:$G$29)/12&gt;C110,-C110,-SUMIF(CF!$A$5:$A$29,($A110+2),CF!$G$5:$G$29)/12))</f>
        <v>0</v>
      </c>
      <c r="E110" s="624">
        <f t="shared" ca="1" si="18"/>
        <v>0</v>
      </c>
      <c r="F110" s="702">
        <f t="shared" ca="1" si="19"/>
        <v>0</v>
      </c>
      <c r="H110" s="514">
        <f t="shared" si="25"/>
        <v>10</v>
      </c>
      <c r="I110" s="626">
        <f t="shared" ca="1" si="24"/>
        <v>15976.688231672777</v>
      </c>
      <c r="J110" s="698">
        <f t="shared" ca="1" si="20"/>
        <v>86.540394588227556</v>
      </c>
      <c r="K110" s="624">
        <f ca="1">IF(VLOOKUP($H110,CF!$A$4:$K$29,11,FALSE)/12&gt;(I110+J110),-(I110+J110),(-VLOOKUP($H110,CF!$A$4:$K$29,11,FALSE)/12))</f>
        <v>-16004.200236508817</v>
      </c>
      <c r="L110" s="702">
        <f t="shared" ca="1" si="21"/>
        <v>59.02838975218765</v>
      </c>
    </row>
    <row r="111" spans="1:12" ht="16.149999999999999" customHeight="1" x14ac:dyDescent="0.45">
      <c r="A111" s="700">
        <f t="shared" ca="1" si="17"/>
        <v>0</v>
      </c>
      <c r="B111" s="701">
        <f t="shared" ca="1" si="22"/>
        <v>0</v>
      </c>
      <c r="C111" s="624">
        <f t="shared" ca="1" si="23"/>
        <v>0</v>
      </c>
      <c r="D111" s="698">
        <f ca="1">IF($A111=0,0,IF(SUMIF(CF!$A$5:$A$29,($A111+2),CF!$G$5:$G$29)/12&gt;C111,-C111,-SUMIF(CF!$A$5:$A$29,($A111+2),CF!$G$5:$G$29)/12))</f>
        <v>0</v>
      </c>
      <c r="E111" s="624">
        <f t="shared" ca="1" si="18"/>
        <v>0</v>
      </c>
      <c r="F111" s="702">
        <f t="shared" ca="1" si="19"/>
        <v>0</v>
      </c>
      <c r="H111" s="514">
        <f t="shared" si="25"/>
        <v>10</v>
      </c>
      <c r="I111" s="626">
        <f t="shared" ca="1" si="24"/>
        <v>59.02838975218765</v>
      </c>
      <c r="J111" s="698">
        <f t="shared" ca="1" si="20"/>
        <v>0.31973711115768311</v>
      </c>
      <c r="K111" s="624">
        <f ca="1">IF(VLOOKUP($H111,CF!$A$4:$K$29,11,FALSE)/12&gt;(I111+J111),-(I111+J111),(-VLOOKUP($H111,CF!$A$4:$K$29,11,FALSE)/12))</f>
        <v>-59.348126863345335</v>
      </c>
      <c r="L111" s="702">
        <f t="shared" ca="1" si="21"/>
        <v>0</v>
      </c>
    </row>
    <row r="112" spans="1:12" ht="16.149999999999999" customHeight="1" x14ac:dyDescent="0.45">
      <c r="A112" s="700">
        <f t="shared" ca="1" si="17"/>
        <v>0</v>
      </c>
      <c r="B112" s="701">
        <f t="shared" ca="1" si="22"/>
        <v>0</v>
      </c>
      <c r="C112" s="624">
        <f t="shared" ca="1" si="23"/>
        <v>0</v>
      </c>
      <c r="D112" s="698">
        <f ca="1">IF($A112=0,0,IF(SUMIF(CF!$A$5:$A$29,($A112+2),CF!$G$5:$G$29)/12&gt;C112,-C112,-SUMIF(CF!$A$5:$A$29,($A112+2),CF!$G$5:$G$29)/12))</f>
        <v>0</v>
      </c>
      <c r="E112" s="624">
        <f t="shared" ca="1" si="18"/>
        <v>0</v>
      </c>
      <c r="F112" s="702">
        <f t="shared" ca="1" si="19"/>
        <v>0</v>
      </c>
      <c r="H112" s="514">
        <f t="shared" si="25"/>
        <v>10</v>
      </c>
      <c r="I112" s="626">
        <f t="shared" ca="1" si="24"/>
        <v>0</v>
      </c>
      <c r="J112" s="698">
        <f t="shared" ca="1" si="20"/>
        <v>0</v>
      </c>
      <c r="K112" s="624">
        <f ca="1">IF(VLOOKUP($H112,CF!$A$4:$K$29,11,FALSE)/12&gt;(I112+J112),-(I112+J112),(-VLOOKUP($H112,CF!$A$4:$K$29,11,FALSE)/12))</f>
        <v>0</v>
      </c>
      <c r="L112" s="702">
        <f t="shared" ca="1" si="21"/>
        <v>0</v>
      </c>
    </row>
    <row r="113" spans="1:12" ht="16.149999999999999" customHeight="1" x14ac:dyDescent="0.45">
      <c r="A113" s="700">
        <f t="shared" ca="1" si="17"/>
        <v>0</v>
      </c>
      <c r="B113" s="701">
        <f t="shared" ca="1" si="22"/>
        <v>0</v>
      </c>
      <c r="C113" s="624">
        <f t="shared" ca="1" si="23"/>
        <v>0</v>
      </c>
      <c r="D113" s="698">
        <f ca="1">IF($A113=0,0,IF(SUMIF(CF!$A$5:$A$29,($A113+2),CF!$G$5:$G$29)/12&gt;C113,-C113,-SUMIF(CF!$A$5:$A$29,($A113+2),CF!$G$5:$G$29)/12))</f>
        <v>0</v>
      </c>
      <c r="E113" s="624">
        <f t="shared" ca="1" si="18"/>
        <v>0</v>
      </c>
      <c r="F113" s="702">
        <f t="shared" ca="1" si="19"/>
        <v>0</v>
      </c>
      <c r="H113" s="514">
        <f t="shared" si="25"/>
        <v>10</v>
      </c>
      <c r="I113" s="626">
        <f t="shared" ca="1" si="24"/>
        <v>0</v>
      </c>
      <c r="J113" s="698">
        <f t="shared" ca="1" si="20"/>
        <v>0</v>
      </c>
      <c r="K113" s="624">
        <f ca="1">IF(VLOOKUP($H113,CF!$A$4:$K$29,11,FALSE)/12&gt;(I113+J113),-(I113+J113),(-VLOOKUP($H113,CF!$A$4:$K$29,11,FALSE)/12))</f>
        <v>0</v>
      </c>
      <c r="L113" s="702">
        <f t="shared" ca="1" si="21"/>
        <v>0</v>
      </c>
    </row>
    <row r="114" spans="1:12" ht="16.149999999999999" customHeight="1" x14ac:dyDescent="0.45">
      <c r="A114" s="700">
        <f t="shared" ca="1" si="17"/>
        <v>0</v>
      </c>
      <c r="B114" s="701">
        <f t="shared" ca="1" si="22"/>
        <v>0</v>
      </c>
      <c r="C114" s="624">
        <f t="shared" ca="1" si="23"/>
        <v>0</v>
      </c>
      <c r="D114" s="698">
        <f ca="1">IF($A114=0,0,IF(SUMIF(CF!$A$5:$A$29,($A114+2),CF!$G$5:$G$29)/12&gt;C114,-C114,-SUMIF(CF!$A$5:$A$29,($A114+2),CF!$G$5:$G$29)/12))</f>
        <v>0</v>
      </c>
      <c r="E114" s="624">
        <f t="shared" ca="1" si="18"/>
        <v>0</v>
      </c>
      <c r="F114" s="702">
        <f t="shared" ca="1" si="19"/>
        <v>0</v>
      </c>
      <c r="H114" s="514">
        <f t="shared" si="25"/>
        <v>10</v>
      </c>
      <c r="I114" s="626">
        <f t="shared" ca="1" si="24"/>
        <v>0</v>
      </c>
      <c r="J114" s="698">
        <f t="shared" ca="1" si="20"/>
        <v>0</v>
      </c>
      <c r="K114" s="624">
        <f ca="1">IF(VLOOKUP($H114,CF!$A$4:$K$29,11,FALSE)/12&gt;(I114+J114),-(I114+J114),(-VLOOKUP($H114,CF!$A$4:$K$29,11,FALSE)/12))</f>
        <v>0</v>
      </c>
      <c r="L114" s="702">
        <f t="shared" ca="1" si="21"/>
        <v>0</v>
      </c>
    </row>
    <row r="115" spans="1:12" ht="16.149999999999999" customHeight="1" x14ac:dyDescent="0.45">
      <c r="A115" s="700">
        <f t="shared" ca="1" si="17"/>
        <v>0</v>
      </c>
      <c r="B115" s="701">
        <f t="shared" ca="1" si="22"/>
        <v>0</v>
      </c>
      <c r="C115" s="624">
        <f t="shared" ca="1" si="23"/>
        <v>0</v>
      </c>
      <c r="D115" s="698">
        <f ca="1">IF($A115=0,0,IF(SUMIF(CF!$A$5:$A$29,($A115+2),CF!$G$5:$G$29)/12&gt;C115,-C115,-SUMIF(CF!$A$5:$A$29,($A115+2),CF!$G$5:$G$29)/12))</f>
        <v>0</v>
      </c>
      <c r="E115" s="624">
        <f t="shared" ca="1" si="18"/>
        <v>0</v>
      </c>
      <c r="F115" s="702">
        <f t="shared" ca="1" si="19"/>
        <v>0</v>
      </c>
      <c r="H115" s="514">
        <f t="shared" si="25"/>
        <v>10</v>
      </c>
      <c r="I115" s="626">
        <f t="shared" ca="1" si="24"/>
        <v>0</v>
      </c>
      <c r="J115" s="698">
        <f t="shared" ca="1" si="20"/>
        <v>0</v>
      </c>
      <c r="K115" s="624">
        <f ca="1">IF(VLOOKUP($H115,CF!$A$4:$K$29,11,FALSE)/12&gt;(I115+J115),-(I115+J115),(-VLOOKUP($H115,CF!$A$4:$K$29,11,FALSE)/12))</f>
        <v>0</v>
      </c>
      <c r="L115" s="702">
        <f t="shared" ca="1" si="21"/>
        <v>0</v>
      </c>
    </row>
    <row r="116" spans="1:12" ht="16.149999999999999" customHeight="1" x14ac:dyDescent="0.45">
      <c r="A116" s="700">
        <f t="shared" ca="1" si="17"/>
        <v>0</v>
      </c>
      <c r="B116" s="701">
        <f t="shared" ca="1" si="22"/>
        <v>0</v>
      </c>
      <c r="C116" s="624">
        <f t="shared" ca="1" si="23"/>
        <v>0</v>
      </c>
      <c r="D116" s="698">
        <f ca="1">IF($A116=0,0,IF(SUMIF(CF!$A$5:$A$29,($A116+2),CF!$G$5:$G$29)/12&gt;C116,-C116,-SUMIF(CF!$A$5:$A$29,($A116+2),CF!$G$5:$G$29)/12))</f>
        <v>0</v>
      </c>
      <c r="E116" s="624">
        <f t="shared" ca="1" si="18"/>
        <v>0</v>
      </c>
      <c r="F116" s="702">
        <f t="shared" ca="1" si="19"/>
        <v>0</v>
      </c>
      <c r="H116" s="514">
        <f t="shared" si="25"/>
        <v>10</v>
      </c>
      <c r="I116" s="626">
        <f t="shared" ca="1" si="24"/>
        <v>0</v>
      </c>
      <c r="J116" s="698">
        <f t="shared" ca="1" si="20"/>
        <v>0</v>
      </c>
      <c r="K116" s="624">
        <f ca="1">IF(VLOOKUP($H116,CF!$A$4:$K$29,11,FALSE)/12&gt;(I116+J116),-(I116+J116),(-VLOOKUP($H116,CF!$A$4:$K$29,11,FALSE)/12))</f>
        <v>0</v>
      </c>
      <c r="L116" s="702">
        <f t="shared" ca="1" si="21"/>
        <v>0</v>
      </c>
    </row>
    <row r="117" spans="1:12" ht="16.149999999999999" customHeight="1" x14ac:dyDescent="0.45">
      <c r="A117" s="700">
        <f t="shared" ca="1" si="17"/>
        <v>0</v>
      </c>
      <c r="B117" s="701">
        <f t="shared" ca="1" si="22"/>
        <v>0</v>
      </c>
      <c r="C117" s="624">
        <f t="shared" ca="1" si="23"/>
        <v>0</v>
      </c>
      <c r="D117" s="698">
        <f ca="1">IF($A117=0,0,IF(SUMIF(CF!$A$5:$A$29,($A117+2),CF!$G$5:$G$29)/12&gt;C117,-C117,-SUMIF(CF!$A$5:$A$29,($A117+2),CF!$G$5:$G$29)/12))</f>
        <v>0</v>
      </c>
      <c r="E117" s="624">
        <f t="shared" ca="1" si="18"/>
        <v>0</v>
      </c>
      <c r="F117" s="702">
        <f t="shared" ca="1" si="19"/>
        <v>0</v>
      </c>
      <c r="H117" s="514">
        <f t="shared" si="25"/>
        <v>10</v>
      </c>
      <c r="I117" s="626">
        <f t="shared" ca="1" si="24"/>
        <v>0</v>
      </c>
      <c r="J117" s="698">
        <f t="shared" ca="1" si="20"/>
        <v>0</v>
      </c>
      <c r="K117" s="624">
        <f ca="1">IF(VLOOKUP($H117,CF!$A$4:$K$29,11,FALSE)/12&gt;(I117+J117),-(I117+J117),(-VLOOKUP($H117,CF!$A$4:$K$29,11,FALSE)/12))</f>
        <v>0</v>
      </c>
      <c r="L117" s="702">
        <f t="shared" ca="1" si="21"/>
        <v>0</v>
      </c>
    </row>
    <row r="118" spans="1:12" ht="16.149999999999999" customHeight="1" x14ac:dyDescent="0.45">
      <c r="A118" s="700">
        <f t="shared" ca="1" si="17"/>
        <v>0</v>
      </c>
      <c r="B118" s="701">
        <f t="shared" ca="1" si="22"/>
        <v>0</v>
      </c>
      <c r="C118" s="624">
        <f t="shared" ca="1" si="23"/>
        <v>0</v>
      </c>
      <c r="D118" s="698">
        <f ca="1">IF($A118=0,0,IF(SUMIF(CF!$A$5:$A$29,($A118+2),CF!$G$5:$G$29)/12&gt;C118,-C118,-SUMIF(CF!$A$5:$A$29,($A118+2),CF!$G$5:$G$29)/12))</f>
        <v>0</v>
      </c>
      <c r="E118" s="624">
        <f t="shared" ca="1" si="18"/>
        <v>0</v>
      </c>
      <c r="F118" s="702">
        <f t="shared" ca="1" si="19"/>
        <v>0</v>
      </c>
      <c r="H118" s="514">
        <f t="shared" si="25"/>
        <v>10</v>
      </c>
      <c r="I118" s="626">
        <f t="shared" ca="1" si="24"/>
        <v>0</v>
      </c>
      <c r="J118" s="698">
        <f t="shared" ca="1" si="20"/>
        <v>0</v>
      </c>
      <c r="K118" s="624">
        <f ca="1">IF(VLOOKUP($H118,CF!$A$4:$K$29,11,FALSE)/12&gt;(I118+J118),-(I118+J118),(-VLOOKUP($H118,CF!$A$4:$K$29,11,FALSE)/12))</f>
        <v>0</v>
      </c>
      <c r="L118" s="702">
        <f t="shared" ca="1" si="21"/>
        <v>0</v>
      </c>
    </row>
    <row r="119" spans="1:12" ht="16.149999999999999" customHeight="1" x14ac:dyDescent="0.45">
      <c r="A119" s="700">
        <f t="shared" ca="1" si="17"/>
        <v>0</v>
      </c>
      <c r="B119" s="701">
        <f t="shared" ca="1" si="22"/>
        <v>0</v>
      </c>
      <c r="C119" s="624">
        <f t="shared" ca="1" si="23"/>
        <v>0</v>
      </c>
      <c r="D119" s="698">
        <f ca="1">IF($A119=0,0,IF(SUMIF(CF!$A$5:$A$29,($A119+2),CF!$G$5:$G$29)/12&gt;C119,-C119,-SUMIF(CF!$A$5:$A$29,($A119+2),CF!$G$5:$G$29)/12))</f>
        <v>0</v>
      </c>
      <c r="E119" s="624">
        <f t="shared" ca="1" si="18"/>
        <v>0</v>
      </c>
      <c r="F119" s="702">
        <f t="shared" ca="1" si="19"/>
        <v>0</v>
      </c>
      <c r="H119" s="514">
        <f t="shared" si="25"/>
        <v>10</v>
      </c>
      <c r="I119" s="626">
        <f t="shared" ca="1" si="24"/>
        <v>0</v>
      </c>
      <c r="J119" s="698">
        <f t="shared" ca="1" si="20"/>
        <v>0</v>
      </c>
      <c r="K119" s="624">
        <f ca="1">IF(VLOOKUP($H119,CF!$A$4:$K$29,11,FALSE)/12&gt;(I119+J119),-(I119+J119),(-VLOOKUP($H119,CF!$A$4:$K$29,11,FALSE)/12))</f>
        <v>0</v>
      </c>
      <c r="L119" s="702">
        <f t="shared" ca="1" si="21"/>
        <v>0</v>
      </c>
    </row>
    <row r="120" spans="1:12" ht="16.149999999999999" customHeight="1" x14ac:dyDescent="0.45">
      <c r="A120" s="700">
        <f t="shared" ref="A120:A151" ca="1" si="26">ROUNDUP(B120/12,0)</f>
        <v>0</v>
      </c>
      <c r="B120" s="701">
        <f t="shared" ca="1" si="22"/>
        <v>0</v>
      </c>
      <c r="C120" s="624">
        <f t="shared" ca="1" si="23"/>
        <v>0</v>
      </c>
      <c r="D120" s="698">
        <f ca="1">IF($A120=0,0,IF(SUMIF(CF!$A$5:$A$29,($A120+2),CF!$G$5:$G$29)/12&gt;C120,-C120,-SUMIF(CF!$A$5:$A$29,($A120+2),CF!$G$5:$G$29)/12))</f>
        <v>0</v>
      </c>
      <c r="E120" s="624">
        <f t="shared" ref="E120:E151" ca="1" si="27">SUM(C120:D120)</f>
        <v>0</v>
      </c>
      <c r="F120" s="702">
        <f t="shared" ref="F120:F151" ca="1" si="28">$C120*$D$2/12</f>
        <v>0</v>
      </c>
      <c r="H120" s="514">
        <f t="shared" si="25"/>
        <v>11</v>
      </c>
      <c r="I120" s="626">
        <f t="shared" ca="1" si="24"/>
        <v>0</v>
      </c>
      <c r="J120" s="698">
        <f t="shared" ref="J120:J151" ca="1" si="29">I120*$D$3/12</f>
        <v>0</v>
      </c>
      <c r="K120" s="624">
        <f ca="1">IF(VLOOKUP($H120,CF!$A$4:$K$29,11,FALSE)/12&gt;(I120+J120),-(I120+J120),(-VLOOKUP($H120,CF!$A$4:$K$29,11,FALSE)/12))</f>
        <v>0</v>
      </c>
      <c r="L120" s="702">
        <f t="shared" ref="L120:L151" ca="1" si="30">SUM(I120:K120)</f>
        <v>0</v>
      </c>
    </row>
    <row r="121" spans="1:12" ht="16.149999999999999" customHeight="1" x14ac:dyDescent="0.45">
      <c r="A121" s="700">
        <f t="shared" ca="1" si="26"/>
        <v>0</v>
      </c>
      <c r="B121" s="701">
        <f t="shared" ref="B121:B152" ca="1" si="31">IF(OR(ROUND(E120,0)=0,E120&lt;0),0,B120+1)</f>
        <v>0</v>
      </c>
      <c r="C121" s="624">
        <f t="shared" ref="C121:C152" ca="1" si="32">E120</f>
        <v>0</v>
      </c>
      <c r="D121" s="698">
        <f ca="1">IF($A121=0,0,IF(SUMIF(CF!$A$5:$A$29,($A121+2),CF!$G$5:$G$29)/12&gt;C121,-C121,-SUMIF(CF!$A$5:$A$29,($A121+2),CF!$G$5:$G$29)/12))</f>
        <v>0</v>
      </c>
      <c r="E121" s="624">
        <f t="shared" ca="1" si="27"/>
        <v>0</v>
      </c>
      <c r="F121" s="702">
        <f t="shared" ca="1" si="28"/>
        <v>0</v>
      </c>
      <c r="H121" s="514">
        <f t="shared" si="25"/>
        <v>11</v>
      </c>
      <c r="I121" s="626">
        <f t="shared" ref="I121:I152" ca="1" si="33">L120</f>
        <v>0</v>
      </c>
      <c r="J121" s="698">
        <f t="shared" ca="1" si="29"/>
        <v>0</v>
      </c>
      <c r="K121" s="624">
        <f ca="1">IF(VLOOKUP($H121,CF!$A$4:$K$29,11,FALSE)/12&gt;(I121+J121),-(I121+J121),(-VLOOKUP($H121,CF!$A$4:$K$29,11,FALSE)/12))</f>
        <v>0</v>
      </c>
      <c r="L121" s="702">
        <f t="shared" ca="1" si="30"/>
        <v>0</v>
      </c>
    </row>
    <row r="122" spans="1:12" ht="16.149999999999999" customHeight="1" x14ac:dyDescent="0.45">
      <c r="A122" s="700">
        <f t="shared" ca="1" si="26"/>
        <v>0</v>
      </c>
      <c r="B122" s="701">
        <f t="shared" ca="1" si="31"/>
        <v>0</v>
      </c>
      <c r="C122" s="624">
        <f t="shared" ca="1" si="32"/>
        <v>0</v>
      </c>
      <c r="D122" s="698">
        <f ca="1">IF($A122=0,0,IF(SUMIF(CF!$A$5:$A$29,($A122+2),CF!$G$5:$G$29)/12&gt;C122,-C122,-SUMIF(CF!$A$5:$A$29,($A122+2),CF!$G$5:$G$29)/12))</f>
        <v>0</v>
      </c>
      <c r="E122" s="624">
        <f t="shared" ca="1" si="27"/>
        <v>0</v>
      </c>
      <c r="F122" s="702">
        <f t="shared" ca="1" si="28"/>
        <v>0</v>
      </c>
      <c r="H122" s="514">
        <f t="shared" si="25"/>
        <v>11</v>
      </c>
      <c r="I122" s="626">
        <f t="shared" ca="1" si="33"/>
        <v>0</v>
      </c>
      <c r="J122" s="698">
        <f t="shared" ca="1" si="29"/>
        <v>0</v>
      </c>
      <c r="K122" s="624">
        <f ca="1">IF(VLOOKUP($H122,CF!$A$4:$K$29,11,FALSE)/12&gt;(I122+J122),-(I122+J122),(-VLOOKUP($H122,CF!$A$4:$K$29,11,FALSE)/12))</f>
        <v>0</v>
      </c>
      <c r="L122" s="702">
        <f t="shared" ca="1" si="30"/>
        <v>0</v>
      </c>
    </row>
    <row r="123" spans="1:12" ht="16.149999999999999" customHeight="1" x14ac:dyDescent="0.45">
      <c r="A123" s="700">
        <f t="shared" ca="1" si="26"/>
        <v>0</v>
      </c>
      <c r="B123" s="701">
        <f t="shared" ca="1" si="31"/>
        <v>0</v>
      </c>
      <c r="C123" s="624">
        <f t="shared" ca="1" si="32"/>
        <v>0</v>
      </c>
      <c r="D123" s="698">
        <f ca="1">IF($A123=0,0,IF(SUMIF(CF!$A$5:$A$29,($A123+2),CF!$G$5:$G$29)/12&gt;C123,-C123,-SUMIF(CF!$A$5:$A$29,($A123+2),CF!$G$5:$G$29)/12))</f>
        <v>0</v>
      </c>
      <c r="E123" s="624">
        <f t="shared" ca="1" si="27"/>
        <v>0</v>
      </c>
      <c r="F123" s="702">
        <f t="shared" ca="1" si="28"/>
        <v>0</v>
      </c>
      <c r="H123" s="514">
        <f t="shared" si="25"/>
        <v>11</v>
      </c>
      <c r="I123" s="626">
        <f t="shared" ca="1" si="33"/>
        <v>0</v>
      </c>
      <c r="J123" s="698">
        <f t="shared" ca="1" si="29"/>
        <v>0</v>
      </c>
      <c r="K123" s="624">
        <f ca="1">IF(VLOOKUP($H123,CF!$A$4:$K$29,11,FALSE)/12&gt;(I123+J123),-(I123+J123),(-VLOOKUP($H123,CF!$A$4:$K$29,11,FALSE)/12))</f>
        <v>0</v>
      </c>
      <c r="L123" s="702">
        <f t="shared" ca="1" si="30"/>
        <v>0</v>
      </c>
    </row>
    <row r="124" spans="1:12" ht="16.149999999999999" customHeight="1" x14ac:dyDescent="0.45">
      <c r="A124" s="700">
        <f t="shared" ca="1" si="26"/>
        <v>0</v>
      </c>
      <c r="B124" s="701">
        <f t="shared" ca="1" si="31"/>
        <v>0</v>
      </c>
      <c r="C124" s="624">
        <f t="shared" ca="1" si="32"/>
        <v>0</v>
      </c>
      <c r="D124" s="698">
        <f ca="1">IF($A124=0,0,IF(SUMIF(CF!$A$5:$A$29,($A124+2),CF!$G$5:$G$29)/12&gt;C124,-C124,-SUMIF(CF!$A$5:$A$29,($A124+2),CF!$G$5:$G$29)/12))</f>
        <v>0</v>
      </c>
      <c r="E124" s="624">
        <f t="shared" ca="1" si="27"/>
        <v>0</v>
      </c>
      <c r="F124" s="702">
        <f t="shared" ca="1" si="28"/>
        <v>0</v>
      </c>
      <c r="H124" s="514">
        <f t="shared" si="25"/>
        <v>11</v>
      </c>
      <c r="I124" s="626">
        <f t="shared" ca="1" si="33"/>
        <v>0</v>
      </c>
      <c r="J124" s="698">
        <f t="shared" ca="1" si="29"/>
        <v>0</v>
      </c>
      <c r="K124" s="624">
        <f ca="1">IF(VLOOKUP($H124,CF!$A$4:$K$29,11,FALSE)/12&gt;(I124+J124),-(I124+J124),(-VLOOKUP($H124,CF!$A$4:$K$29,11,FALSE)/12))</f>
        <v>0</v>
      </c>
      <c r="L124" s="702">
        <f t="shared" ca="1" si="30"/>
        <v>0</v>
      </c>
    </row>
    <row r="125" spans="1:12" ht="16.149999999999999" customHeight="1" x14ac:dyDescent="0.45">
      <c r="A125" s="700">
        <f t="shared" ca="1" si="26"/>
        <v>0</v>
      </c>
      <c r="B125" s="701">
        <f t="shared" ca="1" si="31"/>
        <v>0</v>
      </c>
      <c r="C125" s="624">
        <f t="shared" ca="1" si="32"/>
        <v>0</v>
      </c>
      <c r="D125" s="698">
        <f ca="1">IF($A125=0,0,IF(SUMIF(CF!$A$5:$A$29,($A125+2),CF!$G$5:$G$29)/12&gt;C125,-C125,-SUMIF(CF!$A$5:$A$29,($A125+2),CF!$G$5:$G$29)/12))</f>
        <v>0</v>
      </c>
      <c r="E125" s="624">
        <f t="shared" ca="1" si="27"/>
        <v>0</v>
      </c>
      <c r="F125" s="702">
        <f t="shared" ca="1" si="28"/>
        <v>0</v>
      </c>
      <c r="H125" s="514">
        <f t="shared" si="25"/>
        <v>11</v>
      </c>
      <c r="I125" s="626">
        <f t="shared" ca="1" si="33"/>
        <v>0</v>
      </c>
      <c r="J125" s="698">
        <f t="shared" ca="1" si="29"/>
        <v>0</v>
      </c>
      <c r="K125" s="624">
        <f ca="1">IF(VLOOKUP($H125,CF!$A$4:$K$29,11,FALSE)/12&gt;(I125+J125),-(I125+J125),(-VLOOKUP($H125,CF!$A$4:$K$29,11,FALSE)/12))</f>
        <v>0</v>
      </c>
      <c r="L125" s="702">
        <f t="shared" ca="1" si="30"/>
        <v>0</v>
      </c>
    </row>
    <row r="126" spans="1:12" ht="16.149999999999999" customHeight="1" x14ac:dyDescent="0.45">
      <c r="A126" s="700">
        <f t="shared" ca="1" si="26"/>
        <v>0</v>
      </c>
      <c r="B126" s="701">
        <f t="shared" ca="1" si="31"/>
        <v>0</v>
      </c>
      <c r="C126" s="624">
        <f t="shared" ca="1" si="32"/>
        <v>0</v>
      </c>
      <c r="D126" s="698">
        <f ca="1">IF($A126=0,0,IF(SUMIF(CF!$A$5:$A$29,($A126+2),CF!$G$5:$G$29)/12&gt;C126,-C126,-SUMIF(CF!$A$5:$A$29,($A126+2),CF!$G$5:$G$29)/12))</f>
        <v>0</v>
      </c>
      <c r="E126" s="624">
        <f t="shared" ca="1" si="27"/>
        <v>0</v>
      </c>
      <c r="F126" s="702">
        <f t="shared" ca="1" si="28"/>
        <v>0</v>
      </c>
      <c r="H126" s="514">
        <f t="shared" si="25"/>
        <v>11</v>
      </c>
      <c r="I126" s="626">
        <f t="shared" ca="1" si="33"/>
        <v>0</v>
      </c>
      <c r="J126" s="698">
        <f t="shared" ca="1" si="29"/>
        <v>0</v>
      </c>
      <c r="K126" s="624">
        <f ca="1">IF(VLOOKUP($H126,CF!$A$4:$K$29,11,FALSE)/12&gt;(I126+J126),-(I126+J126),(-VLOOKUP($H126,CF!$A$4:$K$29,11,FALSE)/12))</f>
        <v>0</v>
      </c>
      <c r="L126" s="702">
        <f t="shared" ca="1" si="30"/>
        <v>0</v>
      </c>
    </row>
    <row r="127" spans="1:12" ht="16.149999999999999" customHeight="1" x14ac:dyDescent="0.45">
      <c r="A127" s="700">
        <f t="shared" ca="1" si="26"/>
        <v>0</v>
      </c>
      <c r="B127" s="701">
        <f t="shared" ca="1" si="31"/>
        <v>0</v>
      </c>
      <c r="C127" s="624">
        <f t="shared" ca="1" si="32"/>
        <v>0</v>
      </c>
      <c r="D127" s="698">
        <f ca="1">IF($A127=0,0,IF(SUMIF(CF!$A$5:$A$29,($A127+2),CF!$G$5:$G$29)/12&gt;C127,-C127,-SUMIF(CF!$A$5:$A$29,($A127+2),CF!$G$5:$G$29)/12))</f>
        <v>0</v>
      </c>
      <c r="E127" s="624">
        <f t="shared" ca="1" si="27"/>
        <v>0</v>
      </c>
      <c r="F127" s="702">
        <f t="shared" ca="1" si="28"/>
        <v>0</v>
      </c>
      <c r="H127" s="514">
        <f t="shared" si="25"/>
        <v>11</v>
      </c>
      <c r="I127" s="626">
        <f t="shared" ca="1" si="33"/>
        <v>0</v>
      </c>
      <c r="J127" s="698">
        <f t="shared" ca="1" si="29"/>
        <v>0</v>
      </c>
      <c r="K127" s="624">
        <f ca="1">IF(VLOOKUP($H127,CF!$A$4:$K$29,11,FALSE)/12&gt;(I127+J127),-(I127+J127),(-VLOOKUP($H127,CF!$A$4:$K$29,11,FALSE)/12))</f>
        <v>0</v>
      </c>
      <c r="L127" s="702">
        <f t="shared" ca="1" si="30"/>
        <v>0</v>
      </c>
    </row>
    <row r="128" spans="1:12" ht="16.149999999999999" customHeight="1" x14ac:dyDescent="0.45">
      <c r="A128" s="700">
        <f t="shared" ca="1" si="26"/>
        <v>0</v>
      </c>
      <c r="B128" s="701">
        <f t="shared" ca="1" si="31"/>
        <v>0</v>
      </c>
      <c r="C128" s="624">
        <f t="shared" ca="1" si="32"/>
        <v>0</v>
      </c>
      <c r="D128" s="698">
        <f ca="1">IF($A128=0,0,IF(SUMIF(CF!$A$5:$A$29,($A128+2),CF!$G$5:$G$29)/12&gt;C128,-C128,-SUMIF(CF!$A$5:$A$29,($A128+2),CF!$G$5:$G$29)/12))</f>
        <v>0</v>
      </c>
      <c r="E128" s="624">
        <f t="shared" ca="1" si="27"/>
        <v>0</v>
      </c>
      <c r="F128" s="702">
        <f t="shared" ca="1" si="28"/>
        <v>0</v>
      </c>
      <c r="H128" s="514">
        <f t="shared" si="25"/>
        <v>11</v>
      </c>
      <c r="I128" s="626">
        <f t="shared" ca="1" si="33"/>
        <v>0</v>
      </c>
      <c r="J128" s="698">
        <f t="shared" ca="1" si="29"/>
        <v>0</v>
      </c>
      <c r="K128" s="624">
        <f ca="1">IF(VLOOKUP($H128,CF!$A$4:$K$29,11,FALSE)/12&gt;(I128+J128),-(I128+J128),(-VLOOKUP($H128,CF!$A$4:$K$29,11,FALSE)/12))</f>
        <v>0</v>
      </c>
      <c r="L128" s="702">
        <f t="shared" ca="1" si="30"/>
        <v>0</v>
      </c>
    </row>
    <row r="129" spans="1:12" ht="16.149999999999999" customHeight="1" x14ac:dyDescent="0.45">
      <c r="A129" s="700">
        <f t="shared" ca="1" si="26"/>
        <v>0</v>
      </c>
      <c r="B129" s="701">
        <f t="shared" ca="1" si="31"/>
        <v>0</v>
      </c>
      <c r="C129" s="624">
        <f t="shared" ca="1" si="32"/>
        <v>0</v>
      </c>
      <c r="D129" s="698">
        <f ca="1">IF($A129=0,0,IF(SUMIF(CF!$A$5:$A$29,($A129+2),CF!$G$5:$G$29)/12&gt;C129,-C129,-SUMIF(CF!$A$5:$A$29,($A129+2),CF!$G$5:$G$29)/12))</f>
        <v>0</v>
      </c>
      <c r="E129" s="624">
        <f t="shared" ca="1" si="27"/>
        <v>0</v>
      </c>
      <c r="F129" s="702">
        <f t="shared" ca="1" si="28"/>
        <v>0</v>
      </c>
      <c r="H129" s="514">
        <f t="shared" si="25"/>
        <v>11</v>
      </c>
      <c r="I129" s="626">
        <f t="shared" ca="1" si="33"/>
        <v>0</v>
      </c>
      <c r="J129" s="698">
        <f t="shared" ca="1" si="29"/>
        <v>0</v>
      </c>
      <c r="K129" s="624">
        <f ca="1">IF(VLOOKUP($H129,CF!$A$4:$K$29,11,FALSE)/12&gt;(I129+J129),-(I129+J129),(-VLOOKUP($H129,CF!$A$4:$K$29,11,FALSE)/12))</f>
        <v>0</v>
      </c>
      <c r="L129" s="702">
        <f t="shared" ca="1" si="30"/>
        <v>0</v>
      </c>
    </row>
    <row r="130" spans="1:12" ht="16.149999999999999" customHeight="1" x14ac:dyDescent="0.45">
      <c r="A130" s="700">
        <f t="shared" ca="1" si="26"/>
        <v>0</v>
      </c>
      <c r="B130" s="701">
        <f t="shared" ca="1" si="31"/>
        <v>0</v>
      </c>
      <c r="C130" s="624">
        <f t="shared" ca="1" si="32"/>
        <v>0</v>
      </c>
      <c r="D130" s="698">
        <f ca="1">IF($A130=0,0,IF(SUMIF(CF!$A$5:$A$29,($A130+2),CF!$G$5:$G$29)/12&gt;C130,-C130,-SUMIF(CF!$A$5:$A$29,($A130+2),CF!$G$5:$G$29)/12))</f>
        <v>0</v>
      </c>
      <c r="E130" s="624">
        <f t="shared" ca="1" si="27"/>
        <v>0</v>
      </c>
      <c r="F130" s="702">
        <f t="shared" ca="1" si="28"/>
        <v>0</v>
      </c>
      <c r="H130" s="514">
        <f t="shared" si="25"/>
        <v>11</v>
      </c>
      <c r="I130" s="626">
        <f t="shared" ca="1" si="33"/>
        <v>0</v>
      </c>
      <c r="J130" s="698">
        <f t="shared" ca="1" si="29"/>
        <v>0</v>
      </c>
      <c r="K130" s="624">
        <f ca="1">IF(VLOOKUP($H130,CF!$A$4:$K$29,11,FALSE)/12&gt;(I130+J130),-(I130+J130),(-VLOOKUP($H130,CF!$A$4:$K$29,11,FALSE)/12))</f>
        <v>0</v>
      </c>
      <c r="L130" s="702">
        <f t="shared" ca="1" si="30"/>
        <v>0</v>
      </c>
    </row>
    <row r="131" spans="1:12" ht="16.149999999999999" customHeight="1" x14ac:dyDescent="0.45">
      <c r="A131" s="700">
        <f t="shared" ca="1" si="26"/>
        <v>0</v>
      </c>
      <c r="B131" s="701">
        <f t="shared" ca="1" si="31"/>
        <v>0</v>
      </c>
      <c r="C131" s="624">
        <f t="shared" ca="1" si="32"/>
        <v>0</v>
      </c>
      <c r="D131" s="698">
        <f ca="1">IF($A131=0,0,IF(SUMIF(CF!$A$5:$A$29,($A131+2),CF!$G$5:$G$29)/12&gt;C131,-C131,-SUMIF(CF!$A$5:$A$29,($A131+2),CF!$G$5:$G$29)/12))</f>
        <v>0</v>
      </c>
      <c r="E131" s="624">
        <f t="shared" ca="1" si="27"/>
        <v>0</v>
      </c>
      <c r="F131" s="702">
        <f t="shared" ca="1" si="28"/>
        <v>0</v>
      </c>
      <c r="H131" s="514">
        <f t="shared" si="25"/>
        <v>11</v>
      </c>
      <c r="I131" s="626">
        <f t="shared" ca="1" si="33"/>
        <v>0</v>
      </c>
      <c r="J131" s="698">
        <f t="shared" ca="1" si="29"/>
        <v>0</v>
      </c>
      <c r="K131" s="624">
        <f ca="1">IF(VLOOKUP($H131,CF!$A$4:$K$29,11,FALSE)/12&gt;(I131+J131),-(I131+J131),(-VLOOKUP($H131,CF!$A$4:$K$29,11,FALSE)/12))</f>
        <v>0</v>
      </c>
      <c r="L131" s="702">
        <f t="shared" ca="1" si="30"/>
        <v>0</v>
      </c>
    </row>
    <row r="132" spans="1:12" ht="16.149999999999999" customHeight="1" x14ac:dyDescent="0.45">
      <c r="A132" s="700">
        <f t="shared" ca="1" si="26"/>
        <v>0</v>
      </c>
      <c r="B132" s="701">
        <f t="shared" ca="1" si="31"/>
        <v>0</v>
      </c>
      <c r="C132" s="624">
        <f t="shared" ca="1" si="32"/>
        <v>0</v>
      </c>
      <c r="D132" s="698">
        <f ca="1">IF($A132=0,0,IF(SUMIF(CF!$A$5:$A$29,($A132+2),CF!$G$5:$G$29)/12&gt;C132,-C132,-SUMIF(CF!$A$5:$A$29,($A132+2),CF!$G$5:$G$29)/12))</f>
        <v>0</v>
      </c>
      <c r="E132" s="624">
        <f t="shared" ca="1" si="27"/>
        <v>0</v>
      </c>
      <c r="F132" s="702">
        <f t="shared" ca="1" si="28"/>
        <v>0</v>
      </c>
      <c r="H132" s="514">
        <f t="shared" si="25"/>
        <v>12</v>
      </c>
      <c r="I132" s="626">
        <f t="shared" ca="1" si="33"/>
        <v>0</v>
      </c>
      <c r="J132" s="698">
        <f t="shared" ca="1" si="29"/>
        <v>0</v>
      </c>
      <c r="K132" s="624">
        <f ca="1">IF(VLOOKUP($H132,CF!$A$4:$K$29,11,FALSE)/12&gt;(I132+J132),-(I132+J132),(-VLOOKUP($H132,CF!$A$4:$K$29,11,FALSE)/12))</f>
        <v>0</v>
      </c>
      <c r="L132" s="702">
        <f t="shared" ca="1" si="30"/>
        <v>0</v>
      </c>
    </row>
    <row r="133" spans="1:12" ht="16.149999999999999" customHeight="1" x14ac:dyDescent="0.45">
      <c r="A133" s="700">
        <f t="shared" ca="1" si="26"/>
        <v>0</v>
      </c>
      <c r="B133" s="701">
        <f t="shared" ca="1" si="31"/>
        <v>0</v>
      </c>
      <c r="C133" s="624">
        <f t="shared" ca="1" si="32"/>
        <v>0</v>
      </c>
      <c r="D133" s="698">
        <f ca="1">IF($A133=0,0,IF(SUMIF(CF!$A$5:$A$29,($A133+2),CF!$G$5:$G$29)/12&gt;C133,-C133,-SUMIF(CF!$A$5:$A$29,($A133+2),CF!$G$5:$G$29)/12))</f>
        <v>0</v>
      </c>
      <c r="E133" s="624">
        <f t="shared" ca="1" si="27"/>
        <v>0</v>
      </c>
      <c r="F133" s="702">
        <f t="shared" ca="1" si="28"/>
        <v>0</v>
      </c>
      <c r="H133" s="514">
        <f t="shared" si="25"/>
        <v>12</v>
      </c>
      <c r="I133" s="626">
        <f t="shared" ca="1" si="33"/>
        <v>0</v>
      </c>
      <c r="J133" s="698">
        <f t="shared" ca="1" si="29"/>
        <v>0</v>
      </c>
      <c r="K133" s="624">
        <f ca="1">IF(VLOOKUP($H133,CF!$A$4:$K$29,11,FALSE)/12&gt;(I133+J133),-(I133+J133),(-VLOOKUP($H133,CF!$A$4:$K$29,11,FALSE)/12))</f>
        <v>0</v>
      </c>
      <c r="L133" s="702">
        <f t="shared" ca="1" si="30"/>
        <v>0</v>
      </c>
    </row>
    <row r="134" spans="1:12" ht="16.149999999999999" customHeight="1" x14ac:dyDescent="0.45">
      <c r="A134" s="700">
        <f t="shared" ca="1" si="26"/>
        <v>0</v>
      </c>
      <c r="B134" s="701">
        <f t="shared" ca="1" si="31"/>
        <v>0</v>
      </c>
      <c r="C134" s="624">
        <f t="shared" ca="1" si="32"/>
        <v>0</v>
      </c>
      <c r="D134" s="698">
        <f ca="1">IF($A134=0,0,IF(SUMIF(CF!$A$5:$A$29,($A134+2),CF!$G$5:$G$29)/12&gt;C134,-C134,-SUMIF(CF!$A$5:$A$29,($A134+2),CF!$G$5:$G$29)/12))</f>
        <v>0</v>
      </c>
      <c r="E134" s="624">
        <f t="shared" ca="1" si="27"/>
        <v>0</v>
      </c>
      <c r="F134" s="702">
        <f t="shared" ca="1" si="28"/>
        <v>0</v>
      </c>
      <c r="H134" s="514">
        <f t="shared" si="25"/>
        <v>12</v>
      </c>
      <c r="I134" s="626">
        <f t="shared" ca="1" si="33"/>
        <v>0</v>
      </c>
      <c r="J134" s="698">
        <f t="shared" ca="1" si="29"/>
        <v>0</v>
      </c>
      <c r="K134" s="624">
        <f ca="1">IF(VLOOKUP($H134,CF!$A$4:$K$29,11,FALSE)/12&gt;(I134+J134),-(I134+J134),(-VLOOKUP($H134,CF!$A$4:$K$29,11,FALSE)/12))</f>
        <v>0</v>
      </c>
      <c r="L134" s="702">
        <f t="shared" ca="1" si="30"/>
        <v>0</v>
      </c>
    </row>
    <row r="135" spans="1:12" ht="16.149999999999999" customHeight="1" x14ac:dyDescent="0.45">
      <c r="A135" s="700">
        <f t="shared" ca="1" si="26"/>
        <v>0</v>
      </c>
      <c r="B135" s="701">
        <f t="shared" ca="1" si="31"/>
        <v>0</v>
      </c>
      <c r="C135" s="624">
        <f t="shared" ca="1" si="32"/>
        <v>0</v>
      </c>
      <c r="D135" s="698">
        <f ca="1">IF($A135=0,0,IF(SUMIF(CF!$A$5:$A$29,($A135+2),CF!$G$5:$G$29)/12&gt;C135,-C135,-SUMIF(CF!$A$5:$A$29,($A135+2),CF!$G$5:$G$29)/12))</f>
        <v>0</v>
      </c>
      <c r="E135" s="624">
        <f t="shared" ca="1" si="27"/>
        <v>0</v>
      </c>
      <c r="F135" s="702">
        <f t="shared" ca="1" si="28"/>
        <v>0</v>
      </c>
      <c r="H135" s="514">
        <f t="shared" si="25"/>
        <v>12</v>
      </c>
      <c r="I135" s="626">
        <f t="shared" ca="1" si="33"/>
        <v>0</v>
      </c>
      <c r="J135" s="698">
        <f t="shared" ca="1" si="29"/>
        <v>0</v>
      </c>
      <c r="K135" s="624">
        <f ca="1">IF(VLOOKUP($H135,CF!$A$4:$K$29,11,FALSE)/12&gt;(I135+J135),-(I135+J135),(-VLOOKUP($H135,CF!$A$4:$K$29,11,FALSE)/12))</f>
        <v>0</v>
      </c>
      <c r="L135" s="702">
        <f t="shared" ca="1" si="30"/>
        <v>0</v>
      </c>
    </row>
    <row r="136" spans="1:12" ht="16.149999999999999" customHeight="1" x14ac:dyDescent="0.45">
      <c r="A136" s="700">
        <f t="shared" ca="1" si="26"/>
        <v>0</v>
      </c>
      <c r="B136" s="701">
        <f t="shared" ca="1" si="31"/>
        <v>0</v>
      </c>
      <c r="C136" s="624">
        <f t="shared" ca="1" si="32"/>
        <v>0</v>
      </c>
      <c r="D136" s="698">
        <f ca="1">IF($A136=0,0,IF(SUMIF(CF!$A$5:$A$29,($A136+2),CF!$G$5:$G$29)/12&gt;C136,-C136,-SUMIF(CF!$A$5:$A$29,($A136+2),CF!$G$5:$G$29)/12))</f>
        <v>0</v>
      </c>
      <c r="E136" s="624">
        <f t="shared" ca="1" si="27"/>
        <v>0</v>
      </c>
      <c r="F136" s="702">
        <f t="shared" ca="1" si="28"/>
        <v>0</v>
      </c>
      <c r="H136" s="514">
        <f t="shared" si="25"/>
        <v>12</v>
      </c>
      <c r="I136" s="626">
        <f t="shared" ca="1" si="33"/>
        <v>0</v>
      </c>
      <c r="J136" s="698">
        <f t="shared" ca="1" si="29"/>
        <v>0</v>
      </c>
      <c r="K136" s="624">
        <f ca="1">IF(VLOOKUP($H136,CF!$A$4:$K$29,11,FALSE)/12&gt;(I136+J136),-(I136+J136),(-VLOOKUP($H136,CF!$A$4:$K$29,11,FALSE)/12))</f>
        <v>0</v>
      </c>
      <c r="L136" s="702">
        <f t="shared" ca="1" si="30"/>
        <v>0</v>
      </c>
    </row>
    <row r="137" spans="1:12" ht="16.149999999999999" customHeight="1" x14ac:dyDescent="0.45">
      <c r="A137" s="700">
        <f t="shared" ca="1" si="26"/>
        <v>0</v>
      </c>
      <c r="B137" s="701">
        <f t="shared" ca="1" si="31"/>
        <v>0</v>
      </c>
      <c r="C137" s="624">
        <f t="shared" ca="1" si="32"/>
        <v>0</v>
      </c>
      <c r="D137" s="698">
        <f ca="1">IF($A137=0,0,IF(SUMIF(CF!$A$5:$A$29,($A137+2),CF!$G$5:$G$29)/12&gt;C137,-C137,-SUMIF(CF!$A$5:$A$29,($A137+2),CF!$G$5:$G$29)/12))</f>
        <v>0</v>
      </c>
      <c r="E137" s="624">
        <f t="shared" ca="1" si="27"/>
        <v>0</v>
      </c>
      <c r="F137" s="702">
        <f t="shared" ca="1" si="28"/>
        <v>0</v>
      </c>
      <c r="H137" s="514">
        <f t="shared" si="25"/>
        <v>12</v>
      </c>
      <c r="I137" s="626">
        <f t="shared" ca="1" si="33"/>
        <v>0</v>
      </c>
      <c r="J137" s="698">
        <f t="shared" ca="1" si="29"/>
        <v>0</v>
      </c>
      <c r="K137" s="624">
        <f ca="1">IF(VLOOKUP($H137,CF!$A$4:$K$29,11,FALSE)/12&gt;(I137+J137),-(I137+J137),(-VLOOKUP($H137,CF!$A$4:$K$29,11,FALSE)/12))</f>
        <v>0</v>
      </c>
      <c r="L137" s="702">
        <f t="shared" ca="1" si="30"/>
        <v>0</v>
      </c>
    </row>
    <row r="138" spans="1:12" ht="16.149999999999999" customHeight="1" x14ac:dyDescent="0.45">
      <c r="A138" s="700">
        <f t="shared" ca="1" si="26"/>
        <v>0</v>
      </c>
      <c r="B138" s="701">
        <f t="shared" ca="1" si="31"/>
        <v>0</v>
      </c>
      <c r="C138" s="624">
        <f t="shared" ca="1" si="32"/>
        <v>0</v>
      </c>
      <c r="D138" s="698">
        <f ca="1">IF($A138=0,0,IF(SUMIF(CF!$A$5:$A$29,($A138+2),CF!$G$5:$G$29)/12&gt;C138,-C138,-SUMIF(CF!$A$5:$A$29,($A138+2),CF!$G$5:$G$29)/12))</f>
        <v>0</v>
      </c>
      <c r="E138" s="624">
        <f t="shared" ca="1" si="27"/>
        <v>0</v>
      </c>
      <c r="F138" s="702">
        <f t="shared" ca="1" si="28"/>
        <v>0</v>
      </c>
      <c r="H138" s="514">
        <f t="shared" si="25"/>
        <v>12</v>
      </c>
      <c r="I138" s="626">
        <f t="shared" ca="1" si="33"/>
        <v>0</v>
      </c>
      <c r="J138" s="698">
        <f t="shared" ca="1" si="29"/>
        <v>0</v>
      </c>
      <c r="K138" s="624">
        <f ca="1">IF(VLOOKUP($H138,CF!$A$4:$K$29,11,FALSE)/12&gt;(I138+J138),-(I138+J138),(-VLOOKUP($H138,CF!$A$4:$K$29,11,FALSE)/12))</f>
        <v>0</v>
      </c>
      <c r="L138" s="702">
        <f t="shared" ca="1" si="30"/>
        <v>0</v>
      </c>
    </row>
    <row r="139" spans="1:12" ht="16.149999999999999" customHeight="1" x14ac:dyDescent="0.45">
      <c r="A139" s="700">
        <f t="shared" ca="1" si="26"/>
        <v>0</v>
      </c>
      <c r="B139" s="701">
        <f t="shared" ca="1" si="31"/>
        <v>0</v>
      </c>
      <c r="C139" s="624">
        <f t="shared" ca="1" si="32"/>
        <v>0</v>
      </c>
      <c r="D139" s="698">
        <f ca="1">IF($A139=0,0,IF(SUMIF(CF!$A$5:$A$29,($A139+2),CF!$G$5:$G$29)/12&gt;C139,-C139,-SUMIF(CF!$A$5:$A$29,($A139+2),CF!$G$5:$G$29)/12))</f>
        <v>0</v>
      </c>
      <c r="E139" s="624">
        <f t="shared" ca="1" si="27"/>
        <v>0</v>
      </c>
      <c r="F139" s="702">
        <f t="shared" ca="1" si="28"/>
        <v>0</v>
      </c>
      <c r="H139" s="514">
        <f t="shared" si="25"/>
        <v>12</v>
      </c>
      <c r="I139" s="626">
        <f t="shared" ca="1" si="33"/>
        <v>0</v>
      </c>
      <c r="J139" s="698">
        <f t="shared" ca="1" si="29"/>
        <v>0</v>
      </c>
      <c r="K139" s="624">
        <f ca="1">IF(VLOOKUP($H139,CF!$A$4:$K$29,11,FALSE)/12&gt;(I139+J139),-(I139+J139),(-VLOOKUP($H139,CF!$A$4:$K$29,11,FALSE)/12))</f>
        <v>0</v>
      </c>
      <c r="L139" s="702">
        <f t="shared" ca="1" si="30"/>
        <v>0</v>
      </c>
    </row>
    <row r="140" spans="1:12" ht="16.149999999999999" customHeight="1" x14ac:dyDescent="0.45">
      <c r="A140" s="700">
        <f t="shared" ca="1" si="26"/>
        <v>0</v>
      </c>
      <c r="B140" s="701">
        <f t="shared" ca="1" si="31"/>
        <v>0</v>
      </c>
      <c r="C140" s="624">
        <f t="shared" ca="1" si="32"/>
        <v>0</v>
      </c>
      <c r="D140" s="698">
        <f ca="1">IF($A140=0,0,IF(SUMIF(CF!$A$5:$A$29,($A140+2),CF!$G$5:$G$29)/12&gt;C140,-C140,-SUMIF(CF!$A$5:$A$29,($A140+2),CF!$G$5:$G$29)/12))</f>
        <v>0</v>
      </c>
      <c r="E140" s="624">
        <f t="shared" ca="1" si="27"/>
        <v>0</v>
      </c>
      <c r="F140" s="702">
        <f t="shared" ca="1" si="28"/>
        <v>0</v>
      </c>
      <c r="H140" s="514">
        <f t="shared" si="25"/>
        <v>12</v>
      </c>
      <c r="I140" s="626">
        <f t="shared" ca="1" si="33"/>
        <v>0</v>
      </c>
      <c r="J140" s="698">
        <f t="shared" ca="1" si="29"/>
        <v>0</v>
      </c>
      <c r="K140" s="624">
        <f ca="1">IF(VLOOKUP($H140,CF!$A$4:$K$29,11,FALSE)/12&gt;(I140+J140),-(I140+J140),(-VLOOKUP($H140,CF!$A$4:$K$29,11,FALSE)/12))</f>
        <v>0</v>
      </c>
      <c r="L140" s="702">
        <f t="shared" ca="1" si="30"/>
        <v>0</v>
      </c>
    </row>
    <row r="141" spans="1:12" ht="16.149999999999999" customHeight="1" x14ac:dyDescent="0.45">
      <c r="A141" s="700">
        <f t="shared" ca="1" si="26"/>
        <v>0</v>
      </c>
      <c r="B141" s="701">
        <f t="shared" ca="1" si="31"/>
        <v>0</v>
      </c>
      <c r="C141" s="624">
        <f t="shared" ca="1" si="32"/>
        <v>0</v>
      </c>
      <c r="D141" s="698">
        <f ca="1">IF($A141=0,0,IF(SUMIF(CF!$A$5:$A$29,($A141+2),CF!$G$5:$G$29)/12&gt;C141,-C141,-SUMIF(CF!$A$5:$A$29,($A141+2),CF!$G$5:$G$29)/12))</f>
        <v>0</v>
      </c>
      <c r="E141" s="624">
        <f t="shared" ca="1" si="27"/>
        <v>0</v>
      </c>
      <c r="F141" s="702">
        <f t="shared" ca="1" si="28"/>
        <v>0</v>
      </c>
      <c r="H141" s="514">
        <f t="shared" si="25"/>
        <v>12</v>
      </c>
      <c r="I141" s="626">
        <f t="shared" ca="1" si="33"/>
        <v>0</v>
      </c>
      <c r="J141" s="698">
        <f t="shared" ca="1" si="29"/>
        <v>0</v>
      </c>
      <c r="K141" s="624">
        <f ca="1">IF(VLOOKUP($H141,CF!$A$4:$K$29,11,FALSE)/12&gt;(I141+J141),-(I141+J141),(-VLOOKUP($H141,CF!$A$4:$K$29,11,FALSE)/12))</f>
        <v>0</v>
      </c>
      <c r="L141" s="702">
        <f t="shared" ca="1" si="30"/>
        <v>0</v>
      </c>
    </row>
    <row r="142" spans="1:12" ht="16.149999999999999" customHeight="1" x14ac:dyDescent="0.45">
      <c r="A142" s="700">
        <f t="shared" ca="1" si="26"/>
        <v>0</v>
      </c>
      <c r="B142" s="701">
        <f t="shared" ca="1" si="31"/>
        <v>0</v>
      </c>
      <c r="C142" s="624">
        <f t="shared" ca="1" si="32"/>
        <v>0</v>
      </c>
      <c r="D142" s="698">
        <f ca="1">IF($A142=0,0,IF(SUMIF(CF!$A$5:$A$29,($A142+2),CF!$G$5:$G$29)/12&gt;C142,-C142,-SUMIF(CF!$A$5:$A$29,($A142+2),CF!$G$5:$G$29)/12))</f>
        <v>0</v>
      </c>
      <c r="E142" s="624">
        <f t="shared" ca="1" si="27"/>
        <v>0</v>
      </c>
      <c r="F142" s="702">
        <f t="shared" ca="1" si="28"/>
        <v>0</v>
      </c>
      <c r="H142" s="514">
        <f t="shared" si="25"/>
        <v>12</v>
      </c>
      <c r="I142" s="626">
        <f t="shared" ca="1" si="33"/>
        <v>0</v>
      </c>
      <c r="J142" s="698">
        <f t="shared" ca="1" si="29"/>
        <v>0</v>
      </c>
      <c r="K142" s="624">
        <f ca="1">IF(VLOOKUP($H142,CF!$A$4:$K$29,11,FALSE)/12&gt;(I142+J142),-(I142+J142),(-VLOOKUP($H142,CF!$A$4:$K$29,11,FALSE)/12))</f>
        <v>0</v>
      </c>
      <c r="L142" s="702">
        <f t="shared" ca="1" si="30"/>
        <v>0</v>
      </c>
    </row>
    <row r="143" spans="1:12" ht="16.149999999999999" customHeight="1" x14ac:dyDescent="0.45">
      <c r="A143" s="700">
        <f t="shared" ca="1" si="26"/>
        <v>0</v>
      </c>
      <c r="B143" s="701">
        <f t="shared" ca="1" si="31"/>
        <v>0</v>
      </c>
      <c r="C143" s="624">
        <f t="shared" ca="1" si="32"/>
        <v>0</v>
      </c>
      <c r="D143" s="698">
        <f ca="1">IF($A143=0,0,IF(SUMIF(CF!$A$5:$A$29,($A143+2),CF!$G$5:$G$29)/12&gt;C143,-C143,-SUMIF(CF!$A$5:$A$29,($A143+2),CF!$G$5:$G$29)/12))</f>
        <v>0</v>
      </c>
      <c r="E143" s="624">
        <f t="shared" ca="1" si="27"/>
        <v>0</v>
      </c>
      <c r="F143" s="702">
        <f t="shared" ca="1" si="28"/>
        <v>0</v>
      </c>
      <c r="H143" s="514">
        <f t="shared" si="25"/>
        <v>12</v>
      </c>
      <c r="I143" s="626">
        <f t="shared" ca="1" si="33"/>
        <v>0</v>
      </c>
      <c r="J143" s="698">
        <f t="shared" ca="1" si="29"/>
        <v>0</v>
      </c>
      <c r="K143" s="624">
        <f ca="1">IF(VLOOKUP($H143,CF!$A$4:$K$29,11,FALSE)/12&gt;(I143+J143),-(I143+J143),(-VLOOKUP($H143,CF!$A$4:$K$29,11,FALSE)/12))</f>
        <v>0</v>
      </c>
      <c r="L143" s="702">
        <f t="shared" ca="1" si="30"/>
        <v>0</v>
      </c>
    </row>
    <row r="144" spans="1:12" ht="16.149999999999999" customHeight="1" x14ac:dyDescent="0.45">
      <c r="A144" s="700">
        <f t="shared" ca="1" si="26"/>
        <v>0</v>
      </c>
      <c r="B144" s="701">
        <f t="shared" ca="1" si="31"/>
        <v>0</v>
      </c>
      <c r="C144" s="624">
        <f t="shared" ca="1" si="32"/>
        <v>0</v>
      </c>
      <c r="D144" s="698">
        <f ca="1">IF($A144=0,0,IF(SUMIF(CF!$A$5:$A$29,($A144+2),CF!$G$5:$G$29)/12&gt;C144,-C144,-SUMIF(CF!$A$5:$A$29,($A144+2),CF!$G$5:$G$29)/12))</f>
        <v>0</v>
      </c>
      <c r="E144" s="624">
        <f t="shared" ca="1" si="27"/>
        <v>0</v>
      </c>
      <c r="F144" s="702">
        <f t="shared" ca="1" si="28"/>
        <v>0</v>
      </c>
      <c r="H144" s="514">
        <f t="shared" si="25"/>
        <v>13</v>
      </c>
      <c r="I144" s="626">
        <f t="shared" ca="1" si="33"/>
        <v>0</v>
      </c>
      <c r="J144" s="698">
        <f t="shared" ca="1" si="29"/>
        <v>0</v>
      </c>
      <c r="K144" s="624">
        <f ca="1">IF(VLOOKUP($H144,CF!$A$4:$K$29,11,FALSE)/12&gt;(I144+J144),-(I144+J144),(-VLOOKUP($H144,CF!$A$4:$K$29,11,FALSE)/12))</f>
        <v>0</v>
      </c>
      <c r="L144" s="702">
        <f t="shared" ca="1" si="30"/>
        <v>0</v>
      </c>
    </row>
    <row r="145" spans="1:12" ht="16.149999999999999" customHeight="1" x14ac:dyDescent="0.45">
      <c r="A145" s="700">
        <f t="shared" ca="1" si="26"/>
        <v>0</v>
      </c>
      <c r="B145" s="701">
        <f t="shared" ca="1" si="31"/>
        <v>0</v>
      </c>
      <c r="C145" s="624">
        <f t="shared" ca="1" si="32"/>
        <v>0</v>
      </c>
      <c r="D145" s="698">
        <f ca="1">IF($A145=0,0,IF(SUMIF(CF!$A$5:$A$29,($A145+2),CF!$G$5:$G$29)/12&gt;C145,-C145,-SUMIF(CF!$A$5:$A$29,($A145+2),CF!$G$5:$G$29)/12))</f>
        <v>0</v>
      </c>
      <c r="E145" s="624">
        <f t="shared" ca="1" si="27"/>
        <v>0</v>
      </c>
      <c r="F145" s="702">
        <f t="shared" ca="1" si="28"/>
        <v>0</v>
      </c>
      <c r="H145" s="514">
        <f t="shared" si="25"/>
        <v>13</v>
      </c>
      <c r="I145" s="626">
        <f t="shared" ca="1" si="33"/>
        <v>0</v>
      </c>
      <c r="J145" s="698">
        <f t="shared" ca="1" si="29"/>
        <v>0</v>
      </c>
      <c r="K145" s="624">
        <f ca="1">IF(VLOOKUP($H145,CF!$A$4:$K$29,11,FALSE)/12&gt;(I145+J145),-(I145+J145),(-VLOOKUP($H145,CF!$A$4:$K$29,11,FALSE)/12))</f>
        <v>0</v>
      </c>
      <c r="L145" s="702">
        <f t="shared" ca="1" si="30"/>
        <v>0</v>
      </c>
    </row>
    <row r="146" spans="1:12" ht="16.149999999999999" customHeight="1" x14ac:dyDescent="0.45">
      <c r="A146" s="700">
        <f t="shared" ca="1" si="26"/>
        <v>0</v>
      </c>
      <c r="B146" s="701">
        <f t="shared" ca="1" si="31"/>
        <v>0</v>
      </c>
      <c r="C146" s="624">
        <f t="shared" ca="1" si="32"/>
        <v>0</v>
      </c>
      <c r="D146" s="698">
        <f ca="1">IF($A146=0,0,IF(SUMIF(CF!$A$5:$A$29,($A146+2),CF!$G$5:$G$29)/12&gt;C146,-C146,-SUMIF(CF!$A$5:$A$29,($A146+2),CF!$G$5:$G$29)/12))</f>
        <v>0</v>
      </c>
      <c r="E146" s="624">
        <f t="shared" ca="1" si="27"/>
        <v>0</v>
      </c>
      <c r="F146" s="702">
        <f t="shared" ca="1" si="28"/>
        <v>0</v>
      </c>
      <c r="H146" s="514">
        <f t="shared" si="25"/>
        <v>13</v>
      </c>
      <c r="I146" s="626">
        <f t="shared" ca="1" si="33"/>
        <v>0</v>
      </c>
      <c r="J146" s="698">
        <f t="shared" ca="1" si="29"/>
        <v>0</v>
      </c>
      <c r="K146" s="624">
        <f ca="1">IF(VLOOKUP($H146,CF!$A$4:$K$29,11,FALSE)/12&gt;(I146+J146),-(I146+J146),(-VLOOKUP($H146,CF!$A$4:$K$29,11,FALSE)/12))</f>
        <v>0</v>
      </c>
      <c r="L146" s="702">
        <f t="shared" ca="1" si="30"/>
        <v>0</v>
      </c>
    </row>
    <row r="147" spans="1:12" ht="16.149999999999999" customHeight="1" x14ac:dyDescent="0.45">
      <c r="A147" s="700">
        <f t="shared" ca="1" si="26"/>
        <v>0</v>
      </c>
      <c r="B147" s="701">
        <f t="shared" ca="1" si="31"/>
        <v>0</v>
      </c>
      <c r="C147" s="624">
        <f t="shared" ca="1" si="32"/>
        <v>0</v>
      </c>
      <c r="D147" s="698">
        <f ca="1">IF($A147=0,0,IF(SUMIF(CF!$A$5:$A$29,($A147+2),CF!$G$5:$G$29)/12&gt;C147,-C147,-SUMIF(CF!$A$5:$A$29,($A147+2),CF!$G$5:$G$29)/12))</f>
        <v>0</v>
      </c>
      <c r="E147" s="624">
        <f t="shared" ca="1" si="27"/>
        <v>0</v>
      </c>
      <c r="F147" s="702">
        <f t="shared" ca="1" si="28"/>
        <v>0</v>
      </c>
      <c r="H147" s="514">
        <f t="shared" si="25"/>
        <v>13</v>
      </c>
      <c r="I147" s="626">
        <f t="shared" ca="1" si="33"/>
        <v>0</v>
      </c>
      <c r="J147" s="698">
        <f t="shared" ca="1" si="29"/>
        <v>0</v>
      </c>
      <c r="K147" s="624">
        <f ca="1">IF(VLOOKUP($H147,CF!$A$4:$K$29,11,FALSE)/12&gt;(I147+J147),-(I147+J147),(-VLOOKUP($H147,CF!$A$4:$K$29,11,FALSE)/12))</f>
        <v>0</v>
      </c>
      <c r="L147" s="702">
        <f t="shared" ca="1" si="30"/>
        <v>0</v>
      </c>
    </row>
    <row r="148" spans="1:12" ht="16.149999999999999" customHeight="1" x14ac:dyDescent="0.45">
      <c r="A148" s="700">
        <f t="shared" ca="1" si="26"/>
        <v>0</v>
      </c>
      <c r="B148" s="701">
        <f t="shared" ca="1" si="31"/>
        <v>0</v>
      </c>
      <c r="C148" s="624">
        <f t="shared" ca="1" si="32"/>
        <v>0</v>
      </c>
      <c r="D148" s="698">
        <f ca="1">IF($A148=0,0,IF(SUMIF(CF!$A$5:$A$29,($A148+2),CF!$G$5:$G$29)/12&gt;C148,-C148,-SUMIF(CF!$A$5:$A$29,($A148+2),CF!$G$5:$G$29)/12))</f>
        <v>0</v>
      </c>
      <c r="E148" s="624">
        <f t="shared" ca="1" si="27"/>
        <v>0</v>
      </c>
      <c r="F148" s="702">
        <f t="shared" ca="1" si="28"/>
        <v>0</v>
      </c>
      <c r="H148" s="514">
        <f t="shared" si="25"/>
        <v>13</v>
      </c>
      <c r="I148" s="626">
        <f t="shared" ca="1" si="33"/>
        <v>0</v>
      </c>
      <c r="J148" s="698">
        <f t="shared" ca="1" si="29"/>
        <v>0</v>
      </c>
      <c r="K148" s="624">
        <f ca="1">IF(VLOOKUP($H148,CF!$A$4:$K$29,11,FALSE)/12&gt;(I148+J148),-(I148+J148),(-VLOOKUP($H148,CF!$A$4:$K$29,11,FALSE)/12))</f>
        <v>0</v>
      </c>
      <c r="L148" s="702">
        <f t="shared" ca="1" si="30"/>
        <v>0</v>
      </c>
    </row>
    <row r="149" spans="1:12" ht="16.149999999999999" customHeight="1" x14ac:dyDescent="0.45">
      <c r="A149" s="700">
        <f t="shared" ca="1" si="26"/>
        <v>0</v>
      </c>
      <c r="B149" s="701">
        <f t="shared" ca="1" si="31"/>
        <v>0</v>
      </c>
      <c r="C149" s="624">
        <f t="shared" ca="1" si="32"/>
        <v>0</v>
      </c>
      <c r="D149" s="698">
        <f ca="1">IF($A149=0,0,IF(SUMIF(CF!$A$5:$A$29,($A149+2),CF!$G$5:$G$29)/12&gt;C149,-C149,-SUMIF(CF!$A$5:$A$29,($A149+2),CF!$G$5:$G$29)/12))</f>
        <v>0</v>
      </c>
      <c r="E149" s="624">
        <f t="shared" ca="1" si="27"/>
        <v>0</v>
      </c>
      <c r="F149" s="702">
        <f t="shared" ca="1" si="28"/>
        <v>0</v>
      </c>
      <c r="H149" s="514">
        <f t="shared" si="25"/>
        <v>13</v>
      </c>
      <c r="I149" s="626">
        <f t="shared" ca="1" si="33"/>
        <v>0</v>
      </c>
      <c r="J149" s="698">
        <f t="shared" ca="1" si="29"/>
        <v>0</v>
      </c>
      <c r="K149" s="624">
        <f ca="1">IF(VLOOKUP($H149,CF!$A$4:$K$29,11,FALSE)/12&gt;(I149+J149),-(I149+J149),(-VLOOKUP($H149,CF!$A$4:$K$29,11,FALSE)/12))</f>
        <v>0</v>
      </c>
      <c r="L149" s="702">
        <f t="shared" ca="1" si="30"/>
        <v>0</v>
      </c>
    </row>
    <row r="150" spans="1:12" ht="16.149999999999999" customHeight="1" x14ac:dyDescent="0.45">
      <c r="A150" s="700">
        <f t="shared" ca="1" si="26"/>
        <v>0</v>
      </c>
      <c r="B150" s="701">
        <f t="shared" ca="1" si="31"/>
        <v>0</v>
      </c>
      <c r="C150" s="624">
        <f t="shared" ca="1" si="32"/>
        <v>0</v>
      </c>
      <c r="D150" s="698">
        <f ca="1">IF($A150=0,0,IF(SUMIF(CF!$A$5:$A$29,($A150+2),CF!$G$5:$G$29)/12&gt;C150,-C150,-SUMIF(CF!$A$5:$A$29,($A150+2),CF!$G$5:$G$29)/12))</f>
        <v>0</v>
      </c>
      <c r="E150" s="624">
        <f t="shared" ca="1" si="27"/>
        <v>0</v>
      </c>
      <c r="F150" s="702">
        <f t="shared" ca="1" si="28"/>
        <v>0</v>
      </c>
      <c r="H150" s="514">
        <f t="shared" si="25"/>
        <v>13</v>
      </c>
      <c r="I150" s="626">
        <f t="shared" ca="1" si="33"/>
        <v>0</v>
      </c>
      <c r="J150" s="698">
        <f t="shared" ca="1" si="29"/>
        <v>0</v>
      </c>
      <c r="K150" s="624">
        <f ca="1">IF(VLOOKUP($H150,CF!$A$4:$K$29,11,FALSE)/12&gt;(I150+J150),-(I150+J150),(-VLOOKUP($H150,CF!$A$4:$K$29,11,FALSE)/12))</f>
        <v>0</v>
      </c>
      <c r="L150" s="702">
        <f t="shared" ca="1" si="30"/>
        <v>0</v>
      </c>
    </row>
    <row r="151" spans="1:12" ht="16.149999999999999" customHeight="1" x14ac:dyDescent="0.45">
      <c r="A151" s="700">
        <f t="shared" ca="1" si="26"/>
        <v>0</v>
      </c>
      <c r="B151" s="701">
        <f t="shared" ca="1" si="31"/>
        <v>0</v>
      </c>
      <c r="C151" s="624">
        <f t="shared" ca="1" si="32"/>
        <v>0</v>
      </c>
      <c r="D151" s="698">
        <f ca="1">IF($A151=0,0,IF(SUMIF(CF!$A$5:$A$29,($A151+2),CF!$G$5:$G$29)/12&gt;C151,-C151,-SUMIF(CF!$A$5:$A$29,($A151+2),CF!$G$5:$G$29)/12))</f>
        <v>0</v>
      </c>
      <c r="E151" s="624">
        <f t="shared" ca="1" si="27"/>
        <v>0</v>
      </c>
      <c r="F151" s="702">
        <f t="shared" ca="1" si="28"/>
        <v>0</v>
      </c>
      <c r="H151" s="514">
        <f t="shared" si="25"/>
        <v>13</v>
      </c>
      <c r="I151" s="626">
        <f t="shared" ca="1" si="33"/>
        <v>0</v>
      </c>
      <c r="J151" s="698">
        <f t="shared" ca="1" si="29"/>
        <v>0</v>
      </c>
      <c r="K151" s="624">
        <f ca="1">IF(VLOOKUP($H151,CF!$A$4:$K$29,11,FALSE)/12&gt;(I151+J151),-(I151+J151),(-VLOOKUP($H151,CF!$A$4:$K$29,11,FALSE)/12))</f>
        <v>0</v>
      </c>
      <c r="L151" s="702">
        <f t="shared" ca="1" si="30"/>
        <v>0</v>
      </c>
    </row>
    <row r="152" spans="1:12" ht="16.149999999999999" customHeight="1" x14ac:dyDescent="0.45">
      <c r="A152" s="700">
        <f t="shared" ref="A152:A183" ca="1" si="34">ROUNDUP(B152/12,0)</f>
        <v>0</v>
      </c>
      <c r="B152" s="701">
        <f t="shared" ca="1" si="31"/>
        <v>0</v>
      </c>
      <c r="C152" s="624">
        <f t="shared" ca="1" si="32"/>
        <v>0</v>
      </c>
      <c r="D152" s="698">
        <f ca="1">IF($A152=0,0,IF(SUMIF(CF!$A$5:$A$29,($A152+2),CF!$G$5:$G$29)/12&gt;C152,-C152,-SUMIF(CF!$A$5:$A$29,($A152+2),CF!$G$5:$G$29)/12))</f>
        <v>0</v>
      </c>
      <c r="E152" s="624">
        <f t="shared" ref="E152:E183" ca="1" si="35">SUM(C152:D152)</f>
        <v>0</v>
      </c>
      <c r="F152" s="702">
        <f t="shared" ref="F152:F183" ca="1" si="36">$C152*$D$2/12</f>
        <v>0</v>
      </c>
      <c r="H152" s="514">
        <f t="shared" si="25"/>
        <v>13</v>
      </c>
      <c r="I152" s="626">
        <f t="shared" ca="1" si="33"/>
        <v>0</v>
      </c>
      <c r="J152" s="698">
        <f t="shared" ref="J152:J183" ca="1" si="37">I152*$D$3/12</f>
        <v>0</v>
      </c>
      <c r="K152" s="624">
        <f ca="1">IF(VLOOKUP($H152,CF!$A$4:$K$29,11,FALSE)/12&gt;(I152+J152),-(I152+J152),(-VLOOKUP($H152,CF!$A$4:$K$29,11,FALSE)/12))</f>
        <v>0</v>
      </c>
      <c r="L152" s="702">
        <f t="shared" ref="L152:L183" ca="1" si="38">SUM(I152:K152)</f>
        <v>0</v>
      </c>
    </row>
    <row r="153" spans="1:12" ht="16.149999999999999" customHeight="1" x14ac:dyDescent="0.45">
      <c r="A153" s="700">
        <f t="shared" ca="1" si="34"/>
        <v>0</v>
      </c>
      <c r="B153" s="701">
        <f t="shared" ref="B153:B184" ca="1" si="39">IF(OR(ROUND(E152,0)=0,E152&lt;0),0,B152+1)</f>
        <v>0</v>
      </c>
      <c r="C153" s="624">
        <f t="shared" ref="C153:C184" ca="1" si="40">E152</f>
        <v>0</v>
      </c>
      <c r="D153" s="698">
        <f ca="1">IF($A153=0,0,IF(SUMIF(CF!$A$5:$A$29,($A153+2),CF!$G$5:$G$29)/12&gt;C153,-C153,-SUMIF(CF!$A$5:$A$29,($A153+2),CF!$G$5:$G$29)/12))</f>
        <v>0</v>
      </c>
      <c r="E153" s="624">
        <f t="shared" ca="1" si="35"/>
        <v>0</v>
      </c>
      <c r="F153" s="702">
        <f t="shared" ca="1" si="36"/>
        <v>0</v>
      </c>
      <c r="H153" s="514">
        <f t="shared" si="25"/>
        <v>13</v>
      </c>
      <c r="I153" s="626">
        <f t="shared" ref="I153:I184" ca="1" si="41">L152</f>
        <v>0</v>
      </c>
      <c r="J153" s="698">
        <f t="shared" ca="1" si="37"/>
        <v>0</v>
      </c>
      <c r="K153" s="624">
        <f ca="1">IF(VLOOKUP($H153,CF!$A$4:$K$29,11,FALSE)/12&gt;(I153+J153),-(I153+J153),(-VLOOKUP($H153,CF!$A$4:$K$29,11,FALSE)/12))</f>
        <v>0</v>
      </c>
      <c r="L153" s="702">
        <f t="shared" ca="1" si="38"/>
        <v>0</v>
      </c>
    </row>
    <row r="154" spans="1:12" ht="16.149999999999999" customHeight="1" x14ac:dyDescent="0.45">
      <c r="A154" s="700">
        <f t="shared" ca="1" si="34"/>
        <v>0</v>
      </c>
      <c r="B154" s="701">
        <f t="shared" ca="1" si="39"/>
        <v>0</v>
      </c>
      <c r="C154" s="624">
        <f t="shared" ca="1" si="40"/>
        <v>0</v>
      </c>
      <c r="D154" s="698">
        <f ca="1">IF($A154=0,0,IF(SUMIF(CF!$A$5:$A$29,($A154+2),CF!$G$5:$G$29)/12&gt;C154,-C154,-SUMIF(CF!$A$5:$A$29,($A154+2),CF!$G$5:$G$29)/12))</f>
        <v>0</v>
      </c>
      <c r="E154" s="624">
        <f t="shared" ca="1" si="35"/>
        <v>0</v>
      </c>
      <c r="F154" s="702">
        <f t="shared" ca="1" si="36"/>
        <v>0</v>
      </c>
      <c r="H154" s="514">
        <f t="shared" si="25"/>
        <v>13</v>
      </c>
      <c r="I154" s="626">
        <f t="shared" ca="1" si="41"/>
        <v>0</v>
      </c>
      <c r="J154" s="698">
        <f t="shared" ca="1" si="37"/>
        <v>0</v>
      </c>
      <c r="K154" s="624">
        <f ca="1">IF(VLOOKUP($H154,CF!$A$4:$K$29,11,FALSE)/12&gt;(I154+J154),-(I154+J154),(-VLOOKUP($H154,CF!$A$4:$K$29,11,FALSE)/12))</f>
        <v>0</v>
      </c>
      <c r="L154" s="702">
        <f t="shared" ca="1" si="38"/>
        <v>0</v>
      </c>
    </row>
    <row r="155" spans="1:12" ht="16.149999999999999" customHeight="1" x14ac:dyDescent="0.45">
      <c r="A155" s="700">
        <f t="shared" ca="1" si="34"/>
        <v>0</v>
      </c>
      <c r="B155" s="701">
        <f t="shared" ca="1" si="39"/>
        <v>0</v>
      </c>
      <c r="C155" s="624">
        <f t="shared" ca="1" si="40"/>
        <v>0</v>
      </c>
      <c r="D155" s="698">
        <f ca="1">IF($A155=0,0,IF(SUMIF(CF!$A$5:$A$29,($A155+2),CF!$G$5:$G$29)/12&gt;C155,-C155,-SUMIF(CF!$A$5:$A$29,($A155+2),CF!$G$5:$G$29)/12))</f>
        <v>0</v>
      </c>
      <c r="E155" s="624">
        <f t="shared" ca="1" si="35"/>
        <v>0</v>
      </c>
      <c r="F155" s="702">
        <f t="shared" ca="1" si="36"/>
        <v>0</v>
      </c>
      <c r="H155" s="514">
        <f t="shared" si="25"/>
        <v>13</v>
      </c>
      <c r="I155" s="626">
        <f t="shared" ca="1" si="41"/>
        <v>0</v>
      </c>
      <c r="J155" s="698">
        <f t="shared" ca="1" si="37"/>
        <v>0</v>
      </c>
      <c r="K155" s="624">
        <f ca="1">IF(VLOOKUP($H155,CF!$A$4:$K$29,11,FALSE)/12&gt;(I155+J155),-(I155+J155),(-VLOOKUP($H155,CF!$A$4:$K$29,11,FALSE)/12))</f>
        <v>0</v>
      </c>
      <c r="L155" s="702">
        <f t="shared" ca="1" si="38"/>
        <v>0</v>
      </c>
    </row>
    <row r="156" spans="1:12" ht="16.149999999999999" customHeight="1" x14ac:dyDescent="0.45">
      <c r="A156" s="700">
        <f t="shared" ca="1" si="34"/>
        <v>0</v>
      </c>
      <c r="B156" s="701">
        <f t="shared" ca="1" si="39"/>
        <v>0</v>
      </c>
      <c r="C156" s="624">
        <f t="shared" ca="1" si="40"/>
        <v>0</v>
      </c>
      <c r="D156" s="698">
        <f ca="1">IF($A156=0,0,IF(SUMIF(CF!$A$5:$A$29,($A156+2),CF!$G$5:$G$29)/12&gt;C156,-C156,-SUMIF(CF!$A$5:$A$29,($A156+2),CF!$G$5:$G$29)/12))</f>
        <v>0</v>
      </c>
      <c r="E156" s="624">
        <f t="shared" ca="1" si="35"/>
        <v>0</v>
      </c>
      <c r="F156" s="702">
        <f t="shared" ca="1" si="36"/>
        <v>0</v>
      </c>
      <c r="H156" s="514">
        <f t="shared" si="25"/>
        <v>14</v>
      </c>
      <c r="I156" s="626">
        <f t="shared" ca="1" si="41"/>
        <v>0</v>
      </c>
      <c r="J156" s="698">
        <f t="shared" ca="1" si="37"/>
        <v>0</v>
      </c>
      <c r="K156" s="624">
        <f ca="1">IF(VLOOKUP($H156,CF!$A$4:$K$29,11,FALSE)/12&gt;(I156+J156),-(I156+J156),(-VLOOKUP($H156,CF!$A$4:$K$29,11,FALSE)/12))</f>
        <v>0</v>
      </c>
      <c r="L156" s="702">
        <f t="shared" ca="1" si="38"/>
        <v>0</v>
      </c>
    </row>
    <row r="157" spans="1:12" ht="16.149999999999999" customHeight="1" x14ac:dyDescent="0.45">
      <c r="A157" s="700">
        <f t="shared" ca="1" si="34"/>
        <v>0</v>
      </c>
      <c r="B157" s="701">
        <f t="shared" ca="1" si="39"/>
        <v>0</v>
      </c>
      <c r="C157" s="624">
        <f t="shared" ca="1" si="40"/>
        <v>0</v>
      </c>
      <c r="D157" s="698">
        <f ca="1">IF($A157=0,0,IF(SUMIF(CF!$A$5:$A$29,($A157+2),CF!$G$5:$G$29)/12&gt;C157,-C157,-SUMIF(CF!$A$5:$A$29,($A157+2),CF!$G$5:$G$29)/12))</f>
        <v>0</v>
      </c>
      <c r="E157" s="624">
        <f t="shared" ca="1" si="35"/>
        <v>0</v>
      </c>
      <c r="F157" s="702">
        <f t="shared" ca="1" si="36"/>
        <v>0</v>
      </c>
      <c r="H157" s="514">
        <f t="shared" si="25"/>
        <v>14</v>
      </c>
      <c r="I157" s="626">
        <f t="shared" ca="1" si="41"/>
        <v>0</v>
      </c>
      <c r="J157" s="698">
        <f t="shared" ca="1" si="37"/>
        <v>0</v>
      </c>
      <c r="K157" s="624">
        <f ca="1">IF(VLOOKUP($H157,CF!$A$4:$K$29,11,FALSE)/12&gt;(I157+J157),-(I157+J157),(-VLOOKUP($H157,CF!$A$4:$K$29,11,FALSE)/12))</f>
        <v>0</v>
      </c>
      <c r="L157" s="702">
        <f t="shared" ca="1" si="38"/>
        <v>0</v>
      </c>
    </row>
    <row r="158" spans="1:12" ht="16.149999999999999" customHeight="1" x14ac:dyDescent="0.45">
      <c r="A158" s="700">
        <f t="shared" ca="1" si="34"/>
        <v>0</v>
      </c>
      <c r="B158" s="701">
        <f t="shared" ca="1" si="39"/>
        <v>0</v>
      </c>
      <c r="C158" s="624">
        <f t="shared" ca="1" si="40"/>
        <v>0</v>
      </c>
      <c r="D158" s="698">
        <f ca="1">IF($A158=0,0,IF(SUMIF(CF!$A$5:$A$29,($A158+2),CF!$G$5:$G$29)/12&gt;C158,-C158,-SUMIF(CF!$A$5:$A$29,($A158+2),CF!$G$5:$G$29)/12))</f>
        <v>0</v>
      </c>
      <c r="E158" s="624">
        <f t="shared" ca="1" si="35"/>
        <v>0</v>
      </c>
      <c r="F158" s="702">
        <f t="shared" ca="1" si="36"/>
        <v>0</v>
      </c>
      <c r="H158" s="514">
        <f t="shared" si="25"/>
        <v>14</v>
      </c>
      <c r="I158" s="626">
        <f t="shared" ca="1" si="41"/>
        <v>0</v>
      </c>
      <c r="J158" s="698">
        <f t="shared" ca="1" si="37"/>
        <v>0</v>
      </c>
      <c r="K158" s="624">
        <f ca="1">IF(VLOOKUP($H158,CF!$A$4:$K$29,11,FALSE)/12&gt;(I158+J158),-(I158+J158),(-VLOOKUP($H158,CF!$A$4:$K$29,11,FALSE)/12))</f>
        <v>0</v>
      </c>
      <c r="L158" s="702">
        <f t="shared" ca="1" si="38"/>
        <v>0</v>
      </c>
    </row>
    <row r="159" spans="1:12" ht="16.149999999999999" customHeight="1" x14ac:dyDescent="0.45">
      <c r="A159" s="700">
        <f t="shared" ca="1" si="34"/>
        <v>0</v>
      </c>
      <c r="B159" s="701">
        <f t="shared" ca="1" si="39"/>
        <v>0</v>
      </c>
      <c r="C159" s="624">
        <f t="shared" ca="1" si="40"/>
        <v>0</v>
      </c>
      <c r="D159" s="698">
        <f ca="1">IF($A159=0,0,IF(SUMIF(CF!$A$5:$A$29,($A159+2),CF!$G$5:$G$29)/12&gt;C159,-C159,-SUMIF(CF!$A$5:$A$29,($A159+2),CF!$G$5:$G$29)/12))</f>
        <v>0</v>
      </c>
      <c r="E159" s="624">
        <f t="shared" ca="1" si="35"/>
        <v>0</v>
      </c>
      <c r="F159" s="702">
        <f t="shared" ca="1" si="36"/>
        <v>0</v>
      </c>
      <c r="H159" s="514">
        <f t="shared" si="25"/>
        <v>14</v>
      </c>
      <c r="I159" s="626">
        <f t="shared" ca="1" si="41"/>
        <v>0</v>
      </c>
      <c r="J159" s="698">
        <f t="shared" ca="1" si="37"/>
        <v>0</v>
      </c>
      <c r="K159" s="624">
        <f ca="1">IF(VLOOKUP($H159,CF!$A$4:$K$29,11,FALSE)/12&gt;(I159+J159),-(I159+J159),(-VLOOKUP($H159,CF!$A$4:$K$29,11,FALSE)/12))</f>
        <v>0</v>
      </c>
      <c r="L159" s="702">
        <f t="shared" ca="1" si="38"/>
        <v>0</v>
      </c>
    </row>
    <row r="160" spans="1:12" ht="16.149999999999999" customHeight="1" x14ac:dyDescent="0.45">
      <c r="A160" s="700">
        <f t="shared" ca="1" si="34"/>
        <v>0</v>
      </c>
      <c r="B160" s="701">
        <f t="shared" ca="1" si="39"/>
        <v>0</v>
      </c>
      <c r="C160" s="624">
        <f t="shared" ca="1" si="40"/>
        <v>0</v>
      </c>
      <c r="D160" s="698">
        <f ca="1">IF($A160=0,0,IF(SUMIF(CF!$A$5:$A$29,($A160+2),CF!$G$5:$G$29)/12&gt;C160,-C160,-SUMIF(CF!$A$5:$A$29,($A160+2),CF!$G$5:$G$29)/12))</f>
        <v>0</v>
      </c>
      <c r="E160" s="624">
        <f t="shared" ca="1" si="35"/>
        <v>0</v>
      </c>
      <c r="F160" s="702">
        <f t="shared" ca="1" si="36"/>
        <v>0</v>
      </c>
      <c r="H160" s="514">
        <f t="shared" si="25"/>
        <v>14</v>
      </c>
      <c r="I160" s="626">
        <f t="shared" ca="1" si="41"/>
        <v>0</v>
      </c>
      <c r="J160" s="698">
        <f t="shared" ca="1" si="37"/>
        <v>0</v>
      </c>
      <c r="K160" s="624">
        <f ca="1">IF(VLOOKUP($H160,CF!$A$4:$K$29,11,FALSE)/12&gt;(I160+J160),-(I160+J160),(-VLOOKUP($H160,CF!$A$4:$K$29,11,FALSE)/12))</f>
        <v>0</v>
      </c>
      <c r="L160" s="702">
        <f t="shared" ca="1" si="38"/>
        <v>0</v>
      </c>
    </row>
    <row r="161" spans="1:12" ht="16.149999999999999" customHeight="1" x14ac:dyDescent="0.45">
      <c r="A161" s="700">
        <f t="shared" ca="1" si="34"/>
        <v>0</v>
      </c>
      <c r="B161" s="701">
        <f t="shared" ca="1" si="39"/>
        <v>0</v>
      </c>
      <c r="C161" s="624">
        <f t="shared" ca="1" si="40"/>
        <v>0</v>
      </c>
      <c r="D161" s="698">
        <f ca="1">IF($A161=0,0,IF(SUMIF(CF!$A$5:$A$29,($A161+2),CF!$G$5:$G$29)/12&gt;C161,-C161,-SUMIF(CF!$A$5:$A$29,($A161+2),CF!$G$5:$G$29)/12))</f>
        <v>0</v>
      </c>
      <c r="E161" s="624">
        <f t="shared" ca="1" si="35"/>
        <v>0</v>
      </c>
      <c r="F161" s="702">
        <f t="shared" ca="1" si="36"/>
        <v>0</v>
      </c>
      <c r="H161" s="514">
        <f t="shared" si="25"/>
        <v>14</v>
      </c>
      <c r="I161" s="626">
        <f t="shared" ca="1" si="41"/>
        <v>0</v>
      </c>
      <c r="J161" s="698">
        <f t="shared" ca="1" si="37"/>
        <v>0</v>
      </c>
      <c r="K161" s="624">
        <f ca="1">IF(VLOOKUP($H161,CF!$A$4:$K$29,11,FALSE)/12&gt;(I161+J161),-(I161+J161),(-VLOOKUP($H161,CF!$A$4:$K$29,11,FALSE)/12))</f>
        <v>0</v>
      </c>
      <c r="L161" s="702">
        <f t="shared" ca="1" si="38"/>
        <v>0</v>
      </c>
    </row>
    <row r="162" spans="1:12" ht="16.149999999999999" customHeight="1" x14ac:dyDescent="0.45">
      <c r="A162" s="700">
        <f t="shared" ca="1" si="34"/>
        <v>0</v>
      </c>
      <c r="B162" s="701">
        <f t="shared" ca="1" si="39"/>
        <v>0</v>
      </c>
      <c r="C162" s="624">
        <f t="shared" ca="1" si="40"/>
        <v>0</v>
      </c>
      <c r="D162" s="698">
        <f ca="1">IF($A162=0,0,IF(SUMIF(CF!$A$5:$A$29,($A162+2),CF!$G$5:$G$29)/12&gt;C162,-C162,-SUMIF(CF!$A$5:$A$29,($A162+2),CF!$G$5:$G$29)/12))</f>
        <v>0</v>
      </c>
      <c r="E162" s="624">
        <f t="shared" ca="1" si="35"/>
        <v>0</v>
      </c>
      <c r="F162" s="702">
        <f t="shared" ca="1" si="36"/>
        <v>0</v>
      </c>
      <c r="H162" s="514">
        <f t="shared" si="25"/>
        <v>14</v>
      </c>
      <c r="I162" s="626">
        <f t="shared" ca="1" si="41"/>
        <v>0</v>
      </c>
      <c r="J162" s="698">
        <f t="shared" ca="1" si="37"/>
        <v>0</v>
      </c>
      <c r="K162" s="624">
        <f ca="1">IF(VLOOKUP($H162,CF!$A$4:$K$29,11,FALSE)/12&gt;(I162+J162),-(I162+J162),(-VLOOKUP($H162,CF!$A$4:$K$29,11,FALSE)/12))</f>
        <v>0</v>
      </c>
      <c r="L162" s="702">
        <f t="shared" ca="1" si="38"/>
        <v>0</v>
      </c>
    </row>
    <row r="163" spans="1:12" ht="16.149999999999999" customHeight="1" x14ac:dyDescent="0.45">
      <c r="A163" s="700">
        <f t="shared" ca="1" si="34"/>
        <v>0</v>
      </c>
      <c r="B163" s="701">
        <f t="shared" ca="1" si="39"/>
        <v>0</v>
      </c>
      <c r="C163" s="624">
        <f t="shared" ca="1" si="40"/>
        <v>0</v>
      </c>
      <c r="D163" s="698">
        <f ca="1">IF($A163=0,0,IF(SUMIF(CF!$A$5:$A$29,($A163+2),CF!$G$5:$G$29)/12&gt;C163,-C163,-SUMIF(CF!$A$5:$A$29,($A163+2),CF!$G$5:$G$29)/12))</f>
        <v>0</v>
      </c>
      <c r="E163" s="624">
        <f t="shared" ca="1" si="35"/>
        <v>0</v>
      </c>
      <c r="F163" s="702">
        <f t="shared" ca="1" si="36"/>
        <v>0</v>
      </c>
      <c r="H163" s="514">
        <f t="shared" si="25"/>
        <v>14</v>
      </c>
      <c r="I163" s="626">
        <f t="shared" ca="1" si="41"/>
        <v>0</v>
      </c>
      <c r="J163" s="698">
        <f t="shared" ca="1" si="37"/>
        <v>0</v>
      </c>
      <c r="K163" s="624">
        <f ca="1">IF(VLOOKUP($H163,CF!$A$4:$K$29,11,FALSE)/12&gt;(I163+J163),-(I163+J163),(-VLOOKUP($H163,CF!$A$4:$K$29,11,FALSE)/12))</f>
        <v>0</v>
      </c>
      <c r="L163" s="702">
        <f t="shared" ca="1" si="38"/>
        <v>0</v>
      </c>
    </row>
    <row r="164" spans="1:12" ht="16.149999999999999" customHeight="1" x14ac:dyDescent="0.45">
      <c r="A164" s="700">
        <f t="shared" ca="1" si="34"/>
        <v>0</v>
      </c>
      <c r="B164" s="701">
        <f t="shared" ca="1" si="39"/>
        <v>0</v>
      </c>
      <c r="C164" s="624">
        <f t="shared" ca="1" si="40"/>
        <v>0</v>
      </c>
      <c r="D164" s="698">
        <f ca="1">IF($A164=0,0,IF(SUMIF(CF!$A$5:$A$29,($A164+2),CF!$G$5:$G$29)/12&gt;C164,-C164,-SUMIF(CF!$A$5:$A$29,($A164+2),CF!$G$5:$G$29)/12))</f>
        <v>0</v>
      </c>
      <c r="E164" s="624">
        <f t="shared" ca="1" si="35"/>
        <v>0</v>
      </c>
      <c r="F164" s="702">
        <f t="shared" ca="1" si="36"/>
        <v>0</v>
      </c>
      <c r="H164" s="514">
        <f t="shared" si="25"/>
        <v>14</v>
      </c>
      <c r="I164" s="626">
        <f t="shared" ca="1" si="41"/>
        <v>0</v>
      </c>
      <c r="J164" s="698">
        <f t="shared" ca="1" si="37"/>
        <v>0</v>
      </c>
      <c r="K164" s="624">
        <f ca="1">IF(VLOOKUP($H164,CF!$A$4:$K$29,11,FALSE)/12&gt;(I164+J164),-(I164+J164),(-VLOOKUP($H164,CF!$A$4:$K$29,11,FALSE)/12))</f>
        <v>0</v>
      </c>
      <c r="L164" s="702">
        <f t="shared" ca="1" si="38"/>
        <v>0</v>
      </c>
    </row>
    <row r="165" spans="1:12" ht="16.149999999999999" customHeight="1" x14ac:dyDescent="0.45">
      <c r="A165" s="700">
        <f t="shared" ca="1" si="34"/>
        <v>0</v>
      </c>
      <c r="B165" s="701">
        <f t="shared" ca="1" si="39"/>
        <v>0</v>
      </c>
      <c r="C165" s="624">
        <f t="shared" ca="1" si="40"/>
        <v>0</v>
      </c>
      <c r="D165" s="698">
        <f ca="1">IF($A165=0,0,IF(SUMIF(CF!$A$5:$A$29,($A165+2),CF!$G$5:$G$29)/12&gt;C165,-C165,-SUMIF(CF!$A$5:$A$29,($A165+2),CF!$G$5:$G$29)/12))</f>
        <v>0</v>
      </c>
      <c r="E165" s="624">
        <f t="shared" ca="1" si="35"/>
        <v>0</v>
      </c>
      <c r="F165" s="702">
        <f t="shared" ca="1" si="36"/>
        <v>0</v>
      </c>
      <c r="H165" s="514">
        <f t="shared" ref="H165:H228" si="42">H153+1</f>
        <v>14</v>
      </c>
      <c r="I165" s="626">
        <f t="shared" ca="1" si="41"/>
        <v>0</v>
      </c>
      <c r="J165" s="698">
        <f t="shared" ca="1" si="37"/>
        <v>0</v>
      </c>
      <c r="K165" s="624">
        <f ca="1">IF(VLOOKUP($H165,CF!$A$4:$K$29,11,FALSE)/12&gt;(I165+J165),-(I165+J165),(-VLOOKUP($H165,CF!$A$4:$K$29,11,FALSE)/12))</f>
        <v>0</v>
      </c>
      <c r="L165" s="702">
        <f t="shared" ca="1" si="38"/>
        <v>0</v>
      </c>
    </row>
    <row r="166" spans="1:12" ht="16.149999999999999" customHeight="1" x14ac:dyDescent="0.45">
      <c r="A166" s="700">
        <f t="shared" ca="1" si="34"/>
        <v>0</v>
      </c>
      <c r="B166" s="701">
        <f t="shared" ca="1" si="39"/>
        <v>0</v>
      </c>
      <c r="C166" s="624">
        <f t="shared" ca="1" si="40"/>
        <v>0</v>
      </c>
      <c r="D166" s="698">
        <f ca="1">IF($A166=0,0,IF(SUMIF(CF!$A$5:$A$29,($A166+2),CF!$G$5:$G$29)/12&gt;C166,-C166,-SUMIF(CF!$A$5:$A$29,($A166+2),CF!$G$5:$G$29)/12))</f>
        <v>0</v>
      </c>
      <c r="E166" s="624">
        <f t="shared" ca="1" si="35"/>
        <v>0</v>
      </c>
      <c r="F166" s="702">
        <f t="shared" ca="1" si="36"/>
        <v>0</v>
      </c>
      <c r="H166" s="514">
        <f t="shared" si="42"/>
        <v>14</v>
      </c>
      <c r="I166" s="626">
        <f t="shared" ca="1" si="41"/>
        <v>0</v>
      </c>
      <c r="J166" s="698">
        <f t="shared" ca="1" si="37"/>
        <v>0</v>
      </c>
      <c r="K166" s="624">
        <f ca="1">IF(VLOOKUP($H166,CF!$A$4:$K$29,11,FALSE)/12&gt;(I166+J166),-(I166+J166),(-VLOOKUP($H166,CF!$A$4:$K$29,11,FALSE)/12))</f>
        <v>0</v>
      </c>
      <c r="L166" s="702">
        <f t="shared" ca="1" si="38"/>
        <v>0</v>
      </c>
    </row>
    <row r="167" spans="1:12" ht="16.149999999999999" customHeight="1" x14ac:dyDescent="0.45">
      <c r="A167" s="700">
        <f t="shared" ca="1" si="34"/>
        <v>0</v>
      </c>
      <c r="B167" s="701">
        <f t="shared" ca="1" si="39"/>
        <v>0</v>
      </c>
      <c r="C167" s="624">
        <f t="shared" ca="1" si="40"/>
        <v>0</v>
      </c>
      <c r="D167" s="698">
        <f ca="1">IF($A167=0,0,IF(SUMIF(CF!$A$5:$A$29,($A167+2),CF!$G$5:$G$29)/12&gt;C167,-C167,-SUMIF(CF!$A$5:$A$29,($A167+2),CF!$G$5:$G$29)/12))</f>
        <v>0</v>
      </c>
      <c r="E167" s="624">
        <f t="shared" ca="1" si="35"/>
        <v>0</v>
      </c>
      <c r="F167" s="702">
        <f t="shared" ca="1" si="36"/>
        <v>0</v>
      </c>
      <c r="H167" s="514">
        <f t="shared" si="42"/>
        <v>14</v>
      </c>
      <c r="I167" s="626">
        <f t="shared" ca="1" si="41"/>
        <v>0</v>
      </c>
      <c r="J167" s="698">
        <f t="shared" ca="1" si="37"/>
        <v>0</v>
      </c>
      <c r="K167" s="624">
        <f ca="1">IF(VLOOKUP($H167,CF!$A$4:$K$29,11,FALSE)/12&gt;(I167+J167),-(I167+J167),(-VLOOKUP($H167,CF!$A$4:$K$29,11,FALSE)/12))</f>
        <v>0</v>
      </c>
      <c r="L167" s="702">
        <f t="shared" ca="1" si="38"/>
        <v>0</v>
      </c>
    </row>
    <row r="168" spans="1:12" ht="16.149999999999999" customHeight="1" x14ac:dyDescent="0.45">
      <c r="A168" s="700">
        <f t="shared" ca="1" si="34"/>
        <v>0</v>
      </c>
      <c r="B168" s="701">
        <f t="shared" ca="1" si="39"/>
        <v>0</v>
      </c>
      <c r="C168" s="624">
        <f t="shared" ca="1" si="40"/>
        <v>0</v>
      </c>
      <c r="D168" s="698">
        <f ca="1">IF($A168=0,0,IF(SUMIF(CF!$A$5:$A$29,($A168+2),CF!$G$5:$G$29)/12&gt;C168,-C168,-SUMIF(CF!$A$5:$A$29,($A168+2),CF!$G$5:$G$29)/12))</f>
        <v>0</v>
      </c>
      <c r="E168" s="624">
        <f t="shared" ca="1" si="35"/>
        <v>0</v>
      </c>
      <c r="F168" s="702">
        <f t="shared" ca="1" si="36"/>
        <v>0</v>
      </c>
      <c r="H168" s="514">
        <f t="shared" si="42"/>
        <v>15</v>
      </c>
      <c r="I168" s="626">
        <f t="shared" ca="1" si="41"/>
        <v>0</v>
      </c>
      <c r="J168" s="698">
        <f t="shared" ca="1" si="37"/>
        <v>0</v>
      </c>
      <c r="K168" s="624">
        <f ca="1">IF(VLOOKUP($H168,CF!$A$4:$K$29,11,FALSE)/12&gt;(I168+J168),-(I168+J168),(-VLOOKUP($H168,CF!$A$4:$K$29,11,FALSE)/12))</f>
        <v>0</v>
      </c>
      <c r="L168" s="702">
        <f t="shared" ca="1" si="38"/>
        <v>0</v>
      </c>
    </row>
    <row r="169" spans="1:12" ht="16.149999999999999" customHeight="1" x14ac:dyDescent="0.45">
      <c r="A169" s="700">
        <f t="shared" ca="1" si="34"/>
        <v>0</v>
      </c>
      <c r="B169" s="701">
        <f t="shared" ca="1" si="39"/>
        <v>0</v>
      </c>
      <c r="C169" s="624">
        <f t="shared" ca="1" si="40"/>
        <v>0</v>
      </c>
      <c r="D169" s="698">
        <f ca="1">IF($A169=0,0,IF(SUMIF(CF!$A$5:$A$29,($A169+2),CF!$G$5:$G$29)/12&gt;C169,-C169,-SUMIF(CF!$A$5:$A$29,($A169+2),CF!$G$5:$G$29)/12))</f>
        <v>0</v>
      </c>
      <c r="E169" s="624">
        <f t="shared" ca="1" si="35"/>
        <v>0</v>
      </c>
      <c r="F169" s="702">
        <f t="shared" ca="1" si="36"/>
        <v>0</v>
      </c>
      <c r="H169" s="514">
        <f t="shared" si="42"/>
        <v>15</v>
      </c>
      <c r="I169" s="626">
        <f t="shared" ca="1" si="41"/>
        <v>0</v>
      </c>
      <c r="J169" s="698">
        <f t="shared" ca="1" si="37"/>
        <v>0</v>
      </c>
      <c r="K169" s="624">
        <f ca="1">IF(VLOOKUP($H169,CF!$A$4:$K$29,11,FALSE)/12&gt;(I169+J169),-(I169+J169),(-VLOOKUP($H169,CF!$A$4:$K$29,11,FALSE)/12))</f>
        <v>0</v>
      </c>
      <c r="L169" s="702">
        <f t="shared" ca="1" si="38"/>
        <v>0</v>
      </c>
    </row>
    <row r="170" spans="1:12" ht="16.149999999999999" customHeight="1" x14ac:dyDescent="0.45">
      <c r="A170" s="700">
        <f t="shared" ca="1" si="34"/>
        <v>0</v>
      </c>
      <c r="B170" s="701">
        <f t="shared" ca="1" si="39"/>
        <v>0</v>
      </c>
      <c r="C170" s="624">
        <f t="shared" ca="1" si="40"/>
        <v>0</v>
      </c>
      <c r="D170" s="698">
        <f ca="1">IF($A170=0,0,IF(SUMIF(CF!$A$5:$A$29,($A170+2),CF!$G$5:$G$29)/12&gt;C170,-C170,-SUMIF(CF!$A$5:$A$29,($A170+2),CF!$G$5:$G$29)/12))</f>
        <v>0</v>
      </c>
      <c r="E170" s="624">
        <f t="shared" ca="1" si="35"/>
        <v>0</v>
      </c>
      <c r="F170" s="702">
        <f t="shared" ca="1" si="36"/>
        <v>0</v>
      </c>
      <c r="H170" s="514">
        <f t="shared" si="42"/>
        <v>15</v>
      </c>
      <c r="I170" s="626">
        <f t="shared" ca="1" si="41"/>
        <v>0</v>
      </c>
      <c r="J170" s="698">
        <f t="shared" ca="1" si="37"/>
        <v>0</v>
      </c>
      <c r="K170" s="624">
        <f ca="1">IF(VLOOKUP($H170,CF!$A$4:$K$29,11,FALSE)/12&gt;(I170+J170),-(I170+J170),(-VLOOKUP($H170,CF!$A$4:$K$29,11,FALSE)/12))</f>
        <v>0</v>
      </c>
      <c r="L170" s="702">
        <f t="shared" ca="1" si="38"/>
        <v>0</v>
      </c>
    </row>
    <row r="171" spans="1:12" ht="16.149999999999999" customHeight="1" x14ac:dyDescent="0.45">
      <c r="A171" s="700">
        <f t="shared" ca="1" si="34"/>
        <v>0</v>
      </c>
      <c r="B171" s="701">
        <f t="shared" ca="1" si="39"/>
        <v>0</v>
      </c>
      <c r="C171" s="624">
        <f t="shared" ca="1" si="40"/>
        <v>0</v>
      </c>
      <c r="D171" s="698">
        <f ca="1">IF($A171=0,0,IF(SUMIF(CF!$A$5:$A$29,($A171+2),CF!$G$5:$G$29)/12&gt;C171,-C171,-SUMIF(CF!$A$5:$A$29,($A171+2),CF!$G$5:$G$29)/12))</f>
        <v>0</v>
      </c>
      <c r="E171" s="624">
        <f t="shared" ca="1" si="35"/>
        <v>0</v>
      </c>
      <c r="F171" s="702">
        <f t="shared" ca="1" si="36"/>
        <v>0</v>
      </c>
      <c r="H171" s="514">
        <f t="shared" si="42"/>
        <v>15</v>
      </c>
      <c r="I171" s="626">
        <f t="shared" ca="1" si="41"/>
        <v>0</v>
      </c>
      <c r="J171" s="698">
        <f t="shared" ca="1" si="37"/>
        <v>0</v>
      </c>
      <c r="K171" s="624">
        <f ca="1">IF(VLOOKUP($H171,CF!$A$4:$K$29,11,FALSE)/12&gt;(I171+J171),-(I171+J171),(-VLOOKUP($H171,CF!$A$4:$K$29,11,FALSE)/12))</f>
        <v>0</v>
      </c>
      <c r="L171" s="702">
        <f t="shared" ca="1" si="38"/>
        <v>0</v>
      </c>
    </row>
    <row r="172" spans="1:12" ht="16.149999999999999" customHeight="1" x14ac:dyDescent="0.45">
      <c r="A172" s="700">
        <f t="shared" ca="1" si="34"/>
        <v>0</v>
      </c>
      <c r="B172" s="701">
        <f t="shared" ca="1" si="39"/>
        <v>0</v>
      </c>
      <c r="C172" s="624">
        <f t="shared" ca="1" si="40"/>
        <v>0</v>
      </c>
      <c r="D172" s="698">
        <f ca="1">IF($A172=0,0,IF(SUMIF(CF!$A$5:$A$29,($A172+2),CF!$G$5:$G$29)/12&gt;C172,-C172,-SUMIF(CF!$A$5:$A$29,($A172+2),CF!$G$5:$G$29)/12))</f>
        <v>0</v>
      </c>
      <c r="E172" s="624">
        <f t="shared" ca="1" si="35"/>
        <v>0</v>
      </c>
      <c r="F172" s="702">
        <f t="shared" ca="1" si="36"/>
        <v>0</v>
      </c>
      <c r="H172" s="514">
        <f t="shared" si="42"/>
        <v>15</v>
      </c>
      <c r="I172" s="626">
        <f t="shared" ca="1" si="41"/>
        <v>0</v>
      </c>
      <c r="J172" s="698">
        <f t="shared" ca="1" si="37"/>
        <v>0</v>
      </c>
      <c r="K172" s="624">
        <f ca="1">IF(VLOOKUP($H172,CF!$A$4:$K$29,11,FALSE)/12&gt;(I172+J172),-(I172+J172),(-VLOOKUP($H172,CF!$A$4:$K$29,11,FALSE)/12))</f>
        <v>0</v>
      </c>
      <c r="L172" s="702">
        <f t="shared" ca="1" si="38"/>
        <v>0</v>
      </c>
    </row>
    <row r="173" spans="1:12" ht="16.149999999999999" customHeight="1" x14ac:dyDescent="0.45">
      <c r="A173" s="700">
        <f t="shared" ca="1" si="34"/>
        <v>0</v>
      </c>
      <c r="B173" s="701">
        <f t="shared" ca="1" si="39"/>
        <v>0</v>
      </c>
      <c r="C173" s="624">
        <f t="shared" ca="1" si="40"/>
        <v>0</v>
      </c>
      <c r="D173" s="698">
        <f ca="1">IF($A173=0,0,IF(SUMIF(CF!$A$5:$A$29,($A173+2),CF!$G$5:$G$29)/12&gt;C173,-C173,-SUMIF(CF!$A$5:$A$29,($A173+2),CF!$G$5:$G$29)/12))</f>
        <v>0</v>
      </c>
      <c r="E173" s="624">
        <f t="shared" ca="1" si="35"/>
        <v>0</v>
      </c>
      <c r="F173" s="702">
        <f t="shared" ca="1" si="36"/>
        <v>0</v>
      </c>
      <c r="H173" s="514">
        <f t="shared" si="42"/>
        <v>15</v>
      </c>
      <c r="I173" s="626">
        <f t="shared" ca="1" si="41"/>
        <v>0</v>
      </c>
      <c r="J173" s="698">
        <f t="shared" ca="1" si="37"/>
        <v>0</v>
      </c>
      <c r="K173" s="624">
        <f ca="1">IF(VLOOKUP($H173,CF!$A$4:$K$29,11,FALSE)/12&gt;(I173+J173),-(I173+J173),(-VLOOKUP($H173,CF!$A$4:$K$29,11,FALSE)/12))</f>
        <v>0</v>
      </c>
      <c r="L173" s="702">
        <f t="shared" ca="1" si="38"/>
        <v>0</v>
      </c>
    </row>
    <row r="174" spans="1:12" ht="16.149999999999999" customHeight="1" x14ac:dyDescent="0.45">
      <c r="A174" s="700">
        <f t="shared" ca="1" si="34"/>
        <v>0</v>
      </c>
      <c r="B174" s="701">
        <f t="shared" ca="1" si="39"/>
        <v>0</v>
      </c>
      <c r="C174" s="624">
        <f t="shared" ca="1" si="40"/>
        <v>0</v>
      </c>
      <c r="D174" s="698">
        <f ca="1">IF($A174=0,0,IF(SUMIF(CF!$A$5:$A$29,($A174+2),CF!$G$5:$G$29)/12&gt;C174,-C174,-SUMIF(CF!$A$5:$A$29,($A174+2),CF!$G$5:$G$29)/12))</f>
        <v>0</v>
      </c>
      <c r="E174" s="624">
        <f t="shared" ca="1" si="35"/>
        <v>0</v>
      </c>
      <c r="F174" s="702">
        <f t="shared" ca="1" si="36"/>
        <v>0</v>
      </c>
      <c r="H174" s="514">
        <f t="shared" si="42"/>
        <v>15</v>
      </c>
      <c r="I174" s="626">
        <f t="shared" ca="1" si="41"/>
        <v>0</v>
      </c>
      <c r="J174" s="698">
        <f t="shared" ca="1" si="37"/>
        <v>0</v>
      </c>
      <c r="K174" s="624">
        <f ca="1">IF(VLOOKUP($H174,CF!$A$4:$K$29,11,FALSE)/12&gt;(I174+J174),-(I174+J174),(-VLOOKUP($H174,CF!$A$4:$K$29,11,FALSE)/12))</f>
        <v>0</v>
      </c>
      <c r="L174" s="702">
        <f t="shared" ca="1" si="38"/>
        <v>0</v>
      </c>
    </row>
    <row r="175" spans="1:12" ht="16.149999999999999" customHeight="1" x14ac:dyDescent="0.45">
      <c r="A175" s="700">
        <f t="shared" ca="1" si="34"/>
        <v>0</v>
      </c>
      <c r="B175" s="701">
        <f t="shared" ca="1" si="39"/>
        <v>0</v>
      </c>
      <c r="C175" s="624">
        <f t="shared" ca="1" si="40"/>
        <v>0</v>
      </c>
      <c r="D175" s="698">
        <f ca="1">IF($A175=0,0,IF(SUMIF(CF!$A$5:$A$29,($A175+2),CF!$G$5:$G$29)/12&gt;C175,-C175,-SUMIF(CF!$A$5:$A$29,($A175+2),CF!$G$5:$G$29)/12))</f>
        <v>0</v>
      </c>
      <c r="E175" s="624">
        <f t="shared" ca="1" si="35"/>
        <v>0</v>
      </c>
      <c r="F175" s="702">
        <f t="shared" ca="1" si="36"/>
        <v>0</v>
      </c>
      <c r="H175" s="514">
        <f t="shared" si="42"/>
        <v>15</v>
      </c>
      <c r="I175" s="626">
        <f t="shared" ca="1" si="41"/>
        <v>0</v>
      </c>
      <c r="J175" s="698">
        <f t="shared" ca="1" si="37"/>
        <v>0</v>
      </c>
      <c r="K175" s="624">
        <f ca="1">IF(VLOOKUP($H175,CF!$A$4:$K$29,11,FALSE)/12&gt;(I175+J175),-(I175+J175),(-VLOOKUP($H175,CF!$A$4:$K$29,11,FALSE)/12))</f>
        <v>0</v>
      </c>
      <c r="L175" s="702">
        <f t="shared" ca="1" si="38"/>
        <v>0</v>
      </c>
    </row>
    <row r="176" spans="1:12" ht="16.149999999999999" customHeight="1" x14ac:dyDescent="0.45">
      <c r="A176" s="700">
        <f t="shared" ca="1" si="34"/>
        <v>0</v>
      </c>
      <c r="B176" s="701">
        <f t="shared" ca="1" si="39"/>
        <v>0</v>
      </c>
      <c r="C176" s="624">
        <f t="shared" ca="1" si="40"/>
        <v>0</v>
      </c>
      <c r="D176" s="698">
        <f ca="1">IF($A176=0,0,IF(SUMIF(CF!$A$5:$A$29,($A176+2),CF!$G$5:$G$29)/12&gt;C176,-C176,-SUMIF(CF!$A$5:$A$29,($A176+2),CF!$G$5:$G$29)/12))</f>
        <v>0</v>
      </c>
      <c r="E176" s="624">
        <f t="shared" ca="1" si="35"/>
        <v>0</v>
      </c>
      <c r="F176" s="702">
        <f t="shared" ca="1" si="36"/>
        <v>0</v>
      </c>
      <c r="H176" s="514">
        <f t="shared" si="42"/>
        <v>15</v>
      </c>
      <c r="I176" s="626">
        <f t="shared" ca="1" si="41"/>
        <v>0</v>
      </c>
      <c r="J176" s="698">
        <f t="shared" ca="1" si="37"/>
        <v>0</v>
      </c>
      <c r="K176" s="624">
        <f ca="1">IF(VLOOKUP($H176,CF!$A$4:$K$29,11,FALSE)/12&gt;(I176+J176),-(I176+J176),(-VLOOKUP($H176,CF!$A$4:$K$29,11,FALSE)/12))</f>
        <v>0</v>
      </c>
      <c r="L176" s="702">
        <f t="shared" ca="1" si="38"/>
        <v>0</v>
      </c>
    </row>
    <row r="177" spans="1:12" ht="16.149999999999999" customHeight="1" x14ac:dyDescent="0.45">
      <c r="A177" s="700">
        <f t="shared" ca="1" si="34"/>
        <v>0</v>
      </c>
      <c r="B177" s="701">
        <f t="shared" ca="1" si="39"/>
        <v>0</v>
      </c>
      <c r="C177" s="624">
        <f t="shared" ca="1" si="40"/>
        <v>0</v>
      </c>
      <c r="D177" s="698">
        <f ca="1">IF($A177=0,0,IF(SUMIF(CF!$A$5:$A$29,($A177+2),CF!$G$5:$G$29)/12&gt;C177,-C177,-SUMIF(CF!$A$5:$A$29,($A177+2),CF!$G$5:$G$29)/12))</f>
        <v>0</v>
      </c>
      <c r="E177" s="624">
        <f t="shared" ca="1" si="35"/>
        <v>0</v>
      </c>
      <c r="F177" s="702">
        <f t="shared" ca="1" si="36"/>
        <v>0</v>
      </c>
      <c r="H177" s="514">
        <f t="shared" si="42"/>
        <v>15</v>
      </c>
      <c r="I177" s="626">
        <f t="shared" ca="1" si="41"/>
        <v>0</v>
      </c>
      <c r="J177" s="698">
        <f t="shared" ca="1" si="37"/>
        <v>0</v>
      </c>
      <c r="K177" s="624">
        <f ca="1">IF(VLOOKUP($H177,CF!$A$4:$K$29,11,FALSE)/12&gt;(I177+J177),-(I177+J177),(-VLOOKUP($H177,CF!$A$4:$K$29,11,FALSE)/12))</f>
        <v>0</v>
      </c>
      <c r="L177" s="702">
        <f t="shared" ca="1" si="38"/>
        <v>0</v>
      </c>
    </row>
    <row r="178" spans="1:12" ht="16.149999999999999" customHeight="1" x14ac:dyDescent="0.45">
      <c r="A178" s="700">
        <f t="shared" ca="1" si="34"/>
        <v>0</v>
      </c>
      <c r="B178" s="701">
        <f t="shared" ca="1" si="39"/>
        <v>0</v>
      </c>
      <c r="C178" s="624">
        <f t="shared" ca="1" si="40"/>
        <v>0</v>
      </c>
      <c r="D178" s="698">
        <f ca="1">IF($A178=0,0,IF(SUMIF(CF!$A$5:$A$29,($A178+2),CF!$G$5:$G$29)/12&gt;C178,-C178,-SUMIF(CF!$A$5:$A$29,($A178+2),CF!$G$5:$G$29)/12))</f>
        <v>0</v>
      </c>
      <c r="E178" s="624">
        <f t="shared" ca="1" si="35"/>
        <v>0</v>
      </c>
      <c r="F178" s="702">
        <f t="shared" ca="1" si="36"/>
        <v>0</v>
      </c>
      <c r="H178" s="514">
        <f t="shared" si="42"/>
        <v>15</v>
      </c>
      <c r="I178" s="626">
        <f t="shared" ca="1" si="41"/>
        <v>0</v>
      </c>
      <c r="J178" s="698">
        <f t="shared" ca="1" si="37"/>
        <v>0</v>
      </c>
      <c r="K178" s="624">
        <f ca="1">IF(VLOOKUP($H178,CF!$A$4:$K$29,11,FALSE)/12&gt;(I178+J178),-(I178+J178),(-VLOOKUP($H178,CF!$A$4:$K$29,11,FALSE)/12))</f>
        <v>0</v>
      </c>
      <c r="L178" s="702">
        <f t="shared" ca="1" si="38"/>
        <v>0</v>
      </c>
    </row>
    <row r="179" spans="1:12" ht="16.149999999999999" customHeight="1" x14ac:dyDescent="0.45">
      <c r="A179" s="700">
        <f t="shared" ca="1" si="34"/>
        <v>0</v>
      </c>
      <c r="B179" s="701">
        <f t="shared" ca="1" si="39"/>
        <v>0</v>
      </c>
      <c r="C179" s="624">
        <f t="shared" ca="1" si="40"/>
        <v>0</v>
      </c>
      <c r="D179" s="698">
        <f ca="1">IF($A179=0,0,IF(SUMIF(CF!$A$5:$A$29,($A179+2),CF!$G$5:$G$29)/12&gt;C179,-C179,-SUMIF(CF!$A$5:$A$29,($A179+2),CF!$G$5:$G$29)/12))</f>
        <v>0</v>
      </c>
      <c r="E179" s="624">
        <f t="shared" ca="1" si="35"/>
        <v>0</v>
      </c>
      <c r="F179" s="702">
        <f t="shared" ca="1" si="36"/>
        <v>0</v>
      </c>
      <c r="H179" s="514">
        <f t="shared" si="42"/>
        <v>15</v>
      </c>
      <c r="I179" s="626">
        <f t="shared" ca="1" si="41"/>
        <v>0</v>
      </c>
      <c r="J179" s="698">
        <f t="shared" ca="1" si="37"/>
        <v>0</v>
      </c>
      <c r="K179" s="624">
        <f ca="1">IF(VLOOKUP($H179,CF!$A$4:$K$29,11,FALSE)/12&gt;(I179+J179),-(I179+J179),(-VLOOKUP($H179,CF!$A$4:$K$29,11,FALSE)/12))</f>
        <v>0</v>
      </c>
      <c r="L179" s="702">
        <f t="shared" ca="1" si="38"/>
        <v>0</v>
      </c>
    </row>
    <row r="180" spans="1:12" ht="16.149999999999999" customHeight="1" x14ac:dyDescent="0.45">
      <c r="A180" s="700">
        <f t="shared" ca="1" si="34"/>
        <v>0</v>
      </c>
      <c r="B180" s="701">
        <f t="shared" ca="1" si="39"/>
        <v>0</v>
      </c>
      <c r="C180" s="624">
        <f t="shared" ca="1" si="40"/>
        <v>0</v>
      </c>
      <c r="D180" s="698">
        <f ca="1">IF($A180=0,0,IF(SUMIF(CF!$A$5:$A$29,($A180+2),CF!$G$5:$G$29)/12&gt;C180,-C180,-SUMIF(CF!$A$5:$A$29,($A180+2),CF!$G$5:$G$29)/12))</f>
        <v>0</v>
      </c>
      <c r="E180" s="624">
        <f t="shared" ca="1" si="35"/>
        <v>0</v>
      </c>
      <c r="F180" s="702">
        <f t="shared" ca="1" si="36"/>
        <v>0</v>
      </c>
      <c r="H180" s="514">
        <f t="shared" si="42"/>
        <v>16</v>
      </c>
      <c r="I180" s="626">
        <f t="shared" ca="1" si="41"/>
        <v>0</v>
      </c>
      <c r="J180" s="698">
        <f t="shared" ca="1" si="37"/>
        <v>0</v>
      </c>
      <c r="K180" s="624">
        <f ca="1">IF(VLOOKUP($H180,CF!$A$4:$K$29,11,FALSE)/12&gt;(I180+J180),-(I180+J180),(-VLOOKUP($H180,CF!$A$4:$K$29,11,FALSE)/12))</f>
        <v>0</v>
      </c>
      <c r="L180" s="702">
        <f t="shared" ca="1" si="38"/>
        <v>0</v>
      </c>
    </row>
    <row r="181" spans="1:12" ht="16.149999999999999" customHeight="1" x14ac:dyDescent="0.45">
      <c r="A181" s="700">
        <f t="shared" ca="1" si="34"/>
        <v>0</v>
      </c>
      <c r="B181" s="701">
        <f t="shared" ca="1" si="39"/>
        <v>0</v>
      </c>
      <c r="C181" s="624">
        <f t="shared" ca="1" si="40"/>
        <v>0</v>
      </c>
      <c r="D181" s="698">
        <f ca="1">IF($A181=0,0,IF(SUMIF(CF!$A$5:$A$29,($A181+2),CF!$G$5:$G$29)/12&gt;C181,-C181,-SUMIF(CF!$A$5:$A$29,($A181+2),CF!$G$5:$G$29)/12))</f>
        <v>0</v>
      </c>
      <c r="E181" s="624">
        <f t="shared" ca="1" si="35"/>
        <v>0</v>
      </c>
      <c r="F181" s="702">
        <f t="shared" ca="1" si="36"/>
        <v>0</v>
      </c>
      <c r="H181" s="514">
        <f t="shared" si="42"/>
        <v>16</v>
      </c>
      <c r="I181" s="626">
        <f t="shared" ca="1" si="41"/>
        <v>0</v>
      </c>
      <c r="J181" s="698">
        <f t="shared" ca="1" si="37"/>
        <v>0</v>
      </c>
      <c r="K181" s="624">
        <f ca="1">IF(VLOOKUP($H181,CF!$A$4:$K$29,11,FALSE)/12&gt;(I181+J181),-(I181+J181),(-VLOOKUP($H181,CF!$A$4:$K$29,11,FALSE)/12))</f>
        <v>0</v>
      </c>
      <c r="L181" s="702">
        <f t="shared" ca="1" si="38"/>
        <v>0</v>
      </c>
    </row>
    <row r="182" spans="1:12" ht="16.149999999999999" customHeight="1" x14ac:dyDescent="0.45">
      <c r="A182" s="700">
        <f t="shared" ca="1" si="34"/>
        <v>0</v>
      </c>
      <c r="B182" s="701">
        <f t="shared" ca="1" si="39"/>
        <v>0</v>
      </c>
      <c r="C182" s="624">
        <f t="shared" ca="1" si="40"/>
        <v>0</v>
      </c>
      <c r="D182" s="698">
        <f ca="1">IF($A182=0,0,IF(SUMIF(CF!$A$5:$A$29,($A182+2),CF!$G$5:$G$29)/12&gt;C182,-C182,-SUMIF(CF!$A$5:$A$29,($A182+2),CF!$G$5:$G$29)/12))</f>
        <v>0</v>
      </c>
      <c r="E182" s="624">
        <f t="shared" ca="1" si="35"/>
        <v>0</v>
      </c>
      <c r="F182" s="702">
        <f t="shared" ca="1" si="36"/>
        <v>0</v>
      </c>
      <c r="H182" s="514">
        <f t="shared" si="42"/>
        <v>16</v>
      </c>
      <c r="I182" s="626">
        <f t="shared" ca="1" si="41"/>
        <v>0</v>
      </c>
      <c r="J182" s="698">
        <f t="shared" ca="1" si="37"/>
        <v>0</v>
      </c>
      <c r="K182" s="624">
        <f ca="1">IF(VLOOKUP($H182,CF!$A$4:$K$29,11,FALSE)/12&gt;(I182+J182),-(I182+J182),(-VLOOKUP($H182,CF!$A$4:$K$29,11,FALSE)/12))</f>
        <v>0</v>
      </c>
      <c r="L182" s="702">
        <f t="shared" ca="1" si="38"/>
        <v>0</v>
      </c>
    </row>
    <row r="183" spans="1:12" ht="16.149999999999999" customHeight="1" x14ac:dyDescent="0.45">
      <c r="A183" s="700">
        <f t="shared" ca="1" si="34"/>
        <v>0</v>
      </c>
      <c r="B183" s="701">
        <f t="shared" ca="1" si="39"/>
        <v>0</v>
      </c>
      <c r="C183" s="624">
        <f t="shared" ca="1" si="40"/>
        <v>0</v>
      </c>
      <c r="D183" s="698">
        <f ca="1">IF($A183=0,0,IF(SUMIF(CF!$A$5:$A$29,($A183+2),CF!$G$5:$G$29)/12&gt;C183,-C183,-SUMIF(CF!$A$5:$A$29,($A183+2),CF!$G$5:$G$29)/12))</f>
        <v>0</v>
      </c>
      <c r="E183" s="624">
        <f t="shared" ca="1" si="35"/>
        <v>0</v>
      </c>
      <c r="F183" s="702">
        <f t="shared" ca="1" si="36"/>
        <v>0</v>
      </c>
      <c r="H183" s="514">
        <f t="shared" si="42"/>
        <v>16</v>
      </c>
      <c r="I183" s="626">
        <f t="shared" ca="1" si="41"/>
        <v>0</v>
      </c>
      <c r="J183" s="698">
        <f t="shared" ca="1" si="37"/>
        <v>0</v>
      </c>
      <c r="K183" s="624">
        <f ca="1">IF(VLOOKUP($H183,CF!$A$4:$K$29,11,FALSE)/12&gt;(I183+J183),-(I183+J183),(-VLOOKUP($H183,CF!$A$4:$K$29,11,FALSE)/12))</f>
        <v>0</v>
      </c>
      <c r="L183" s="702">
        <f t="shared" ca="1" si="38"/>
        <v>0</v>
      </c>
    </row>
    <row r="184" spans="1:12" ht="16.149999999999999" customHeight="1" x14ac:dyDescent="0.45">
      <c r="A184" s="700">
        <f t="shared" ref="A184:A203" ca="1" si="43">ROUNDUP(B184/12,0)</f>
        <v>0</v>
      </c>
      <c r="B184" s="701">
        <f t="shared" ca="1" si="39"/>
        <v>0</v>
      </c>
      <c r="C184" s="624">
        <f t="shared" ca="1" si="40"/>
        <v>0</v>
      </c>
      <c r="D184" s="698">
        <f ca="1">IF($A184=0,0,IF(SUMIF(CF!$A$5:$A$29,($A184+2),CF!$G$5:$G$29)/12&gt;C184,-C184,-SUMIF(CF!$A$5:$A$29,($A184+2),CF!$G$5:$G$29)/12))</f>
        <v>0</v>
      </c>
      <c r="E184" s="624">
        <f t="shared" ref="E184:E203" ca="1" si="44">SUM(C184:D184)</f>
        <v>0</v>
      </c>
      <c r="F184" s="702">
        <f t="shared" ref="F184:F247" ca="1" si="45">$C184*$D$2/12</f>
        <v>0</v>
      </c>
      <c r="H184" s="514">
        <f t="shared" si="42"/>
        <v>16</v>
      </c>
      <c r="I184" s="626">
        <f t="shared" ca="1" si="41"/>
        <v>0</v>
      </c>
      <c r="J184" s="698">
        <f t="shared" ref="J184:J203" ca="1" si="46">I184*$D$3/12</f>
        <v>0</v>
      </c>
      <c r="K184" s="624">
        <f ca="1">IF(VLOOKUP($H184,CF!$A$4:$K$29,11,FALSE)/12&gt;(I184+J184),-(I184+J184),(-VLOOKUP($H184,CF!$A$4:$K$29,11,FALSE)/12))</f>
        <v>0</v>
      </c>
      <c r="L184" s="702">
        <f t="shared" ref="L184:L203" ca="1" si="47">SUM(I184:K184)</f>
        <v>0</v>
      </c>
    </row>
    <row r="185" spans="1:12" ht="16.149999999999999" customHeight="1" x14ac:dyDescent="0.45">
      <c r="A185" s="700">
        <f t="shared" ca="1" si="43"/>
        <v>0</v>
      </c>
      <c r="B185" s="701">
        <f t="shared" ref="B185:B203" ca="1" si="48">IF(OR(ROUND(E184,0)=0,E184&lt;0),0,B184+1)</f>
        <v>0</v>
      </c>
      <c r="C185" s="624">
        <f t="shared" ref="C185:C203" ca="1" si="49">E184</f>
        <v>0</v>
      </c>
      <c r="D185" s="698">
        <f ca="1">IF($A185=0,0,IF(SUMIF(CF!$A$5:$A$29,($A185+2),CF!$G$5:$G$29)/12&gt;C185,-C185,-SUMIF(CF!$A$5:$A$29,($A185+2),CF!$G$5:$G$29)/12))</f>
        <v>0</v>
      </c>
      <c r="E185" s="624">
        <f t="shared" ca="1" si="44"/>
        <v>0</v>
      </c>
      <c r="F185" s="702">
        <f t="shared" ca="1" si="45"/>
        <v>0</v>
      </c>
      <c r="H185" s="514">
        <f t="shared" si="42"/>
        <v>16</v>
      </c>
      <c r="I185" s="626">
        <f t="shared" ref="I185:I203" ca="1" si="50">L184</f>
        <v>0</v>
      </c>
      <c r="J185" s="698">
        <f t="shared" ca="1" si="46"/>
        <v>0</v>
      </c>
      <c r="K185" s="624">
        <f ca="1">IF(VLOOKUP($H185,CF!$A$4:$K$29,11,FALSE)/12&gt;(I185+J185),-(I185+J185),(-VLOOKUP($H185,CF!$A$4:$K$29,11,FALSE)/12))</f>
        <v>0</v>
      </c>
      <c r="L185" s="702">
        <f t="shared" ca="1" si="47"/>
        <v>0</v>
      </c>
    </row>
    <row r="186" spans="1:12" ht="16.149999999999999" customHeight="1" x14ac:dyDescent="0.45">
      <c r="A186" s="700">
        <f t="shared" ca="1" si="43"/>
        <v>0</v>
      </c>
      <c r="B186" s="701">
        <f t="shared" ca="1" si="48"/>
        <v>0</v>
      </c>
      <c r="C186" s="624">
        <f t="shared" ca="1" si="49"/>
        <v>0</v>
      </c>
      <c r="D186" s="698">
        <f ca="1">IF($A186=0,0,IF(SUMIF(CF!$A$5:$A$29,($A186+2),CF!$G$5:$G$29)/12&gt;C186,-C186,-SUMIF(CF!$A$5:$A$29,($A186+2),CF!$G$5:$G$29)/12))</f>
        <v>0</v>
      </c>
      <c r="E186" s="624">
        <f t="shared" ca="1" si="44"/>
        <v>0</v>
      </c>
      <c r="F186" s="702">
        <f t="shared" ca="1" si="45"/>
        <v>0</v>
      </c>
      <c r="H186" s="514">
        <f t="shared" si="42"/>
        <v>16</v>
      </c>
      <c r="I186" s="626">
        <f t="shared" ca="1" si="50"/>
        <v>0</v>
      </c>
      <c r="J186" s="698">
        <f t="shared" ca="1" si="46"/>
        <v>0</v>
      </c>
      <c r="K186" s="624">
        <f ca="1">IF(VLOOKUP($H186,CF!$A$4:$K$29,11,FALSE)/12&gt;(I186+J186),-(I186+J186),(-VLOOKUP($H186,CF!$A$4:$K$29,11,FALSE)/12))</f>
        <v>0</v>
      </c>
      <c r="L186" s="702">
        <f t="shared" ca="1" si="47"/>
        <v>0</v>
      </c>
    </row>
    <row r="187" spans="1:12" ht="16.149999999999999" customHeight="1" x14ac:dyDescent="0.45">
      <c r="A187" s="700">
        <f t="shared" ca="1" si="43"/>
        <v>0</v>
      </c>
      <c r="B187" s="701">
        <f t="shared" ca="1" si="48"/>
        <v>0</v>
      </c>
      <c r="C187" s="624">
        <f t="shared" ca="1" si="49"/>
        <v>0</v>
      </c>
      <c r="D187" s="698">
        <f ca="1">IF($A187=0,0,IF(SUMIF(CF!$A$5:$A$29,($A187+2),CF!$G$5:$G$29)/12&gt;C187,-C187,-SUMIF(CF!$A$5:$A$29,($A187+2),CF!$G$5:$G$29)/12))</f>
        <v>0</v>
      </c>
      <c r="E187" s="624">
        <f t="shared" ca="1" si="44"/>
        <v>0</v>
      </c>
      <c r="F187" s="702">
        <f t="shared" ca="1" si="45"/>
        <v>0</v>
      </c>
      <c r="H187" s="514">
        <f t="shared" si="42"/>
        <v>16</v>
      </c>
      <c r="I187" s="626">
        <f t="shared" ca="1" si="50"/>
        <v>0</v>
      </c>
      <c r="J187" s="698">
        <f t="shared" ca="1" si="46"/>
        <v>0</v>
      </c>
      <c r="K187" s="624">
        <f ca="1">IF(VLOOKUP($H187,CF!$A$4:$K$29,11,FALSE)/12&gt;(I187+J187),-(I187+J187),(-VLOOKUP($H187,CF!$A$4:$K$29,11,FALSE)/12))</f>
        <v>0</v>
      </c>
      <c r="L187" s="702">
        <f t="shared" ca="1" si="47"/>
        <v>0</v>
      </c>
    </row>
    <row r="188" spans="1:12" ht="16.149999999999999" customHeight="1" x14ac:dyDescent="0.45">
      <c r="A188" s="700">
        <f t="shared" ca="1" si="43"/>
        <v>0</v>
      </c>
      <c r="B188" s="701">
        <f t="shared" ca="1" si="48"/>
        <v>0</v>
      </c>
      <c r="C188" s="624">
        <f t="shared" ca="1" si="49"/>
        <v>0</v>
      </c>
      <c r="D188" s="698">
        <f ca="1">IF($A188=0,0,IF(SUMIF(CF!$A$5:$A$29,($A188+2),CF!$G$5:$G$29)/12&gt;C188,-C188,-SUMIF(CF!$A$5:$A$29,($A188+2),CF!$G$5:$G$29)/12))</f>
        <v>0</v>
      </c>
      <c r="E188" s="624">
        <f t="shared" ca="1" si="44"/>
        <v>0</v>
      </c>
      <c r="F188" s="702">
        <f t="shared" ca="1" si="45"/>
        <v>0</v>
      </c>
      <c r="H188" s="514">
        <f t="shared" si="42"/>
        <v>16</v>
      </c>
      <c r="I188" s="626">
        <f t="shared" ca="1" si="50"/>
        <v>0</v>
      </c>
      <c r="J188" s="698">
        <f t="shared" ca="1" si="46"/>
        <v>0</v>
      </c>
      <c r="K188" s="624">
        <f ca="1">IF(VLOOKUP($H188,CF!$A$4:$K$29,11,FALSE)/12&gt;(I188+J188),-(I188+J188),(-VLOOKUP($H188,CF!$A$4:$K$29,11,FALSE)/12))</f>
        <v>0</v>
      </c>
      <c r="L188" s="702">
        <f t="shared" ca="1" si="47"/>
        <v>0</v>
      </c>
    </row>
    <row r="189" spans="1:12" ht="16.149999999999999" customHeight="1" x14ac:dyDescent="0.45">
      <c r="A189" s="700">
        <f t="shared" ca="1" si="43"/>
        <v>0</v>
      </c>
      <c r="B189" s="701">
        <f t="shared" ca="1" si="48"/>
        <v>0</v>
      </c>
      <c r="C189" s="624">
        <f t="shared" ca="1" si="49"/>
        <v>0</v>
      </c>
      <c r="D189" s="698">
        <f ca="1">IF($A189=0,0,IF(SUMIF(CF!$A$5:$A$29,($A189+2),CF!$G$5:$G$29)/12&gt;C189,-C189,-SUMIF(CF!$A$5:$A$29,($A189+2),CF!$G$5:$G$29)/12))</f>
        <v>0</v>
      </c>
      <c r="E189" s="624">
        <f t="shared" ca="1" si="44"/>
        <v>0</v>
      </c>
      <c r="F189" s="702">
        <f t="shared" ca="1" si="45"/>
        <v>0</v>
      </c>
      <c r="H189" s="514">
        <f t="shared" si="42"/>
        <v>16</v>
      </c>
      <c r="I189" s="626">
        <f t="shared" ca="1" si="50"/>
        <v>0</v>
      </c>
      <c r="J189" s="698">
        <f t="shared" ca="1" si="46"/>
        <v>0</v>
      </c>
      <c r="K189" s="624">
        <f ca="1">IF(VLOOKUP($H189,CF!$A$4:$K$29,11,FALSE)/12&gt;(I189+J189),-(I189+J189),(-VLOOKUP($H189,CF!$A$4:$K$29,11,FALSE)/12))</f>
        <v>0</v>
      </c>
      <c r="L189" s="702">
        <f t="shared" ca="1" si="47"/>
        <v>0</v>
      </c>
    </row>
    <row r="190" spans="1:12" ht="16.149999999999999" customHeight="1" x14ac:dyDescent="0.45">
      <c r="A190" s="700">
        <f t="shared" ca="1" si="43"/>
        <v>0</v>
      </c>
      <c r="B190" s="701">
        <f t="shared" ca="1" si="48"/>
        <v>0</v>
      </c>
      <c r="C190" s="624">
        <f t="shared" ca="1" si="49"/>
        <v>0</v>
      </c>
      <c r="D190" s="698">
        <f ca="1">IF($A190=0,0,IF(SUMIF(CF!$A$5:$A$29,($A190+2),CF!$G$5:$G$29)/12&gt;C190,-C190,-SUMIF(CF!$A$5:$A$29,($A190+2),CF!$G$5:$G$29)/12))</f>
        <v>0</v>
      </c>
      <c r="E190" s="624">
        <f t="shared" ca="1" si="44"/>
        <v>0</v>
      </c>
      <c r="F190" s="702">
        <f t="shared" ca="1" si="45"/>
        <v>0</v>
      </c>
      <c r="H190" s="514">
        <f t="shared" si="42"/>
        <v>16</v>
      </c>
      <c r="I190" s="626">
        <f t="shared" ca="1" si="50"/>
        <v>0</v>
      </c>
      <c r="J190" s="698">
        <f t="shared" ca="1" si="46"/>
        <v>0</v>
      </c>
      <c r="K190" s="624">
        <f ca="1">IF(VLOOKUP($H190,CF!$A$4:$K$29,11,FALSE)/12&gt;(I190+J190),-(I190+J190),(-VLOOKUP($H190,CF!$A$4:$K$29,11,FALSE)/12))</f>
        <v>0</v>
      </c>
      <c r="L190" s="702">
        <f t="shared" ca="1" si="47"/>
        <v>0</v>
      </c>
    </row>
    <row r="191" spans="1:12" ht="16.149999999999999" customHeight="1" x14ac:dyDescent="0.45">
      <c r="A191" s="700">
        <f t="shared" ca="1" si="43"/>
        <v>0</v>
      </c>
      <c r="B191" s="701">
        <f t="shared" ca="1" si="48"/>
        <v>0</v>
      </c>
      <c r="C191" s="624">
        <f t="shared" ca="1" si="49"/>
        <v>0</v>
      </c>
      <c r="D191" s="698">
        <f ca="1">IF($A191=0,0,IF(SUMIF(CF!$A$5:$A$29,($A191+2),CF!$G$5:$G$29)/12&gt;C191,-C191,-SUMIF(CF!$A$5:$A$29,($A191+2),CF!$G$5:$G$29)/12))</f>
        <v>0</v>
      </c>
      <c r="E191" s="624">
        <f t="shared" ca="1" si="44"/>
        <v>0</v>
      </c>
      <c r="F191" s="702">
        <f t="shared" ca="1" si="45"/>
        <v>0</v>
      </c>
      <c r="H191" s="514">
        <f t="shared" si="42"/>
        <v>16</v>
      </c>
      <c r="I191" s="626">
        <f t="shared" ca="1" si="50"/>
        <v>0</v>
      </c>
      <c r="J191" s="698">
        <f t="shared" ca="1" si="46"/>
        <v>0</v>
      </c>
      <c r="K191" s="624">
        <f ca="1">IF(VLOOKUP($H191,CF!$A$4:$K$29,11,FALSE)/12&gt;(I191+J191),-(I191+J191),(-VLOOKUP($H191,CF!$A$4:$K$29,11,FALSE)/12))</f>
        <v>0</v>
      </c>
      <c r="L191" s="702">
        <f t="shared" ca="1" si="47"/>
        <v>0</v>
      </c>
    </row>
    <row r="192" spans="1:12" ht="16.149999999999999" customHeight="1" x14ac:dyDescent="0.45">
      <c r="A192" s="700">
        <f t="shared" ca="1" si="43"/>
        <v>0</v>
      </c>
      <c r="B192" s="701">
        <f t="shared" ca="1" si="48"/>
        <v>0</v>
      </c>
      <c r="C192" s="624">
        <f t="shared" ca="1" si="49"/>
        <v>0</v>
      </c>
      <c r="D192" s="698">
        <f ca="1">IF($A192=0,0,IF(SUMIF(CF!$A$5:$A$29,($A192+2),CF!$G$5:$G$29)/12&gt;C192,-C192,-SUMIF(CF!$A$5:$A$29,($A192+2),CF!$G$5:$G$29)/12))</f>
        <v>0</v>
      </c>
      <c r="E192" s="624">
        <f t="shared" ca="1" si="44"/>
        <v>0</v>
      </c>
      <c r="F192" s="702">
        <f t="shared" ca="1" si="45"/>
        <v>0</v>
      </c>
      <c r="H192" s="514">
        <f t="shared" si="42"/>
        <v>17</v>
      </c>
      <c r="I192" s="626">
        <f t="shared" ca="1" si="50"/>
        <v>0</v>
      </c>
      <c r="J192" s="698">
        <f t="shared" ca="1" si="46"/>
        <v>0</v>
      </c>
      <c r="K192" s="624">
        <f ca="1">IF(VLOOKUP($H192,CF!$A$4:$K$29,11,FALSE)/12&gt;(I192+J192),-(I192+J192),(-VLOOKUP($H192,CF!$A$4:$K$29,11,FALSE)/12))</f>
        <v>0</v>
      </c>
      <c r="L192" s="702">
        <f t="shared" ca="1" si="47"/>
        <v>0</v>
      </c>
    </row>
    <row r="193" spans="1:12" ht="16.149999999999999" customHeight="1" x14ac:dyDescent="0.45">
      <c r="A193" s="700">
        <f t="shared" ca="1" si="43"/>
        <v>0</v>
      </c>
      <c r="B193" s="701">
        <f t="shared" ca="1" si="48"/>
        <v>0</v>
      </c>
      <c r="C193" s="624">
        <f t="shared" ca="1" si="49"/>
        <v>0</v>
      </c>
      <c r="D193" s="698">
        <f ca="1">IF($A193=0,0,IF(SUMIF(CF!$A$5:$A$29,($A193+2),CF!$G$5:$G$29)/12&gt;C193,-C193,-SUMIF(CF!$A$5:$A$29,($A193+2),CF!$G$5:$G$29)/12))</f>
        <v>0</v>
      </c>
      <c r="E193" s="624">
        <f t="shared" ca="1" si="44"/>
        <v>0</v>
      </c>
      <c r="F193" s="702">
        <f t="shared" ca="1" si="45"/>
        <v>0</v>
      </c>
      <c r="H193" s="514">
        <f t="shared" si="42"/>
        <v>17</v>
      </c>
      <c r="I193" s="626">
        <f t="shared" ca="1" si="50"/>
        <v>0</v>
      </c>
      <c r="J193" s="698">
        <f t="shared" ca="1" si="46"/>
        <v>0</v>
      </c>
      <c r="K193" s="624">
        <f ca="1">IF(VLOOKUP($H193,CF!$A$4:$K$29,11,FALSE)/12&gt;(I193+J193),-(I193+J193),(-VLOOKUP($H193,CF!$A$4:$K$29,11,FALSE)/12))</f>
        <v>0</v>
      </c>
      <c r="L193" s="702">
        <f t="shared" ca="1" si="47"/>
        <v>0</v>
      </c>
    </row>
    <row r="194" spans="1:12" ht="16.149999999999999" customHeight="1" x14ac:dyDescent="0.45">
      <c r="A194" s="700">
        <f t="shared" ca="1" si="43"/>
        <v>0</v>
      </c>
      <c r="B194" s="701">
        <f t="shared" ca="1" si="48"/>
        <v>0</v>
      </c>
      <c r="C194" s="624">
        <f t="shared" ca="1" si="49"/>
        <v>0</v>
      </c>
      <c r="D194" s="698">
        <f ca="1">IF($A194=0,0,IF(SUMIF(CF!$A$5:$A$29,($A194+2),CF!$G$5:$G$29)/12&gt;C194,-C194,-SUMIF(CF!$A$5:$A$29,($A194+2),CF!$G$5:$G$29)/12))</f>
        <v>0</v>
      </c>
      <c r="E194" s="624">
        <f t="shared" ca="1" si="44"/>
        <v>0</v>
      </c>
      <c r="F194" s="702">
        <f t="shared" ca="1" si="45"/>
        <v>0</v>
      </c>
      <c r="H194" s="514">
        <f t="shared" si="42"/>
        <v>17</v>
      </c>
      <c r="I194" s="626">
        <f t="shared" ca="1" si="50"/>
        <v>0</v>
      </c>
      <c r="J194" s="698">
        <f t="shared" ca="1" si="46"/>
        <v>0</v>
      </c>
      <c r="K194" s="624">
        <f ca="1">IF(VLOOKUP($H194,CF!$A$4:$K$29,11,FALSE)/12&gt;(I194+J194),-(I194+J194),(-VLOOKUP($H194,CF!$A$4:$K$29,11,FALSE)/12))</f>
        <v>0</v>
      </c>
      <c r="L194" s="702">
        <f t="shared" ca="1" si="47"/>
        <v>0</v>
      </c>
    </row>
    <row r="195" spans="1:12" ht="16.149999999999999" customHeight="1" x14ac:dyDescent="0.45">
      <c r="A195" s="700">
        <f t="shared" ca="1" si="43"/>
        <v>0</v>
      </c>
      <c r="B195" s="701">
        <f t="shared" ca="1" si="48"/>
        <v>0</v>
      </c>
      <c r="C195" s="624">
        <f t="shared" ca="1" si="49"/>
        <v>0</v>
      </c>
      <c r="D195" s="698">
        <f ca="1">IF($A195=0,0,IF(SUMIF(CF!$A$5:$A$29,($A195+2),CF!$G$5:$G$29)/12&gt;C195,-C195,-SUMIF(CF!$A$5:$A$29,($A195+2),CF!$G$5:$G$29)/12))</f>
        <v>0</v>
      </c>
      <c r="E195" s="624">
        <f t="shared" ca="1" si="44"/>
        <v>0</v>
      </c>
      <c r="F195" s="702">
        <f t="shared" ca="1" si="45"/>
        <v>0</v>
      </c>
      <c r="H195" s="514">
        <f t="shared" si="42"/>
        <v>17</v>
      </c>
      <c r="I195" s="626">
        <f t="shared" ca="1" si="50"/>
        <v>0</v>
      </c>
      <c r="J195" s="698">
        <f t="shared" ca="1" si="46"/>
        <v>0</v>
      </c>
      <c r="K195" s="624">
        <f ca="1">IF(VLOOKUP($H195,CF!$A$4:$K$29,11,FALSE)/12&gt;(I195+J195),-(I195+J195),(-VLOOKUP($H195,CF!$A$4:$K$29,11,FALSE)/12))</f>
        <v>0</v>
      </c>
      <c r="L195" s="702">
        <f t="shared" ca="1" si="47"/>
        <v>0</v>
      </c>
    </row>
    <row r="196" spans="1:12" ht="16.149999999999999" customHeight="1" x14ac:dyDescent="0.45">
      <c r="A196" s="700">
        <f t="shared" ca="1" si="43"/>
        <v>0</v>
      </c>
      <c r="B196" s="701">
        <f t="shared" ca="1" si="48"/>
        <v>0</v>
      </c>
      <c r="C196" s="624">
        <f t="shared" ca="1" si="49"/>
        <v>0</v>
      </c>
      <c r="D196" s="698">
        <f ca="1">IF($A196=0,0,IF(SUMIF(CF!$A$5:$A$29,($A196+2),CF!$G$5:$G$29)/12&gt;C196,-C196,-SUMIF(CF!$A$5:$A$29,($A196+2),CF!$G$5:$G$29)/12))</f>
        <v>0</v>
      </c>
      <c r="E196" s="624">
        <f t="shared" ca="1" si="44"/>
        <v>0</v>
      </c>
      <c r="F196" s="702">
        <f t="shared" ca="1" si="45"/>
        <v>0</v>
      </c>
      <c r="H196" s="514">
        <f t="shared" si="42"/>
        <v>17</v>
      </c>
      <c r="I196" s="626">
        <f t="shared" ca="1" si="50"/>
        <v>0</v>
      </c>
      <c r="J196" s="698">
        <f t="shared" ca="1" si="46"/>
        <v>0</v>
      </c>
      <c r="K196" s="624">
        <f ca="1">IF(VLOOKUP($H196,CF!$A$4:$K$29,11,FALSE)/12&gt;(I196+J196),-(I196+J196),(-VLOOKUP($H196,CF!$A$4:$K$29,11,FALSE)/12))</f>
        <v>0</v>
      </c>
      <c r="L196" s="702">
        <f t="shared" ca="1" si="47"/>
        <v>0</v>
      </c>
    </row>
    <row r="197" spans="1:12" ht="16.149999999999999" customHeight="1" x14ac:dyDescent="0.45">
      <c r="A197" s="700">
        <f t="shared" ca="1" si="43"/>
        <v>0</v>
      </c>
      <c r="B197" s="701">
        <f t="shared" ca="1" si="48"/>
        <v>0</v>
      </c>
      <c r="C197" s="624">
        <f t="shared" ca="1" si="49"/>
        <v>0</v>
      </c>
      <c r="D197" s="698">
        <f ca="1">IF($A197=0,0,IF(SUMIF(CF!$A$5:$A$29,($A197+2),CF!$G$5:$G$29)/12&gt;C197,-C197,-SUMIF(CF!$A$5:$A$29,($A197+2),CF!$G$5:$G$29)/12))</f>
        <v>0</v>
      </c>
      <c r="E197" s="624">
        <f t="shared" ca="1" si="44"/>
        <v>0</v>
      </c>
      <c r="F197" s="702">
        <f t="shared" ca="1" si="45"/>
        <v>0</v>
      </c>
      <c r="H197" s="514">
        <f t="shared" si="42"/>
        <v>17</v>
      </c>
      <c r="I197" s="626">
        <f t="shared" ca="1" si="50"/>
        <v>0</v>
      </c>
      <c r="J197" s="698">
        <f t="shared" ca="1" si="46"/>
        <v>0</v>
      </c>
      <c r="K197" s="624">
        <f ca="1">IF(VLOOKUP($H197,CF!$A$4:$K$29,11,FALSE)/12&gt;(I197+J197),-(I197+J197),(-VLOOKUP($H197,CF!$A$4:$K$29,11,FALSE)/12))</f>
        <v>0</v>
      </c>
      <c r="L197" s="702">
        <f t="shared" ca="1" si="47"/>
        <v>0</v>
      </c>
    </row>
    <row r="198" spans="1:12" ht="16.149999999999999" customHeight="1" x14ac:dyDescent="0.45">
      <c r="A198" s="700">
        <f t="shared" ca="1" si="43"/>
        <v>0</v>
      </c>
      <c r="B198" s="701">
        <f t="shared" ca="1" si="48"/>
        <v>0</v>
      </c>
      <c r="C198" s="624">
        <f t="shared" ca="1" si="49"/>
        <v>0</v>
      </c>
      <c r="D198" s="698">
        <f ca="1">IF($A198=0,0,IF(SUMIF(CF!$A$5:$A$29,($A198+2),CF!$G$5:$G$29)/12&gt;C198,-C198,-SUMIF(CF!$A$5:$A$29,($A198+2),CF!$G$5:$G$29)/12))</f>
        <v>0</v>
      </c>
      <c r="E198" s="624">
        <f t="shared" ca="1" si="44"/>
        <v>0</v>
      </c>
      <c r="F198" s="702">
        <f t="shared" ca="1" si="45"/>
        <v>0</v>
      </c>
      <c r="H198" s="514">
        <f t="shared" si="42"/>
        <v>17</v>
      </c>
      <c r="I198" s="626">
        <f t="shared" ca="1" si="50"/>
        <v>0</v>
      </c>
      <c r="J198" s="698">
        <f t="shared" ca="1" si="46"/>
        <v>0</v>
      </c>
      <c r="K198" s="624">
        <f ca="1">IF(VLOOKUP($H198,CF!$A$4:$K$29,11,FALSE)/12&gt;(I198+J198),-(I198+J198),(-VLOOKUP($H198,CF!$A$4:$K$29,11,FALSE)/12))</f>
        <v>0</v>
      </c>
      <c r="L198" s="702">
        <f t="shared" ca="1" si="47"/>
        <v>0</v>
      </c>
    </row>
    <row r="199" spans="1:12" ht="16.149999999999999" customHeight="1" x14ac:dyDescent="0.45">
      <c r="A199" s="700">
        <f t="shared" ca="1" si="43"/>
        <v>0</v>
      </c>
      <c r="B199" s="701">
        <f t="shared" ca="1" si="48"/>
        <v>0</v>
      </c>
      <c r="C199" s="624">
        <f t="shared" ca="1" si="49"/>
        <v>0</v>
      </c>
      <c r="D199" s="698">
        <f ca="1">IF($A199=0,0,IF(SUMIF(CF!$A$5:$A$29,($A199+2),CF!$G$5:$G$29)/12&gt;C199,-C199,-SUMIF(CF!$A$5:$A$29,($A199+2),CF!$G$5:$G$29)/12))</f>
        <v>0</v>
      </c>
      <c r="E199" s="624">
        <f t="shared" ca="1" si="44"/>
        <v>0</v>
      </c>
      <c r="F199" s="702">
        <f t="shared" ca="1" si="45"/>
        <v>0</v>
      </c>
      <c r="H199" s="514">
        <f t="shared" si="42"/>
        <v>17</v>
      </c>
      <c r="I199" s="626">
        <f t="shared" ca="1" si="50"/>
        <v>0</v>
      </c>
      <c r="J199" s="698">
        <f t="shared" ca="1" si="46"/>
        <v>0</v>
      </c>
      <c r="K199" s="624">
        <f ca="1">IF(VLOOKUP($H199,CF!$A$4:$K$29,11,FALSE)/12&gt;(I199+J199),-(I199+J199),(-VLOOKUP($H199,CF!$A$4:$K$29,11,FALSE)/12))</f>
        <v>0</v>
      </c>
      <c r="L199" s="702">
        <f t="shared" ca="1" si="47"/>
        <v>0</v>
      </c>
    </row>
    <row r="200" spans="1:12" ht="16.149999999999999" customHeight="1" x14ac:dyDescent="0.45">
      <c r="A200" s="700">
        <f t="shared" ca="1" si="43"/>
        <v>0</v>
      </c>
      <c r="B200" s="701">
        <f t="shared" ca="1" si="48"/>
        <v>0</v>
      </c>
      <c r="C200" s="624">
        <f t="shared" ca="1" si="49"/>
        <v>0</v>
      </c>
      <c r="D200" s="698">
        <f ca="1">IF($A200=0,0,IF(SUMIF(CF!$A$5:$A$29,($A200+2),CF!$G$5:$G$29)/12&gt;C200,-C200,-SUMIF(CF!$A$5:$A$29,($A200+2),CF!$G$5:$G$29)/12))</f>
        <v>0</v>
      </c>
      <c r="E200" s="624">
        <f t="shared" ca="1" si="44"/>
        <v>0</v>
      </c>
      <c r="F200" s="702">
        <f t="shared" ca="1" si="45"/>
        <v>0</v>
      </c>
      <c r="H200" s="514">
        <f t="shared" si="42"/>
        <v>17</v>
      </c>
      <c r="I200" s="626">
        <f t="shared" ca="1" si="50"/>
        <v>0</v>
      </c>
      <c r="J200" s="698">
        <f t="shared" ca="1" si="46"/>
        <v>0</v>
      </c>
      <c r="K200" s="624">
        <f ca="1">IF(VLOOKUP($H200,CF!$A$4:$K$29,11,FALSE)/12&gt;(I200+J200),-(I200+J200),(-VLOOKUP($H200,CF!$A$4:$K$29,11,FALSE)/12))</f>
        <v>0</v>
      </c>
      <c r="L200" s="702">
        <f t="shared" ca="1" si="47"/>
        <v>0</v>
      </c>
    </row>
    <row r="201" spans="1:12" ht="16.149999999999999" customHeight="1" x14ac:dyDescent="0.45">
      <c r="A201" s="700">
        <f t="shared" ca="1" si="43"/>
        <v>0</v>
      </c>
      <c r="B201" s="701">
        <f t="shared" ca="1" si="48"/>
        <v>0</v>
      </c>
      <c r="C201" s="624">
        <f t="shared" ca="1" si="49"/>
        <v>0</v>
      </c>
      <c r="D201" s="698">
        <f ca="1">IF($A201=0,0,IF(SUMIF(CF!$A$5:$A$29,($A201+2),CF!$G$5:$G$29)/12&gt;C201,-C201,-SUMIF(CF!$A$5:$A$29,($A201+2),CF!$G$5:$G$29)/12))</f>
        <v>0</v>
      </c>
      <c r="E201" s="624">
        <f t="shared" ca="1" si="44"/>
        <v>0</v>
      </c>
      <c r="F201" s="702">
        <f t="shared" ca="1" si="45"/>
        <v>0</v>
      </c>
      <c r="H201" s="514">
        <f t="shared" si="42"/>
        <v>17</v>
      </c>
      <c r="I201" s="626">
        <f t="shared" ca="1" si="50"/>
        <v>0</v>
      </c>
      <c r="J201" s="698">
        <f t="shared" ca="1" si="46"/>
        <v>0</v>
      </c>
      <c r="K201" s="624">
        <f ca="1">IF(VLOOKUP($H201,CF!$A$4:$K$29,11,FALSE)/12&gt;(I201+J201),-(I201+J201),(-VLOOKUP($H201,CF!$A$4:$K$29,11,FALSE)/12))</f>
        <v>0</v>
      </c>
      <c r="L201" s="702">
        <f t="shared" ca="1" si="47"/>
        <v>0</v>
      </c>
    </row>
    <row r="202" spans="1:12" ht="16.149999999999999" customHeight="1" x14ac:dyDescent="0.45">
      <c r="A202" s="700">
        <f t="shared" ca="1" si="43"/>
        <v>0</v>
      </c>
      <c r="B202" s="701">
        <f t="shared" ca="1" si="48"/>
        <v>0</v>
      </c>
      <c r="C202" s="624">
        <f t="shared" ca="1" si="49"/>
        <v>0</v>
      </c>
      <c r="D202" s="698">
        <f ca="1">IF($A202=0,0,IF(SUMIF(CF!$A$5:$A$29,($A202+2),CF!$G$5:$G$29)/12&gt;C202,-C202,-SUMIF(CF!$A$5:$A$29,($A202+2),CF!$G$5:$G$29)/12))</f>
        <v>0</v>
      </c>
      <c r="E202" s="624">
        <f t="shared" ca="1" si="44"/>
        <v>0</v>
      </c>
      <c r="F202" s="702">
        <f t="shared" ca="1" si="45"/>
        <v>0</v>
      </c>
      <c r="H202" s="514">
        <f t="shared" si="42"/>
        <v>17</v>
      </c>
      <c r="I202" s="626">
        <f t="shared" ca="1" si="50"/>
        <v>0</v>
      </c>
      <c r="J202" s="698">
        <f t="shared" ca="1" si="46"/>
        <v>0</v>
      </c>
      <c r="K202" s="624">
        <f ca="1">IF(VLOOKUP($H202,CF!$A$4:$K$29,11,FALSE)/12&gt;(I202+J202),-(I202+J202),(-VLOOKUP($H202,CF!$A$4:$K$29,11,FALSE)/12))</f>
        <v>0</v>
      </c>
      <c r="L202" s="702">
        <f t="shared" ca="1" si="47"/>
        <v>0</v>
      </c>
    </row>
    <row r="203" spans="1:12" ht="16.149999999999999" customHeight="1" x14ac:dyDescent="0.45">
      <c r="A203" s="700">
        <f t="shared" ca="1" si="43"/>
        <v>0</v>
      </c>
      <c r="B203" s="701">
        <f t="shared" ca="1" si="48"/>
        <v>0</v>
      </c>
      <c r="C203" s="624">
        <f t="shared" ca="1" si="49"/>
        <v>0</v>
      </c>
      <c r="D203" s="698">
        <f ca="1">IF($A203=0,0,IF(SUMIF(CF!$A$5:$A$29,($A203+2),CF!$G$5:$G$29)/12&gt;C203,-C203,-SUMIF(CF!$A$5:$A$29,($A203+2),CF!$G$5:$G$29)/12))</f>
        <v>0</v>
      </c>
      <c r="E203" s="624">
        <f t="shared" ca="1" si="44"/>
        <v>0</v>
      </c>
      <c r="F203" s="702">
        <f t="shared" ca="1" si="45"/>
        <v>0</v>
      </c>
      <c r="H203" s="514">
        <f t="shared" si="42"/>
        <v>17</v>
      </c>
      <c r="I203" s="626">
        <f t="shared" ca="1" si="50"/>
        <v>0</v>
      </c>
      <c r="J203" s="698">
        <f t="shared" ca="1" si="46"/>
        <v>0</v>
      </c>
      <c r="K203" s="624">
        <f ca="1">IF(VLOOKUP($H203,CF!$A$4:$K$29,11,FALSE)/12&gt;(I203+J203),-(I203+J203),(-VLOOKUP($H203,CF!$A$4:$K$29,11,FALSE)/12))</f>
        <v>0</v>
      </c>
      <c r="L203" s="702">
        <f t="shared" ca="1" si="47"/>
        <v>0</v>
      </c>
    </row>
    <row r="204" spans="1:12" ht="16.149999999999999" customHeight="1" x14ac:dyDescent="0.45">
      <c r="A204" s="700">
        <f t="shared" ref="A204:A267" ca="1" si="51">ROUNDUP(B204/12,0)</f>
        <v>0</v>
      </c>
      <c r="B204" s="701">
        <f t="shared" ref="B204:B267" ca="1" si="52">IF(OR(ROUND(E203,0)=0,E203&lt;0),0,B203+1)</f>
        <v>0</v>
      </c>
      <c r="C204" s="624">
        <f t="shared" ref="C204:C267" ca="1" si="53">E203</f>
        <v>0</v>
      </c>
      <c r="D204" s="698">
        <f ca="1">IF($A204=0,0,IF(SUMIF(CF!$A$5:$A$29,($A204+2),CF!$G$5:$G$29)/12&gt;C204,-C204,-SUMIF(CF!$A$5:$A$29,($A204+2),CF!$G$5:$G$29)/12))</f>
        <v>0</v>
      </c>
      <c r="E204" s="624">
        <f t="shared" ref="E204:E267" ca="1" si="54">SUM(C204:D204)</f>
        <v>0</v>
      </c>
      <c r="F204" s="702">
        <f t="shared" ca="1" si="45"/>
        <v>0</v>
      </c>
      <c r="H204" s="514">
        <f t="shared" si="42"/>
        <v>18</v>
      </c>
      <c r="I204" s="626">
        <f t="shared" ref="I204:I267" ca="1" si="55">L203</f>
        <v>0</v>
      </c>
      <c r="J204" s="698">
        <f t="shared" ref="J204:J267" ca="1" si="56">I204*$D$3/12</f>
        <v>0</v>
      </c>
      <c r="K204" s="624">
        <f ca="1">IF(VLOOKUP($H204,CF!$A$4:$K$29,11,FALSE)/12&gt;(I204+J204),-(I204+J204),(-VLOOKUP($H204,CF!$A$4:$K$29,11,FALSE)/12))</f>
        <v>0</v>
      </c>
      <c r="L204" s="702">
        <f t="shared" ref="L204:L267" ca="1" si="57">SUM(I204:K204)</f>
        <v>0</v>
      </c>
    </row>
    <row r="205" spans="1:12" ht="16.149999999999999" customHeight="1" x14ac:dyDescent="0.45">
      <c r="A205" s="700">
        <f t="shared" ca="1" si="51"/>
        <v>0</v>
      </c>
      <c r="B205" s="701">
        <f t="shared" ca="1" si="52"/>
        <v>0</v>
      </c>
      <c r="C205" s="624">
        <f t="shared" ca="1" si="53"/>
        <v>0</v>
      </c>
      <c r="D205" s="698">
        <f ca="1">IF($A205=0,0,IF(SUMIF(CF!$A$5:$A$29,($A205+2),CF!$G$5:$G$29)/12&gt;C205,-C205,-SUMIF(CF!$A$5:$A$29,($A205+2),CF!$G$5:$G$29)/12))</f>
        <v>0</v>
      </c>
      <c r="E205" s="624">
        <f t="shared" ca="1" si="54"/>
        <v>0</v>
      </c>
      <c r="F205" s="702">
        <f t="shared" ca="1" si="45"/>
        <v>0</v>
      </c>
      <c r="H205" s="514">
        <f t="shared" si="42"/>
        <v>18</v>
      </c>
      <c r="I205" s="626">
        <f t="shared" ca="1" si="55"/>
        <v>0</v>
      </c>
      <c r="J205" s="698">
        <f t="shared" ca="1" si="56"/>
        <v>0</v>
      </c>
      <c r="K205" s="624">
        <f ca="1">IF(VLOOKUP($H205,CF!$A$4:$K$29,11,FALSE)/12&gt;(I205+J205),-(I205+J205),(-VLOOKUP($H205,CF!$A$4:$K$29,11,FALSE)/12))</f>
        <v>0</v>
      </c>
      <c r="L205" s="702">
        <f t="shared" ca="1" si="57"/>
        <v>0</v>
      </c>
    </row>
    <row r="206" spans="1:12" ht="16.149999999999999" customHeight="1" x14ac:dyDescent="0.45">
      <c r="A206" s="700">
        <f t="shared" ca="1" si="51"/>
        <v>0</v>
      </c>
      <c r="B206" s="701">
        <f t="shared" ca="1" si="52"/>
        <v>0</v>
      </c>
      <c r="C206" s="624">
        <f t="shared" ca="1" si="53"/>
        <v>0</v>
      </c>
      <c r="D206" s="698">
        <f ca="1">IF($A206=0,0,IF(SUMIF(CF!$A$5:$A$29,($A206+2),CF!$G$5:$G$29)/12&gt;C206,-C206,-SUMIF(CF!$A$5:$A$29,($A206+2),CF!$G$5:$G$29)/12))</f>
        <v>0</v>
      </c>
      <c r="E206" s="624">
        <f t="shared" ca="1" si="54"/>
        <v>0</v>
      </c>
      <c r="F206" s="702">
        <f t="shared" ca="1" si="45"/>
        <v>0</v>
      </c>
      <c r="H206" s="514">
        <f t="shared" si="42"/>
        <v>18</v>
      </c>
      <c r="I206" s="626">
        <f t="shared" ca="1" si="55"/>
        <v>0</v>
      </c>
      <c r="J206" s="698">
        <f t="shared" ca="1" si="56"/>
        <v>0</v>
      </c>
      <c r="K206" s="624">
        <f ca="1">IF(VLOOKUP($H206,CF!$A$4:$K$29,11,FALSE)/12&gt;(I206+J206),-(I206+J206),(-VLOOKUP($H206,CF!$A$4:$K$29,11,FALSE)/12))</f>
        <v>0</v>
      </c>
      <c r="L206" s="702">
        <f t="shared" ca="1" si="57"/>
        <v>0</v>
      </c>
    </row>
    <row r="207" spans="1:12" ht="16.149999999999999" customHeight="1" x14ac:dyDescent="0.45">
      <c r="A207" s="700">
        <f t="shared" ca="1" si="51"/>
        <v>0</v>
      </c>
      <c r="B207" s="701">
        <f t="shared" ca="1" si="52"/>
        <v>0</v>
      </c>
      <c r="C207" s="624">
        <f t="shared" ca="1" si="53"/>
        <v>0</v>
      </c>
      <c r="D207" s="698">
        <f ca="1">IF($A207=0,0,IF(SUMIF(CF!$A$5:$A$29,($A207+2),CF!$G$5:$G$29)/12&gt;C207,-C207,-SUMIF(CF!$A$5:$A$29,($A207+2),CF!$G$5:$G$29)/12))</f>
        <v>0</v>
      </c>
      <c r="E207" s="624">
        <f t="shared" ca="1" si="54"/>
        <v>0</v>
      </c>
      <c r="F207" s="702">
        <f t="shared" ca="1" si="45"/>
        <v>0</v>
      </c>
      <c r="H207" s="514">
        <f t="shared" si="42"/>
        <v>18</v>
      </c>
      <c r="I207" s="626">
        <f t="shared" ca="1" si="55"/>
        <v>0</v>
      </c>
      <c r="J207" s="698">
        <f t="shared" ca="1" si="56"/>
        <v>0</v>
      </c>
      <c r="K207" s="624">
        <f ca="1">IF(VLOOKUP($H207,CF!$A$4:$K$29,11,FALSE)/12&gt;(I207+J207),-(I207+J207),(-VLOOKUP($H207,CF!$A$4:$K$29,11,FALSE)/12))</f>
        <v>0</v>
      </c>
      <c r="L207" s="702">
        <f t="shared" ca="1" si="57"/>
        <v>0</v>
      </c>
    </row>
    <row r="208" spans="1:12" ht="16.149999999999999" customHeight="1" x14ac:dyDescent="0.45">
      <c r="A208" s="700">
        <f t="shared" ca="1" si="51"/>
        <v>0</v>
      </c>
      <c r="B208" s="701">
        <f t="shared" ca="1" si="52"/>
        <v>0</v>
      </c>
      <c r="C208" s="624">
        <f t="shared" ca="1" si="53"/>
        <v>0</v>
      </c>
      <c r="D208" s="698">
        <f ca="1">IF($A208=0,0,IF(SUMIF(CF!$A$5:$A$29,($A208+2),CF!$G$5:$G$29)/12&gt;C208,-C208,-SUMIF(CF!$A$5:$A$29,($A208+2),CF!$G$5:$G$29)/12))</f>
        <v>0</v>
      </c>
      <c r="E208" s="624">
        <f t="shared" ca="1" si="54"/>
        <v>0</v>
      </c>
      <c r="F208" s="702">
        <f t="shared" ca="1" si="45"/>
        <v>0</v>
      </c>
      <c r="H208" s="514">
        <f t="shared" si="42"/>
        <v>18</v>
      </c>
      <c r="I208" s="626">
        <f t="shared" ca="1" si="55"/>
        <v>0</v>
      </c>
      <c r="J208" s="698">
        <f t="shared" ca="1" si="56"/>
        <v>0</v>
      </c>
      <c r="K208" s="624">
        <f ca="1">IF(VLOOKUP($H208,CF!$A$4:$K$29,11,FALSE)/12&gt;(I208+J208),-(I208+J208),(-VLOOKUP($H208,CF!$A$4:$K$29,11,FALSE)/12))</f>
        <v>0</v>
      </c>
      <c r="L208" s="702">
        <f t="shared" ca="1" si="57"/>
        <v>0</v>
      </c>
    </row>
    <row r="209" spans="1:12" ht="16.149999999999999" customHeight="1" x14ac:dyDescent="0.45">
      <c r="A209" s="700">
        <f t="shared" ca="1" si="51"/>
        <v>0</v>
      </c>
      <c r="B209" s="701">
        <f t="shared" ca="1" si="52"/>
        <v>0</v>
      </c>
      <c r="C209" s="624">
        <f t="shared" ca="1" si="53"/>
        <v>0</v>
      </c>
      <c r="D209" s="698">
        <f ca="1">IF($A209=0,0,IF(SUMIF(CF!$A$5:$A$29,($A209+2),CF!$G$5:$G$29)/12&gt;C209,-C209,-SUMIF(CF!$A$5:$A$29,($A209+2),CF!$G$5:$G$29)/12))</f>
        <v>0</v>
      </c>
      <c r="E209" s="624">
        <f t="shared" ca="1" si="54"/>
        <v>0</v>
      </c>
      <c r="F209" s="702">
        <f t="shared" ca="1" si="45"/>
        <v>0</v>
      </c>
      <c r="H209" s="514">
        <f t="shared" si="42"/>
        <v>18</v>
      </c>
      <c r="I209" s="626">
        <f t="shared" ca="1" si="55"/>
        <v>0</v>
      </c>
      <c r="J209" s="698">
        <f t="shared" ca="1" si="56"/>
        <v>0</v>
      </c>
      <c r="K209" s="624">
        <f ca="1">IF(VLOOKUP($H209,CF!$A$4:$K$29,11,FALSE)/12&gt;(I209+J209),-(I209+J209),(-VLOOKUP($H209,CF!$A$4:$K$29,11,FALSE)/12))</f>
        <v>0</v>
      </c>
      <c r="L209" s="702">
        <f t="shared" ca="1" si="57"/>
        <v>0</v>
      </c>
    </row>
    <row r="210" spans="1:12" ht="16.149999999999999" customHeight="1" x14ac:dyDescent="0.45">
      <c r="A210" s="700">
        <f t="shared" ca="1" si="51"/>
        <v>0</v>
      </c>
      <c r="B210" s="701">
        <f t="shared" ca="1" si="52"/>
        <v>0</v>
      </c>
      <c r="C210" s="624">
        <f t="shared" ca="1" si="53"/>
        <v>0</v>
      </c>
      <c r="D210" s="698">
        <f ca="1">IF($A210=0,0,IF(SUMIF(CF!$A$5:$A$29,($A210+2),CF!$G$5:$G$29)/12&gt;C210,-C210,-SUMIF(CF!$A$5:$A$29,($A210+2),CF!$G$5:$G$29)/12))</f>
        <v>0</v>
      </c>
      <c r="E210" s="624">
        <f t="shared" ca="1" si="54"/>
        <v>0</v>
      </c>
      <c r="F210" s="702">
        <f t="shared" ca="1" si="45"/>
        <v>0</v>
      </c>
      <c r="H210" s="514">
        <f t="shared" si="42"/>
        <v>18</v>
      </c>
      <c r="I210" s="626">
        <f t="shared" ca="1" si="55"/>
        <v>0</v>
      </c>
      <c r="J210" s="698">
        <f t="shared" ca="1" si="56"/>
        <v>0</v>
      </c>
      <c r="K210" s="624">
        <f ca="1">IF(VLOOKUP($H210,CF!$A$4:$K$29,11,FALSE)/12&gt;(I210+J210),-(I210+J210),(-VLOOKUP($H210,CF!$A$4:$K$29,11,FALSE)/12))</f>
        <v>0</v>
      </c>
      <c r="L210" s="702">
        <f t="shared" ca="1" si="57"/>
        <v>0</v>
      </c>
    </row>
    <row r="211" spans="1:12" ht="16.149999999999999" customHeight="1" x14ac:dyDescent="0.45">
      <c r="A211" s="700">
        <f t="shared" ca="1" si="51"/>
        <v>0</v>
      </c>
      <c r="B211" s="701">
        <f t="shared" ca="1" si="52"/>
        <v>0</v>
      </c>
      <c r="C211" s="624">
        <f t="shared" ca="1" si="53"/>
        <v>0</v>
      </c>
      <c r="D211" s="698">
        <f ca="1">IF($A211=0,0,IF(SUMIF(CF!$A$5:$A$29,($A211+2),CF!$G$5:$G$29)/12&gt;C211,-C211,-SUMIF(CF!$A$5:$A$29,($A211+2),CF!$G$5:$G$29)/12))</f>
        <v>0</v>
      </c>
      <c r="E211" s="624">
        <f t="shared" ca="1" si="54"/>
        <v>0</v>
      </c>
      <c r="F211" s="702">
        <f t="shared" ca="1" si="45"/>
        <v>0</v>
      </c>
      <c r="H211" s="514">
        <f t="shared" si="42"/>
        <v>18</v>
      </c>
      <c r="I211" s="626">
        <f t="shared" ca="1" si="55"/>
        <v>0</v>
      </c>
      <c r="J211" s="698">
        <f t="shared" ca="1" si="56"/>
        <v>0</v>
      </c>
      <c r="K211" s="624">
        <f ca="1">IF(VLOOKUP($H211,CF!$A$4:$K$29,11,FALSE)/12&gt;(I211+J211),-(I211+J211),(-VLOOKUP($H211,CF!$A$4:$K$29,11,FALSE)/12))</f>
        <v>0</v>
      </c>
      <c r="L211" s="702">
        <f t="shared" ca="1" si="57"/>
        <v>0</v>
      </c>
    </row>
    <row r="212" spans="1:12" ht="16.149999999999999" customHeight="1" x14ac:dyDescent="0.45">
      <c r="A212" s="700">
        <f t="shared" ca="1" si="51"/>
        <v>0</v>
      </c>
      <c r="B212" s="701">
        <f t="shared" ca="1" si="52"/>
        <v>0</v>
      </c>
      <c r="C212" s="624">
        <f t="shared" ca="1" si="53"/>
        <v>0</v>
      </c>
      <c r="D212" s="698">
        <f ca="1">IF($A212=0,0,IF(SUMIF(CF!$A$5:$A$29,($A212+2),CF!$G$5:$G$29)/12&gt;C212,-C212,-SUMIF(CF!$A$5:$A$29,($A212+2),CF!$G$5:$G$29)/12))</f>
        <v>0</v>
      </c>
      <c r="E212" s="624">
        <f t="shared" ca="1" si="54"/>
        <v>0</v>
      </c>
      <c r="F212" s="702">
        <f t="shared" ca="1" si="45"/>
        <v>0</v>
      </c>
      <c r="H212" s="514">
        <f t="shared" si="42"/>
        <v>18</v>
      </c>
      <c r="I212" s="626">
        <f t="shared" ca="1" si="55"/>
        <v>0</v>
      </c>
      <c r="J212" s="698">
        <f t="shared" ca="1" si="56"/>
        <v>0</v>
      </c>
      <c r="K212" s="624">
        <f ca="1">IF(VLOOKUP($H212,CF!$A$4:$K$29,11,FALSE)/12&gt;(I212+J212),-(I212+J212),(-VLOOKUP($H212,CF!$A$4:$K$29,11,FALSE)/12))</f>
        <v>0</v>
      </c>
      <c r="L212" s="702">
        <f t="shared" ca="1" si="57"/>
        <v>0</v>
      </c>
    </row>
    <row r="213" spans="1:12" ht="16.149999999999999" customHeight="1" x14ac:dyDescent="0.45">
      <c r="A213" s="700">
        <f t="shared" ca="1" si="51"/>
        <v>0</v>
      </c>
      <c r="B213" s="701">
        <f t="shared" ca="1" si="52"/>
        <v>0</v>
      </c>
      <c r="C213" s="624">
        <f t="shared" ca="1" si="53"/>
        <v>0</v>
      </c>
      <c r="D213" s="698">
        <f ca="1">IF($A213=0,0,IF(SUMIF(CF!$A$5:$A$29,($A213+2),CF!$G$5:$G$29)/12&gt;C213,-C213,-SUMIF(CF!$A$5:$A$29,($A213+2),CF!$G$5:$G$29)/12))</f>
        <v>0</v>
      </c>
      <c r="E213" s="624">
        <f t="shared" ca="1" si="54"/>
        <v>0</v>
      </c>
      <c r="F213" s="702">
        <f t="shared" ca="1" si="45"/>
        <v>0</v>
      </c>
      <c r="H213" s="514">
        <f t="shared" si="42"/>
        <v>18</v>
      </c>
      <c r="I213" s="626">
        <f t="shared" ca="1" si="55"/>
        <v>0</v>
      </c>
      <c r="J213" s="698">
        <f t="shared" ca="1" si="56"/>
        <v>0</v>
      </c>
      <c r="K213" s="624">
        <f ca="1">IF(VLOOKUP($H213,CF!$A$4:$K$29,11,FALSE)/12&gt;(I213+J213),-(I213+J213),(-VLOOKUP($H213,CF!$A$4:$K$29,11,FALSE)/12))</f>
        <v>0</v>
      </c>
      <c r="L213" s="702">
        <f t="shared" ca="1" si="57"/>
        <v>0</v>
      </c>
    </row>
    <row r="214" spans="1:12" ht="16.149999999999999" customHeight="1" x14ac:dyDescent="0.45">
      <c r="A214" s="700">
        <f t="shared" ca="1" si="51"/>
        <v>0</v>
      </c>
      <c r="B214" s="701">
        <f t="shared" ca="1" si="52"/>
        <v>0</v>
      </c>
      <c r="C214" s="624">
        <f t="shared" ca="1" si="53"/>
        <v>0</v>
      </c>
      <c r="D214" s="698">
        <f ca="1">IF($A214=0,0,IF(SUMIF(CF!$A$5:$A$29,($A214+2),CF!$G$5:$G$29)/12&gt;C214,-C214,-SUMIF(CF!$A$5:$A$29,($A214+2),CF!$G$5:$G$29)/12))</f>
        <v>0</v>
      </c>
      <c r="E214" s="624">
        <f t="shared" ca="1" si="54"/>
        <v>0</v>
      </c>
      <c r="F214" s="702">
        <f t="shared" ca="1" si="45"/>
        <v>0</v>
      </c>
      <c r="H214" s="514">
        <f t="shared" si="42"/>
        <v>18</v>
      </c>
      <c r="I214" s="626">
        <f t="shared" ca="1" si="55"/>
        <v>0</v>
      </c>
      <c r="J214" s="698">
        <f t="shared" ca="1" si="56"/>
        <v>0</v>
      </c>
      <c r="K214" s="624">
        <f ca="1">IF(VLOOKUP($H214,CF!$A$4:$K$29,11,FALSE)/12&gt;(I214+J214),-(I214+J214),(-VLOOKUP($H214,CF!$A$4:$K$29,11,FALSE)/12))</f>
        <v>0</v>
      </c>
      <c r="L214" s="702">
        <f t="shared" ca="1" si="57"/>
        <v>0</v>
      </c>
    </row>
    <row r="215" spans="1:12" ht="16.149999999999999" customHeight="1" x14ac:dyDescent="0.45">
      <c r="A215" s="700">
        <f t="shared" ca="1" si="51"/>
        <v>0</v>
      </c>
      <c r="B215" s="701">
        <f t="shared" ca="1" si="52"/>
        <v>0</v>
      </c>
      <c r="C215" s="624">
        <f t="shared" ca="1" si="53"/>
        <v>0</v>
      </c>
      <c r="D215" s="698">
        <f ca="1">IF($A215=0,0,IF(SUMIF(CF!$A$5:$A$29,($A215+2),CF!$G$5:$G$29)/12&gt;C215,-C215,-SUMIF(CF!$A$5:$A$29,($A215+2),CF!$G$5:$G$29)/12))</f>
        <v>0</v>
      </c>
      <c r="E215" s="624">
        <f t="shared" ca="1" si="54"/>
        <v>0</v>
      </c>
      <c r="F215" s="702">
        <f t="shared" ca="1" si="45"/>
        <v>0</v>
      </c>
      <c r="H215" s="514">
        <f t="shared" si="42"/>
        <v>18</v>
      </c>
      <c r="I215" s="626">
        <f t="shared" ca="1" si="55"/>
        <v>0</v>
      </c>
      <c r="J215" s="698">
        <f t="shared" ca="1" si="56"/>
        <v>0</v>
      </c>
      <c r="K215" s="624">
        <f ca="1">IF(VLOOKUP($H215,CF!$A$4:$K$29,11,FALSE)/12&gt;(I215+J215),-(I215+J215),(-VLOOKUP($H215,CF!$A$4:$K$29,11,FALSE)/12))</f>
        <v>0</v>
      </c>
      <c r="L215" s="702">
        <f t="shared" ca="1" si="57"/>
        <v>0</v>
      </c>
    </row>
    <row r="216" spans="1:12" ht="16.149999999999999" customHeight="1" x14ac:dyDescent="0.45">
      <c r="A216" s="700">
        <f t="shared" ca="1" si="51"/>
        <v>0</v>
      </c>
      <c r="B216" s="701">
        <f t="shared" ca="1" si="52"/>
        <v>0</v>
      </c>
      <c r="C216" s="624">
        <f t="shared" ca="1" si="53"/>
        <v>0</v>
      </c>
      <c r="D216" s="698">
        <f ca="1">IF($A216=0,0,IF(SUMIF(CF!$A$5:$A$29,($A216+2),CF!$G$5:$G$29)/12&gt;C216,-C216,-SUMIF(CF!$A$5:$A$29,($A216+2),CF!$G$5:$G$29)/12))</f>
        <v>0</v>
      </c>
      <c r="E216" s="624">
        <f t="shared" ca="1" si="54"/>
        <v>0</v>
      </c>
      <c r="F216" s="702">
        <f t="shared" ca="1" si="45"/>
        <v>0</v>
      </c>
      <c r="H216" s="514">
        <f t="shared" si="42"/>
        <v>19</v>
      </c>
      <c r="I216" s="626">
        <f t="shared" ca="1" si="55"/>
        <v>0</v>
      </c>
      <c r="J216" s="698">
        <f t="shared" ca="1" si="56"/>
        <v>0</v>
      </c>
      <c r="K216" s="624">
        <f ca="1">IF(VLOOKUP($H216,CF!$A$4:$K$29,11,FALSE)/12&gt;(I216+J216),-(I216+J216),(-VLOOKUP($H216,CF!$A$4:$K$29,11,FALSE)/12))</f>
        <v>0</v>
      </c>
      <c r="L216" s="702">
        <f t="shared" ca="1" si="57"/>
        <v>0</v>
      </c>
    </row>
    <row r="217" spans="1:12" ht="16.149999999999999" customHeight="1" x14ac:dyDescent="0.45">
      <c r="A217" s="700">
        <f t="shared" ca="1" si="51"/>
        <v>0</v>
      </c>
      <c r="B217" s="701">
        <f t="shared" ca="1" si="52"/>
        <v>0</v>
      </c>
      <c r="C217" s="624">
        <f t="shared" ca="1" si="53"/>
        <v>0</v>
      </c>
      <c r="D217" s="698">
        <f ca="1">IF($A217=0,0,IF(SUMIF(CF!$A$5:$A$29,($A217+2),CF!$G$5:$G$29)/12&gt;C217,-C217,-SUMIF(CF!$A$5:$A$29,($A217+2),CF!$G$5:$G$29)/12))</f>
        <v>0</v>
      </c>
      <c r="E217" s="624">
        <f t="shared" ca="1" si="54"/>
        <v>0</v>
      </c>
      <c r="F217" s="702">
        <f t="shared" ca="1" si="45"/>
        <v>0</v>
      </c>
      <c r="H217" s="514">
        <f t="shared" si="42"/>
        <v>19</v>
      </c>
      <c r="I217" s="626">
        <f t="shared" ca="1" si="55"/>
        <v>0</v>
      </c>
      <c r="J217" s="698">
        <f t="shared" ca="1" si="56"/>
        <v>0</v>
      </c>
      <c r="K217" s="624">
        <f ca="1">IF(VLOOKUP($H217,CF!$A$4:$K$29,11,FALSE)/12&gt;(I217+J217),-(I217+J217),(-VLOOKUP($H217,CF!$A$4:$K$29,11,FALSE)/12))</f>
        <v>0</v>
      </c>
      <c r="L217" s="702">
        <f t="shared" ca="1" si="57"/>
        <v>0</v>
      </c>
    </row>
    <row r="218" spans="1:12" ht="16.149999999999999" customHeight="1" x14ac:dyDescent="0.45">
      <c r="A218" s="700">
        <f t="shared" ca="1" si="51"/>
        <v>0</v>
      </c>
      <c r="B218" s="701">
        <f t="shared" ca="1" si="52"/>
        <v>0</v>
      </c>
      <c r="C218" s="624">
        <f t="shared" ca="1" si="53"/>
        <v>0</v>
      </c>
      <c r="D218" s="698">
        <f ca="1">IF($A218=0,0,IF(SUMIF(CF!$A$5:$A$29,($A218+2),CF!$G$5:$G$29)/12&gt;C218,-C218,-SUMIF(CF!$A$5:$A$29,($A218+2),CF!$G$5:$G$29)/12))</f>
        <v>0</v>
      </c>
      <c r="E218" s="624">
        <f t="shared" ca="1" si="54"/>
        <v>0</v>
      </c>
      <c r="F218" s="702">
        <f t="shared" ca="1" si="45"/>
        <v>0</v>
      </c>
      <c r="H218" s="514">
        <f t="shared" si="42"/>
        <v>19</v>
      </c>
      <c r="I218" s="626">
        <f t="shared" ca="1" si="55"/>
        <v>0</v>
      </c>
      <c r="J218" s="698">
        <f t="shared" ca="1" si="56"/>
        <v>0</v>
      </c>
      <c r="K218" s="624">
        <f ca="1">IF(VLOOKUP($H218,CF!$A$4:$K$29,11,FALSE)/12&gt;(I218+J218),-(I218+J218),(-VLOOKUP($H218,CF!$A$4:$K$29,11,FALSE)/12))</f>
        <v>0</v>
      </c>
      <c r="L218" s="702">
        <f t="shared" ca="1" si="57"/>
        <v>0</v>
      </c>
    </row>
    <row r="219" spans="1:12" ht="16.149999999999999" customHeight="1" x14ac:dyDescent="0.45">
      <c r="A219" s="700">
        <f t="shared" ca="1" si="51"/>
        <v>0</v>
      </c>
      <c r="B219" s="701">
        <f t="shared" ca="1" si="52"/>
        <v>0</v>
      </c>
      <c r="C219" s="624">
        <f t="shared" ca="1" si="53"/>
        <v>0</v>
      </c>
      <c r="D219" s="698">
        <f ca="1">IF($A219=0,0,IF(SUMIF(CF!$A$5:$A$29,($A219+2),CF!$G$5:$G$29)/12&gt;C219,-C219,-SUMIF(CF!$A$5:$A$29,($A219+2),CF!$G$5:$G$29)/12))</f>
        <v>0</v>
      </c>
      <c r="E219" s="624">
        <f t="shared" ca="1" si="54"/>
        <v>0</v>
      </c>
      <c r="F219" s="702">
        <f t="shared" ca="1" si="45"/>
        <v>0</v>
      </c>
      <c r="H219" s="514">
        <f t="shared" si="42"/>
        <v>19</v>
      </c>
      <c r="I219" s="626">
        <f t="shared" ca="1" si="55"/>
        <v>0</v>
      </c>
      <c r="J219" s="698">
        <f t="shared" ca="1" si="56"/>
        <v>0</v>
      </c>
      <c r="K219" s="624">
        <f ca="1">IF(VLOOKUP($H219,CF!$A$4:$K$29,11,FALSE)/12&gt;(I219+J219),-(I219+J219),(-VLOOKUP($H219,CF!$A$4:$K$29,11,FALSE)/12))</f>
        <v>0</v>
      </c>
      <c r="L219" s="702">
        <f t="shared" ca="1" si="57"/>
        <v>0</v>
      </c>
    </row>
    <row r="220" spans="1:12" ht="16.149999999999999" customHeight="1" x14ac:dyDescent="0.45">
      <c r="A220" s="700">
        <f t="shared" ca="1" si="51"/>
        <v>0</v>
      </c>
      <c r="B220" s="701">
        <f t="shared" ca="1" si="52"/>
        <v>0</v>
      </c>
      <c r="C220" s="624">
        <f t="shared" ca="1" si="53"/>
        <v>0</v>
      </c>
      <c r="D220" s="698">
        <f ca="1">IF($A220=0,0,IF(SUMIF(CF!$A$5:$A$29,($A220+2),CF!$G$5:$G$29)/12&gt;C220,-C220,-SUMIF(CF!$A$5:$A$29,($A220+2),CF!$G$5:$G$29)/12))</f>
        <v>0</v>
      </c>
      <c r="E220" s="624">
        <f t="shared" ca="1" si="54"/>
        <v>0</v>
      </c>
      <c r="F220" s="702">
        <f t="shared" ca="1" si="45"/>
        <v>0</v>
      </c>
      <c r="H220" s="514">
        <f t="shared" si="42"/>
        <v>19</v>
      </c>
      <c r="I220" s="626">
        <f t="shared" ca="1" si="55"/>
        <v>0</v>
      </c>
      <c r="J220" s="698">
        <f t="shared" ca="1" si="56"/>
        <v>0</v>
      </c>
      <c r="K220" s="624">
        <f ca="1">IF(VLOOKUP($H220,CF!$A$4:$K$29,11,FALSE)/12&gt;(I220+J220),-(I220+J220),(-VLOOKUP($H220,CF!$A$4:$K$29,11,FALSE)/12))</f>
        <v>0</v>
      </c>
      <c r="L220" s="702">
        <f t="shared" ca="1" si="57"/>
        <v>0</v>
      </c>
    </row>
    <row r="221" spans="1:12" ht="16.149999999999999" customHeight="1" x14ac:dyDescent="0.45">
      <c r="A221" s="700">
        <f t="shared" ca="1" si="51"/>
        <v>0</v>
      </c>
      <c r="B221" s="701">
        <f t="shared" ca="1" si="52"/>
        <v>0</v>
      </c>
      <c r="C221" s="624">
        <f t="shared" ca="1" si="53"/>
        <v>0</v>
      </c>
      <c r="D221" s="698">
        <f ca="1">IF($A221=0,0,IF(SUMIF(CF!$A$5:$A$29,($A221+2),CF!$G$5:$G$29)/12&gt;C221,-C221,-SUMIF(CF!$A$5:$A$29,($A221+2),CF!$G$5:$G$29)/12))</f>
        <v>0</v>
      </c>
      <c r="E221" s="624">
        <f t="shared" ca="1" si="54"/>
        <v>0</v>
      </c>
      <c r="F221" s="702">
        <f t="shared" ca="1" si="45"/>
        <v>0</v>
      </c>
      <c r="H221" s="514">
        <f t="shared" si="42"/>
        <v>19</v>
      </c>
      <c r="I221" s="626">
        <f t="shared" ca="1" si="55"/>
        <v>0</v>
      </c>
      <c r="J221" s="698">
        <f t="shared" ca="1" si="56"/>
        <v>0</v>
      </c>
      <c r="K221" s="624">
        <f ca="1">IF(VLOOKUP($H221,CF!$A$4:$K$29,11,FALSE)/12&gt;(I221+J221),-(I221+J221),(-VLOOKUP($H221,CF!$A$4:$K$29,11,FALSE)/12))</f>
        <v>0</v>
      </c>
      <c r="L221" s="702">
        <f t="shared" ca="1" si="57"/>
        <v>0</v>
      </c>
    </row>
    <row r="222" spans="1:12" ht="16.149999999999999" customHeight="1" x14ac:dyDescent="0.45">
      <c r="A222" s="700">
        <f t="shared" ca="1" si="51"/>
        <v>0</v>
      </c>
      <c r="B222" s="701">
        <f t="shared" ca="1" si="52"/>
        <v>0</v>
      </c>
      <c r="C222" s="624">
        <f t="shared" ca="1" si="53"/>
        <v>0</v>
      </c>
      <c r="D222" s="698">
        <f ca="1">IF($A222=0,0,IF(SUMIF(CF!$A$5:$A$29,($A222+2),CF!$G$5:$G$29)/12&gt;C222,-C222,-SUMIF(CF!$A$5:$A$29,($A222+2),CF!$G$5:$G$29)/12))</f>
        <v>0</v>
      </c>
      <c r="E222" s="624">
        <f t="shared" ca="1" si="54"/>
        <v>0</v>
      </c>
      <c r="F222" s="702">
        <f t="shared" ca="1" si="45"/>
        <v>0</v>
      </c>
      <c r="H222" s="514">
        <f t="shared" si="42"/>
        <v>19</v>
      </c>
      <c r="I222" s="626">
        <f t="shared" ca="1" si="55"/>
        <v>0</v>
      </c>
      <c r="J222" s="698">
        <f t="shared" ca="1" si="56"/>
        <v>0</v>
      </c>
      <c r="K222" s="624">
        <f ca="1">IF(VLOOKUP($H222,CF!$A$4:$K$29,11,FALSE)/12&gt;(I222+J222),-(I222+J222),(-VLOOKUP($H222,CF!$A$4:$K$29,11,FALSE)/12))</f>
        <v>0</v>
      </c>
      <c r="L222" s="702">
        <f t="shared" ca="1" si="57"/>
        <v>0</v>
      </c>
    </row>
    <row r="223" spans="1:12" ht="16.149999999999999" customHeight="1" x14ac:dyDescent="0.45">
      <c r="A223" s="700">
        <f t="shared" ca="1" si="51"/>
        <v>0</v>
      </c>
      <c r="B223" s="701">
        <f t="shared" ca="1" si="52"/>
        <v>0</v>
      </c>
      <c r="C223" s="624">
        <f t="shared" ca="1" si="53"/>
        <v>0</v>
      </c>
      <c r="D223" s="698">
        <f ca="1">IF($A223=0,0,IF(SUMIF(CF!$A$5:$A$29,($A223+2),CF!$G$5:$G$29)/12&gt;C223,-C223,-SUMIF(CF!$A$5:$A$29,($A223+2),CF!$G$5:$G$29)/12))</f>
        <v>0</v>
      </c>
      <c r="E223" s="624">
        <f t="shared" ca="1" si="54"/>
        <v>0</v>
      </c>
      <c r="F223" s="702">
        <f t="shared" ca="1" si="45"/>
        <v>0</v>
      </c>
      <c r="H223" s="514">
        <f t="shared" si="42"/>
        <v>19</v>
      </c>
      <c r="I223" s="626">
        <f t="shared" ca="1" si="55"/>
        <v>0</v>
      </c>
      <c r="J223" s="698">
        <f t="shared" ca="1" si="56"/>
        <v>0</v>
      </c>
      <c r="K223" s="624">
        <f ca="1">IF(VLOOKUP($H223,CF!$A$4:$K$29,11,FALSE)/12&gt;(I223+J223),-(I223+J223),(-VLOOKUP($H223,CF!$A$4:$K$29,11,FALSE)/12))</f>
        <v>0</v>
      </c>
      <c r="L223" s="702">
        <f t="shared" ca="1" si="57"/>
        <v>0</v>
      </c>
    </row>
    <row r="224" spans="1:12" ht="16.149999999999999" customHeight="1" x14ac:dyDescent="0.45">
      <c r="A224" s="700">
        <f t="shared" ca="1" si="51"/>
        <v>0</v>
      </c>
      <c r="B224" s="701">
        <f t="shared" ca="1" si="52"/>
        <v>0</v>
      </c>
      <c r="C224" s="624">
        <f t="shared" ca="1" si="53"/>
        <v>0</v>
      </c>
      <c r="D224" s="698">
        <f ca="1">IF($A224=0,0,IF(SUMIF(CF!$A$5:$A$29,($A224+2),CF!$G$5:$G$29)/12&gt;C224,-C224,-SUMIF(CF!$A$5:$A$29,($A224+2),CF!$G$5:$G$29)/12))</f>
        <v>0</v>
      </c>
      <c r="E224" s="624">
        <f t="shared" ca="1" si="54"/>
        <v>0</v>
      </c>
      <c r="F224" s="702">
        <f t="shared" ca="1" si="45"/>
        <v>0</v>
      </c>
      <c r="H224" s="514">
        <f t="shared" si="42"/>
        <v>19</v>
      </c>
      <c r="I224" s="626">
        <f t="shared" ca="1" si="55"/>
        <v>0</v>
      </c>
      <c r="J224" s="698">
        <f t="shared" ca="1" si="56"/>
        <v>0</v>
      </c>
      <c r="K224" s="624">
        <f ca="1">IF(VLOOKUP($H224,CF!$A$4:$K$29,11,FALSE)/12&gt;(I224+J224),-(I224+J224),(-VLOOKUP($H224,CF!$A$4:$K$29,11,FALSE)/12))</f>
        <v>0</v>
      </c>
      <c r="L224" s="702">
        <f t="shared" ca="1" si="57"/>
        <v>0</v>
      </c>
    </row>
    <row r="225" spans="1:12" ht="16.149999999999999" customHeight="1" x14ac:dyDescent="0.45">
      <c r="A225" s="700">
        <f t="shared" ca="1" si="51"/>
        <v>0</v>
      </c>
      <c r="B225" s="701">
        <f t="shared" ca="1" si="52"/>
        <v>0</v>
      </c>
      <c r="C225" s="624">
        <f t="shared" ca="1" si="53"/>
        <v>0</v>
      </c>
      <c r="D225" s="698">
        <f ca="1">IF($A225=0,0,IF(SUMIF(CF!$A$5:$A$29,($A225+2),CF!$G$5:$G$29)/12&gt;C225,-C225,-SUMIF(CF!$A$5:$A$29,($A225+2),CF!$G$5:$G$29)/12))</f>
        <v>0</v>
      </c>
      <c r="E225" s="624">
        <f t="shared" ca="1" si="54"/>
        <v>0</v>
      </c>
      <c r="F225" s="702">
        <f t="shared" ca="1" si="45"/>
        <v>0</v>
      </c>
      <c r="H225" s="514">
        <f t="shared" si="42"/>
        <v>19</v>
      </c>
      <c r="I225" s="626">
        <f t="shared" ca="1" si="55"/>
        <v>0</v>
      </c>
      <c r="J225" s="698">
        <f t="shared" ca="1" si="56"/>
        <v>0</v>
      </c>
      <c r="K225" s="624">
        <f ca="1">IF(VLOOKUP($H225,CF!$A$4:$K$29,11,FALSE)/12&gt;(I225+J225),-(I225+J225),(-VLOOKUP($H225,CF!$A$4:$K$29,11,FALSE)/12))</f>
        <v>0</v>
      </c>
      <c r="L225" s="702">
        <f t="shared" ca="1" si="57"/>
        <v>0</v>
      </c>
    </row>
    <row r="226" spans="1:12" ht="16.149999999999999" customHeight="1" x14ac:dyDescent="0.45">
      <c r="A226" s="700">
        <f t="shared" ca="1" si="51"/>
        <v>0</v>
      </c>
      <c r="B226" s="701">
        <f t="shared" ca="1" si="52"/>
        <v>0</v>
      </c>
      <c r="C226" s="624">
        <f t="shared" ca="1" si="53"/>
        <v>0</v>
      </c>
      <c r="D226" s="698">
        <f ca="1">IF($A226=0,0,IF(SUMIF(CF!$A$5:$A$29,($A226+2),CF!$G$5:$G$29)/12&gt;C226,-C226,-SUMIF(CF!$A$5:$A$29,($A226+2),CF!$G$5:$G$29)/12))</f>
        <v>0</v>
      </c>
      <c r="E226" s="624">
        <f t="shared" ca="1" si="54"/>
        <v>0</v>
      </c>
      <c r="F226" s="702">
        <f t="shared" ca="1" si="45"/>
        <v>0</v>
      </c>
      <c r="H226" s="514">
        <f t="shared" si="42"/>
        <v>19</v>
      </c>
      <c r="I226" s="626">
        <f t="shared" ca="1" si="55"/>
        <v>0</v>
      </c>
      <c r="J226" s="698">
        <f t="shared" ca="1" si="56"/>
        <v>0</v>
      </c>
      <c r="K226" s="624">
        <f ca="1">IF(VLOOKUP($H226,CF!$A$4:$K$29,11,FALSE)/12&gt;(I226+J226),-(I226+J226),(-VLOOKUP($H226,CF!$A$4:$K$29,11,FALSE)/12))</f>
        <v>0</v>
      </c>
      <c r="L226" s="702">
        <f t="shared" ca="1" si="57"/>
        <v>0</v>
      </c>
    </row>
    <row r="227" spans="1:12" ht="16.149999999999999" customHeight="1" x14ac:dyDescent="0.45">
      <c r="A227" s="700">
        <f t="shared" ca="1" si="51"/>
        <v>0</v>
      </c>
      <c r="B227" s="701">
        <f t="shared" ca="1" si="52"/>
        <v>0</v>
      </c>
      <c r="C227" s="624">
        <f t="shared" ca="1" si="53"/>
        <v>0</v>
      </c>
      <c r="D227" s="698">
        <f ca="1">IF($A227=0,0,IF(SUMIF(CF!$A$5:$A$29,($A227+2),CF!$G$5:$G$29)/12&gt;C227,-C227,-SUMIF(CF!$A$5:$A$29,($A227+2),CF!$G$5:$G$29)/12))</f>
        <v>0</v>
      </c>
      <c r="E227" s="624">
        <f t="shared" ca="1" si="54"/>
        <v>0</v>
      </c>
      <c r="F227" s="702">
        <f t="shared" ca="1" si="45"/>
        <v>0</v>
      </c>
      <c r="H227" s="514">
        <f t="shared" si="42"/>
        <v>19</v>
      </c>
      <c r="I227" s="626">
        <f t="shared" ca="1" si="55"/>
        <v>0</v>
      </c>
      <c r="J227" s="698">
        <f t="shared" ca="1" si="56"/>
        <v>0</v>
      </c>
      <c r="K227" s="624">
        <f ca="1">IF(VLOOKUP($H227,CF!$A$4:$K$29,11,FALSE)/12&gt;(I227+J227),-(I227+J227),(-VLOOKUP($H227,CF!$A$4:$K$29,11,FALSE)/12))</f>
        <v>0</v>
      </c>
      <c r="L227" s="702">
        <f t="shared" ca="1" si="57"/>
        <v>0</v>
      </c>
    </row>
    <row r="228" spans="1:12" ht="16.149999999999999" customHeight="1" x14ac:dyDescent="0.45">
      <c r="A228" s="700">
        <f t="shared" ca="1" si="51"/>
        <v>0</v>
      </c>
      <c r="B228" s="701">
        <f t="shared" ca="1" si="52"/>
        <v>0</v>
      </c>
      <c r="C228" s="624">
        <f t="shared" ca="1" si="53"/>
        <v>0</v>
      </c>
      <c r="D228" s="698">
        <f ca="1">IF($A228=0,0,IF(SUMIF(CF!$A$5:$A$29,($A228+2),CF!$G$5:$G$29)/12&gt;C228,-C228,-SUMIF(CF!$A$5:$A$29,($A228+2),CF!$G$5:$G$29)/12))</f>
        <v>0</v>
      </c>
      <c r="E228" s="624">
        <f t="shared" ca="1" si="54"/>
        <v>0</v>
      </c>
      <c r="F228" s="702">
        <f t="shared" ca="1" si="45"/>
        <v>0</v>
      </c>
      <c r="H228" s="514">
        <f t="shared" si="42"/>
        <v>20</v>
      </c>
      <c r="I228" s="626">
        <f t="shared" ca="1" si="55"/>
        <v>0</v>
      </c>
      <c r="J228" s="698">
        <f t="shared" ca="1" si="56"/>
        <v>0</v>
      </c>
      <c r="K228" s="624">
        <f ca="1">IF(VLOOKUP($H228,CF!$A$4:$K$29,11,FALSE)/12&gt;(I228+J228),-(I228+J228),(-VLOOKUP($H228,CF!$A$4:$K$29,11,FALSE)/12))</f>
        <v>0</v>
      </c>
      <c r="L228" s="702">
        <f t="shared" ca="1" si="57"/>
        <v>0</v>
      </c>
    </row>
    <row r="229" spans="1:12" ht="16.149999999999999" customHeight="1" x14ac:dyDescent="0.45">
      <c r="A229" s="700">
        <f t="shared" ca="1" si="51"/>
        <v>0</v>
      </c>
      <c r="B229" s="701">
        <f t="shared" ca="1" si="52"/>
        <v>0</v>
      </c>
      <c r="C229" s="624">
        <f t="shared" ca="1" si="53"/>
        <v>0</v>
      </c>
      <c r="D229" s="698">
        <f ca="1">IF($A229=0,0,IF(SUMIF(CF!$A$5:$A$29,($A229+2),CF!$G$5:$G$29)/12&gt;C229,-C229,-SUMIF(CF!$A$5:$A$29,($A229+2),CF!$G$5:$G$29)/12))</f>
        <v>0</v>
      </c>
      <c r="E229" s="624">
        <f t="shared" ca="1" si="54"/>
        <v>0</v>
      </c>
      <c r="F229" s="702">
        <f t="shared" ca="1" si="45"/>
        <v>0</v>
      </c>
      <c r="H229" s="514">
        <f t="shared" ref="H229:H292" si="58">H217+1</f>
        <v>20</v>
      </c>
      <c r="I229" s="626">
        <f t="shared" ca="1" si="55"/>
        <v>0</v>
      </c>
      <c r="J229" s="698">
        <f t="shared" ca="1" si="56"/>
        <v>0</v>
      </c>
      <c r="K229" s="624">
        <f ca="1">IF(VLOOKUP($H229,CF!$A$4:$K$29,11,FALSE)/12&gt;(I229+J229),-(I229+J229),(-VLOOKUP($H229,CF!$A$4:$K$29,11,FALSE)/12))</f>
        <v>0</v>
      </c>
      <c r="L229" s="702">
        <f t="shared" ca="1" si="57"/>
        <v>0</v>
      </c>
    </row>
    <row r="230" spans="1:12" ht="16.149999999999999" customHeight="1" x14ac:dyDescent="0.45">
      <c r="A230" s="700">
        <f t="shared" ca="1" si="51"/>
        <v>0</v>
      </c>
      <c r="B230" s="701">
        <f t="shared" ca="1" si="52"/>
        <v>0</v>
      </c>
      <c r="C230" s="624">
        <f t="shared" ca="1" si="53"/>
        <v>0</v>
      </c>
      <c r="D230" s="698">
        <f ca="1">IF($A230=0,0,IF(SUMIF(CF!$A$5:$A$29,($A230+2),CF!$G$5:$G$29)/12&gt;C230,-C230,-SUMIF(CF!$A$5:$A$29,($A230+2),CF!$G$5:$G$29)/12))</f>
        <v>0</v>
      </c>
      <c r="E230" s="624">
        <f t="shared" ca="1" si="54"/>
        <v>0</v>
      </c>
      <c r="F230" s="702">
        <f t="shared" ca="1" si="45"/>
        <v>0</v>
      </c>
      <c r="H230" s="514">
        <f t="shared" si="58"/>
        <v>20</v>
      </c>
      <c r="I230" s="626">
        <f t="shared" ca="1" si="55"/>
        <v>0</v>
      </c>
      <c r="J230" s="698">
        <f t="shared" ca="1" si="56"/>
        <v>0</v>
      </c>
      <c r="K230" s="624">
        <f ca="1">IF(VLOOKUP($H230,CF!$A$4:$K$29,11,FALSE)/12&gt;(I230+J230),-(I230+J230),(-VLOOKUP($H230,CF!$A$4:$K$29,11,FALSE)/12))</f>
        <v>0</v>
      </c>
      <c r="L230" s="702">
        <f t="shared" ca="1" si="57"/>
        <v>0</v>
      </c>
    </row>
    <row r="231" spans="1:12" ht="16.149999999999999" customHeight="1" x14ac:dyDescent="0.45">
      <c r="A231" s="700">
        <f t="shared" ca="1" si="51"/>
        <v>0</v>
      </c>
      <c r="B231" s="701">
        <f t="shared" ca="1" si="52"/>
        <v>0</v>
      </c>
      <c r="C231" s="624">
        <f t="shared" ca="1" si="53"/>
        <v>0</v>
      </c>
      <c r="D231" s="698">
        <f ca="1">IF($A231=0,0,IF(SUMIF(CF!$A$5:$A$29,($A231+2),CF!$G$5:$G$29)/12&gt;C231,-C231,-SUMIF(CF!$A$5:$A$29,($A231+2),CF!$G$5:$G$29)/12))</f>
        <v>0</v>
      </c>
      <c r="E231" s="624">
        <f t="shared" ca="1" si="54"/>
        <v>0</v>
      </c>
      <c r="F231" s="702">
        <f t="shared" ca="1" si="45"/>
        <v>0</v>
      </c>
      <c r="H231" s="514">
        <f t="shared" si="58"/>
        <v>20</v>
      </c>
      <c r="I231" s="626">
        <f t="shared" ca="1" si="55"/>
        <v>0</v>
      </c>
      <c r="J231" s="698">
        <f t="shared" ca="1" si="56"/>
        <v>0</v>
      </c>
      <c r="K231" s="624">
        <f ca="1">IF(VLOOKUP($H231,CF!$A$4:$K$29,11,FALSE)/12&gt;(I231+J231),-(I231+J231),(-VLOOKUP($H231,CF!$A$4:$K$29,11,FALSE)/12))</f>
        <v>0</v>
      </c>
      <c r="L231" s="702">
        <f t="shared" ca="1" si="57"/>
        <v>0</v>
      </c>
    </row>
    <row r="232" spans="1:12" ht="16.149999999999999" customHeight="1" x14ac:dyDescent="0.45">
      <c r="A232" s="700">
        <f t="shared" ca="1" si="51"/>
        <v>0</v>
      </c>
      <c r="B232" s="701">
        <f t="shared" ca="1" si="52"/>
        <v>0</v>
      </c>
      <c r="C232" s="624">
        <f t="shared" ca="1" si="53"/>
        <v>0</v>
      </c>
      <c r="D232" s="698">
        <f ca="1">IF($A232=0,0,IF(SUMIF(CF!$A$5:$A$29,($A232+2),CF!$G$5:$G$29)/12&gt;C232,-C232,-SUMIF(CF!$A$5:$A$29,($A232+2),CF!$G$5:$G$29)/12))</f>
        <v>0</v>
      </c>
      <c r="E232" s="624">
        <f t="shared" ca="1" si="54"/>
        <v>0</v>
      </c>
      <c r="F232" s="702">
        <f t="shared" ca="1" si="45"/>
        <v>0</v>
      </c>
      <c r="H232" s="514">
        <f t="shared" si="58"/>
        <v>20</v>
      </c>
      <c r="I232" s="626">
        <f t="shared" ca="1" si="55"/>
        <v>0</v>
      </c>
      <c r="J232" s="698">
        <f t="shared" ca="1" si="56"/>
        <v>0</v>
      </c>
      <c r="K232" s="624">
        <f ca="1">IF(VLOOKUP($H232,CF!$A$4:$K$29,11,FALSE)/12&gt;(I232+J232),-(I232+J232),(-VLOOKUP($H232,CF!$A$4:$K$29,11,FALSE)/12))</f>
        <v>0</v>
      </c>
      <c r="L232" s="702">
        <f t="shared" ca="1" si="57"/>
        <v>0</v>
      </c>
    </row>
    <row r="233" spans="1:12" ht="16.149999999999999" customHeight="1" x14ac:dyDescent="0.45">
      <c r="A233" s="700">
        <f t="shared" ca="1" si="51"/>
        <v>0</v>
      </c>
      <c r="B233" s="701">
        <f t="shared" ca="1" si="52"/>
        <v>0</v>
      </c>
      <c r="C233" s="624">
        <f t="shared" ca="1" si="53"/>
        <v>0</v>
      </c>
      <c r="D233" s="698">
        <f ca="1">IF($A233=0,0,IF(SUMIF(CF!$A$5:$A$29,($A233+2),CF!$G$5:$G$29)/12&gt;C233,-C233,-SUMIF(CF!$A$5:$A$29,($A233+2),CF!$G$5:$G$29)/12))</f>
        <v>0</v>
      </c>
      <c r="E233" s="624">
        <f t="shared" ca="1" si="54"/>
        <v>0</v>
      </c>
      <c r="F233" s="702">
        <f t="shared" ca="1" si="45"/>
        <v>0</v>
      </c>
      <c r="H233" s="514">
        <f t="shared" si="58"/>
        <v>20</v>
      </c>
      <c r="I233" s="626">
        <f t="shared" ca="1" si="55"/>
        <v>0</v>
      </c>
      <c r="J233" s="698">
        <f t="shared" ca="1" si="56"/>
        <v>0</v>
      </c>
      <c r="K233" s="624">
        <f ca="1">IF(VLOOKUP($H233,CF!$A$4:$K$29,11,FALSE)/12&gt;(I233+J233),-(I233+J233),(-VLOOKUP($H233,CF!$A$4:$K$29,11,FALSE)/12))</f>
        <v>0</v>
      </c>
      <c r="L233" s="702">
        <f t="shared" ca="1" si="57"/>
        <v>0</v>
      </c>
    </row>
    <row r="234" spans="1:12" ht="16.149999999999999" customHeight="1" x14ac:dyDescent="0.45">
      <c r="A234" s="700">
        <f t="shared" ca="1" si="51"/>
        <v>0</v>
      </c>
      <c r="B234" s="701">
        <f t="shared" ca="1" si="52"/>
        <v>0</v>
      </c>
      <c r="C234" s="624">
        <f t="shared" ca="1" si="53"/>
        <v>0</v>
      </c>
      <c r="D234" s="698">
        <f ca="1">IF($A234=0,0,IF(SUMIF(CF!$A$5:$A$29,($A234+2),CF!$G$5:$G$29)/12&gt;C234,-C234,-SUMIF(CF!$A$5:$A$29,($A234+2),CF!$G$5:$G$29)/12))</f>
        <v>0</v>
      </c>
      <c r="E234" s="624">
        <f t="shared" ca="1" si="54"/>
        <v>0</v>
      </c>
      <c r="F234" s="702">
        <f t="shared" ca="1" si="45"/>
        <v>0</v>
      </c>
      <c r="H234" s="514">
        <f t="shared" si="58"/>
        <v>20</v>
      </c>
      <c r="I234" s="626">
        <f t="shared" ca="1" si="55"/>
        <v>0</v>
      </c>
      <c r="J234" s="698">
        <f t="shared" ca="1" si="56"/>
        <v>0</v>
      </c>
      <c r="K234" s="624">
        <f ca="1">IF(VLOOKUP($H234,CF!$A$4:$K$29,11,FALSE)/12&gt;(I234+J234),-(I234+J234),(-VLOOKUP($H234,CF!$A$4:$K$29,11,FALSE)/12))</f>
        <v>0</v>
      </c>
      <c r="L234" s="702">
        <f t="shared" ca="1" si="57"/>
        <v>0</v>
      </c>
    </row>
    <row r="235" spans="1:12" ht="16.149999999999999" customHeight="1" x14ac:dyDescent="0.45">
      <c r="A235" s="700">
        <f t="shared" ca="1" si="51"/>
        <v>0</v>
      </c>
      <c r="B235" s="701">
        <f t="shared" ca="1" si="52"/>
        <v>0</v>
      </c>
      <c r="C235" s="624">
        <f t="shared" ca="1" si="53"/>
        <v>0</v>
      </c>
      <c r="D235" s="698">
        <f ca="1">IF($A235=0,0,IF(SUMIF(CF!$A$5:$A$29,($A235+2),CF!$G$5:$G$29)/12&gt;C235,-C235,-SUMIF(CF!$A$5:$A$29,($A235+2),CF!$G$5:$G$29)/12))</f>
        <v>0</v>
      </c>
      <c r="E235" s="624">
        <f t="shared" ca="1" si="54"/>
        <v>0</v>
      </c>
      <c r="F235" s="702">
        <f t="shared" ca="1" si="45"/>
        <v>0</v>
      </c>
      <c r="H235" s="514">
        <f t="shared" si="58"/>
        <v>20</v>
      </c>
      <c r="I235" s="626">
        <f t="shared" ca="1" si="55"/>
        <v>0</v>
      </c>
      <c r="J235" s="698">
        <f t="shared" ca="1" si="56"/>
        <v>0</v>
      </c>
      <c r="K235" s="624">
        <f ca="1">IF(VLOOKUP($H235,CF!$A$4:$K$29,11,FALSE)/12&gt;(I235+J235),-(I235+J235),(-VLOOKUP($H235,CF!$A$4:$K$29,11,FALSE)/12))</f>
        <v>0</v>
      </c>
      <c r="L235" s="702">
        <f t="shared" ca="1" si="57"/>
        <v>0</v>
      </c>
    </row>
    <row r="236" spans="1:12" ht="16.149999999999999" customHeight="1" x14ac:dyDescent="0.45">
      <c r="A236" s="700">
        <f t="shared" ca="1" si="51"/>
        <v>0</v>
      </c>
      <c r="B236" s="701">
        <f t="shared" ca="1" si="52"/>
        <v>0</v>
      </c>
      <c r="C236" s="624">
        <f t="shared" ca="1" si="53"/>
        <v>0</v>
      </c>
      <c r="D236" s="698">
        <f ca="1">IF($A236=0,0,IF(SUMIF(CF!$A$5:$A$29,($A236+2),CF!$G$5:$G$29)/12&gt;C236,-C236,-SUMIF(CF!$A$5:$A$29,($A236+2),CF!$G$5:$G$29)/12))</f>
        <v>0</v>
      </c>
      <c r="E236" s="624">
        <f t="shared" ca="1" si="54"/>
        <v>0</v>
      </c>
      <c r="F236" s="702">
        <f t="shared" ca="1" si="45"/>
        <v>0</v>
      </c>
      <c r="H236" s="514">
        <f t="shared" si="58"/>
        <v>20</v>
      </c>
      <c r="I236" s="626">
        <f t="shared" ca="1" si="55"/>
        <v>0</v>
      </c>
      <c r="J236" s="698">
        <f t="shared" ca="1" si="56"/>
        <v>0</v>
      </c>
      <c r="K236" s="624">
        <f ca="1">IF(VLOOKUP($H236,CF!$A$4:$K$29,11,FALSE)/12&gt;(I236+J236),-(I236+J236),(-VLOOKUP($H236,CF!$A$4:$K$29,11,FALSE)/12))</f>
        <v>0</v>
      </c>
      <c r="L236" s="702">
        <f t="shared" ca="1" si="57"/>
        <v>0</v>
      </c>
    </row>
    <row r="237" spans="1:12" ht="16.149999999999999" customHeight="1" x14ac:dyDescent="0.45">
      <c r="A237" s="700">
        <f t="shared" ca="1" si="51"/>
        <v>0</v>
      </c>
      <c r="B237" s="701">
        <f t="shared" ca="1" si="52"/>
        <v>0</v>
      </c>
      <c r="C237" s="624">
        <f t="shared" ca="1" si="53"/>
        <v>0</v>
      </c>
      <c r="D237" s="698">
        <f ca="1">IF($A237=0,0,IF(SUMIF(CF!$A$5:$A$29,($A237+2),CF!$G$5:$G$29)/12&gt;C237,-C237,-SUMIF(CF!$A$5:$A$29,($A237+2),CF!$G$5:$G$29)/12))</f>
        <v>0</v>
      </c>
      <c r="E237" s="624">
        <f t="shared" ca="1" si="54"/>
        <v>0</v>
      </c>
      <c r="F237" s="702">
        <f t="shared" ca="1" si="45"/>
        <v>0</v>
      </c>
      <c r="H237" s="514">
        <f t="shared" si="58"/>
        <v>20</v>
      </c>
      <c r="I237" s="626">
        <f t="shared" ca="1" si="55"/>
        <v>0</v>
      </c>
      <c r="J237" s="698">
        <f t="shared" ca="1" si="56"/>
        <v>0</v>
      </c>
      <c r="K237" s="624">
        <f ca="1">IF(VLOOKUP($H237,CF!$A$4:$K$29,11,FALSE)/12&gt;(I237+J237),-(I237+J237),(-VLOOKUP($H237,CF!$A$4:$K$29,11,FALSE)/12))</f>
        <v>0</v>
      </c>
      <c r="L237" s="702">
        <f t="shared" ca="1" si="57"/>
        <v>0</v>
      </c>
    </row>
    <row r="238" spans="1:12" ht="16.149999999999999" customHeight="1" x14ac:dyDescent="0.45">
      <c r="A238" s="700">
        <f t="shared" ca="1" si="51"/>
        <v>0</v>
      </c>
      <c r="B238" s="701">
        <f t="shared" ca="1" si="52"/>
        <v>0</v>
      </c>
      <c r="C238" s="624">
        <f t="shared" ca="1" si="53"/>
        <v>0</v>
      </c>
      <c r="D238" s="698">
        <f ca="1">IF($A238=0,0,IF(SUMIF(CF!$A$5:$A$29,($A238+2),CF!$G$5:$G$29)/12&gt;C238,-C238,-SUMIF(CF!$A$5:$A$29,($A238+2),CF!$G$5:$G$29)/12))</f>
        <v>0</v>
      </c>
      <c r="E238" s="624">
        <f t="shared" ca="1" si="54"/>
        <v>0</v>
      </c>
      <c r="F238" s="702">
        <f t="shared" ca="1" si="45"/>
        <v>0</v>
      </c>
      <c r="H238" s="514">
        <f t="shared" si="58"/>
        <v>20</v>
      </c>
      <c r="I238" s="626">
        <f t="shared" ca="1" si="55"/>
        <v>0</v>
      </c>
      <c r="J238" s="698">
        <f t="shared" ca="1" si="56"/>
        <v>0</v>
      </c>
      <c r="K238" s="624">
        <f ca="1">IF(VLOOKUP($H238,CF!$A$4:$K$29,11,FALSE)/12&gt;(I238+J238),-(I238+J238),(-VLOOKUP($H238,CF!$A$4:$K$29,11,FALSE)/12))</f>
        <v>0</v>
      </c>
      <c r="L238" s="702">
        <f t="shared" ca="1" si="57"/>
        <v>0</v>
      </c>
    </row>
    <row r="239" spans="1:12" ht="16.149999999999999" customHeight="1" x14ac:dyDescent="0.45">
      <c r="A239" s="700">
        <f t="shared" ca="1" si="51"/>
        <v>0</v>
      </c>
      <c r="B239" s="701">
        <f t="shared" ca="1" si="52"/>
        <v>0</v>
      </c>
      <c r="C239" s="624">
        <f t="shared" ca="1" si="53"/>
        <v>0</v>
      </c>
      <c r="D239" s="698">
        <f ca="1">IF($A239=0,0,IF(SUMIF(CF!$A$5:$A$29,($A239+2),CF!$G$5:$G$29)/12&gt;C239,-C239,-SUMIF(CF!$A$5:$A$29,($A239+2),CF!$G$5:$G$29)/12))</f>
        <v>0</v>
      </c>
      <c r="E239" s="624">
        <f t="shared" ca="1" si="54"/>
        <v>0</v>
      </c>
      <c r="F239" s="702">
        <f t="shared" ca="1" si="45"/>
        <v>0</v>
      </c>
      <c r="H239" s="514">
        <f t="shared" si="58"/>
        <v>20</v>
      </c>
      <c r="I239" s="626">
        <f t="shared" ca="1" si="55"/>
        <v>0</v>
      </c>
      <c r="J239" s="698">
        <f t="shared" ca="1" si="56"/>
        <v>0</v>
      </c>
      <c r="K239" s="624">
        <f ca="1">IF(VLOOKUP($H239,CF!$A$4:$K$29,11,FALSE)/12&gt;(I239+J239),-(I239+J239),(-VLOOKUP($H239,CF!$A$4:$K$29,11,FALSE)/12))</f>
        <v>0</v>
      </c>
      <c r="L239" s="702">
        <f t="shared" ca="1" si="57"/>
        <v>0</v>
      </c>
    </row>
    <row r="240" spans="1:12" ht="16.149999999999999" customHeight="1" x14ac:dyDescent="0.45">
      <c r="A240" s="700">
        <f t="shared" ca="1" si="51"/>
        <v>0</v>
      </c>
      <c r="B240" s="701">
        <f t="shared" ca="1" si="52"/>
        <v>0</v>
      </c>
      <c r="C240" s="624">
        <f t="shared" ca="1" si="53"/>
        <v>0</v>
      </c>
      <c r="D240" s="698">
        <f ca="1">IF($A240=0,0,IF(SUMIF(CF!$A$5:$A$29,($A240+2),CF!$G$5:$G$29)/12&gt;C240,-C240,-SUMIF(CF!$A$5:$A$29,($A240+2),CF!$G$5:$G$29)/12))</f>
        <v>0</v>
      </c>
      <c r="E240" s="624">
        <f t="shared" ca="1" si="54"/>
        <v>0</v>
      </c>
      <c r="F240" s="702">
        <f t="shared" ca="1" si="45"/>
        <v>0</v>
      </c>
      <c r="H240" s="514">
        <f t="shared" si="58"/>
        <v>21</v>
      </c>
      <c r="I240" s="626">
        <f t="shared" ca="1" si="55"/>
        <v>0</v>
      </c>
      <c r="J240" s="698">
        <f t="shared" ca="1" si="56"/>
        <v>0</v>
      </c>
      <c r="K240" s="624">
        <f ca="1">IF(VLOOKUP($H240,CF!$A$4:$K$29,11,FALSE)/12&gt;(I240+J240),-(I240+J240),(-VLOOKUP($H240,CF!$A$4:$K$29,11,FALSE)/12))</f>
        <v>0</v>
      </c>
      <c r="L240" s="702">
        <f t="shared" ca="1" si="57"/>
        <v>0</v>
      </c>
    </row>
    <row r="241" spans="1:12" ht="16.149999999999999" customHeight="1" x14ac:dyDescent="0.45">
      <c r="A241" s="700">
        <f t="shared" ca="1" si="51"/>
        <v>0</v>
      </c>
      <c r="B241" s="701">
        <f t="shared" ca="1" si="52"/>
        <v>0</v>
      </c>
      <c r="C241" s="624">
        <f t="shared" ca="1" si="53"/>
        <v>0</v>
      </c>
      <c r="D241" s="698">
        <f ca="1">IF($A241=0,0,IF(SUMIF(CF!$A$5:$A$29,($A241+2),CF!$G$5:$G$29)/12&gt;C241,-C241,-SUMIF(CF!$A$5:$A$29,($A241+2),CF!$G$5:$G$29)/12))</f>
        <v>0</v>
      </c>
      <c r="E241" s="624">
        <f t="shared" ca="1" si="54"/>
        <v>0</v>
      </c>
      <c r="F241" s="702">
        <f t="shared" ca="1" si="45"/>
        <v>0</v>
      </c>
      <c r="H241" s="514">
        <f t="shared" si="58"/>
        <v>21</v>
      </c>
      <c r="I241" s="626">
        <f t="shared" ca="1" si="55"/>
        <v>0</v>
      </c>
      <c r="J241" s="698">
        <f t="shared" ca="1" si="56"/>
        <v>0</v>
      </c>
      <c r="K241" s="624">
        <f ca="1">IF(VLOOKUP($H241,CF!$A$4:$K$29,11,FALSE)/12&gt;(I241+J241),-(I241+J241),(-VLOOKUP($H241,CF!$A$4:$K$29,11,FALSE)/12))</f>
        <v>0</v>
      </c>
      <c r="L241" s="702">
        <f t="shared" ca="1" si="57"/>
        <v>0</v>
      </c>
    </row>
    <row r="242" spans="1:12" ht="16.149999999999999" customHeight="1" x14ac:dyDescent="0.45">
      <c r="A242" s="700">
        <f t="shared" ca="1" si="51"/>
        <v>0</v>
      </c>
      <c r="B242" s="701">
        <f t="shared" ca="1" si="52"/>
        <v>0</v>
      </c>
      <c r="C242" s="624">
        <f t="shared" ca="1" si="53"/>
        <v>0</v>
      </c>
      <c r="D242" s="698">
        <f ca="1">IF($A242=0,0,IF(SUMIF(CF!$A$5:$A$29,($A242+2),CF!$G$5:$G$29)/12&gt;C242,-C242,-SUMIF(CF!$A$5:$A$29,($A242+2),CF!$G$5:$G$29)/12))</f>
        <v>0</v>
      </c>
      <c r="E242" s="624">
        <f t="shared" ca="1" si="54"/>
        <v>0</v>
      </c>
      <c r="F242" s="702">
        <f t="shared" ca="1" si="45"/>
        <v>0</v>
      </c>
      <c r="H242" s="514">
        <f t="shared" si="58"/>
        <v>21</v>
      </c>
      <c r="I242" s="626">
        <f t="shared" ca="1" si="55"/>
        <v>0</v>
      </c>
      <c r="J242" s="698">
        <f t="shared" ca="1" si="56"/>
        <v>0</v>
      </c>
      <c r="K242" s="624">
        <f ca="1">IF(VLOOKUP($H242,CF!$A$4:$K$29,11,FALSE)/12&gt;(I242+J242),-(I242+J242),(-VLOOKUP($H242,CF!$A$4:$K$29,11,FALSE)/12))</f>
        <v>0</v>
      </c>
      <c r="L242" s="702">
        <f t="shared" ca="1" si="57"/>
        <v>0</v>
      </c>
    </row>
    <row r="243" spans="1:12" ht="16.149999999999999" customHeight="1" x14ac:dyDescent="0.45">
      <c r="A243" s="700">
        <f t="shared" ca="1" si="51"/>
        <v>0</v>
      </c>
      <c r="B243" s="701">
        <f t="shared" ca="1" si="52"/>
        <v>0</v>
      </c>
      <c r="C243" s="624">
        <f t="shared" ca="1" si="53"/>
        <v>0</v>
      </c>
      <c r="D243" s="698">
        <f ca="1">IF($A243=0,0,IF(SUMIF(CF!$A$5:$A$29,($A243+2),CF!$G$5:$G$29)/12&gt;C243,-C243,-SUMIF(CF!$A$5:$A$29,($A243+2),CF!$G$5:$G$29)/12))</f>
        <v>0</v>
      </c>
      <c r="E243" s="624">
        <f t="shared" ca="1" si="54"/>
        <v>0</v>
      </c>
      <c r="F243" s="702">
        <f t="shared" ca="1" si="45"/>
        <v>0</v>
      </c>
      <c r="H243" s="514">
        <f t="shared" si="58"/>
        <v>21</v>
      </c>
      <c r="I243" s="626">
        <f t="shared" ca="1" si="55"/>
        <v>0</v>
      </c>
      <c r="J243" s="698">
        <f t="shared" ca="1" si="56"/>
        <v>0</v>
      </c>
      <c r="K243" s="624">
        <f ca="1">IF(VLOOKUP($H243,CF!$A$4:$K$29,11,FALSE)/12&gt;(I243+J243),-(I243+J243),(-VLOOKUP($H243,CF!$A$4:$K$29,11,FALSE)/12))</f>
        <v>0</v>
      </c>
      <c r="L243" s="702">
        <f t="shared" ca="1" si="57"/>
        <v>0</v>
      </c>
    </row>
    <row r="244" spans="1:12" ht="16.149999999999999" customHeight="1" x14ac:dyDescent="0.45">
      <c r="A244" s="700">
        <f t="shared" ca="1" si="51"/>
        <v>0</v>
      </c>
      <c r="B244" s="701">
        <f t="shared" ca="1" si="52"/>
        <v>0</v>
      </c>
      <c r="C244" s="624">
        <f t="shared" ca="1" si="53"/>
        <v>0</v>
      </c>
      <c r="D244" s="698">
        <f ca="1">IF($A244=0,0,IF(SUMIF(CF!$A$5:$A$29,($A244+2),CF!$G$5:$G$29)/12&gt;C244,-C244,-SUMIF(CF!$A$5:$A$29,($A244+2),CF!$G$5:$G$29)/12))</f>
        <v>0</v>
      </c>
      <c r="E244" s="624">
        <f t="shared" ca="1" si="54"/>
        <v>0</v>
      </c>
      <c r="F244" s="702">
        <f t="shared" ca="1" si="45"/>
        <v>0</v>
      </c>
      <c r="H244" s="514">
        <f t="shared" si="58"/>
        <v>21</v>
      </c>
      <c r="I244" s="626">
        <f t="shared" ca="1" si="55"/>
        <v>0</v>
      </c>
      <c r="J244" s="698">
        <f t="shared" ca="1" si="56"/>
        <v>0</v>
      </c>
      <c r="K244" s="624">
        <f ca="1">IF(VLOOKUP($H244,CF!$A$4:$K$29,11,FALSE)/12&gt;(I244+J244),-(I244+J244),(-VLOOKUP($H244,CF!$A$4:$K$29,11,FALSE)/12))</f>
        <v>0</v>
      </c>
      <c r="L244" s="702">
        <f t="shared" ca="1" si="57"/>
        <v>0</v>
      </c>
    </row>
    <row r="245" spans="1:12" ht="16.149999999999999" customHeight="1" x14ac:dyDescent="0.45">
      <c r="A245" s="700">
        <f t="shared" ca="1" si="51"/>
        <v>0</v>
      </c>
      <c r="B245" s="701">
        <f t="shared" ca="1" si="52"/>
        <v>0</v>
      </c>
      <c r="C245" s="624">
        <f t="shared" ca="1" si="53"/>
        <v>0</v>
      </c>
      <c r="D245" s="698">
        <f ca="1">IF($A245=0,0,IF(SUMIF(CF!$A$5:$A$29,($A245+2),CF!$G$5:$G$29)/12&gt;C245,-C245,-SUMIF(CF!$A$5:$A$29,($A245+2),CF!$G$5:$G$29)/12))</f>
        <v>0</v>
      </c>
      <c r="E245" s="624">
        <f t="shared" ca="1" si="54"/>
        <v>0</v>
      </c>
      <c r="F245" s="702">
        <f t="shared" ca="1" si="45"/>
        <v>0</v>
      </c>
      <c r="H245" s="514">
        <f t="shared" si="58"/>
        <v>21</v>
      </c>
      <c r="I245" s="626">
        <f t="shared" ca="1" si="55"/>
        <v>0</v>
      </c>
      <c r="J245" s="698">
        <f t="shared" ca="1" si="56"/>
        <v>0</v>
      </c>
      <c r="K245" s="624">
        <f ca="1">IF(VLOOKUP($H245,CF!$A$4:$K$29,11,FALSE)/12&gt;(I245+J245),-(I245+J245),(-VLOOKUP($H245,CF!$A$4:$K$29,11,FALSE)/12))</f>
        <v>0</v>
      </c>
      <c r="L245" s="702">
        <f t="shared" ca="1" si="57"/>
        <v>0</v>
      </c>
    </row>
    <row r="246" spans="1:12" ht="16.149999999999999" customHeight="1" x14ac:dyDescent="0.45">
      <c r="A246" s="700">
        <f t="shared" ca="1" si="51"/>
        <v>0</v>
      </c>
      <c r="B246" s="701">
        <f t="shared" ca="1" si="52"/>
        <v>0</v>
      </c>
      <c r="C246" s="624">
        <f t="shared" ca="1" si="53"/>
        <v>0</v>
      </c>
      <c r="D246" s="698">
        <f ca="1">IF($A246=0,0,IF(SUMIF(CF!$A$5:$A$29,($A246+2),CF!$G$5:$G$29)/12&gt;C246,-C246,-SUMIF(CF!$A$5:$A$29,($A246+2),CF!$G$5:$G$29)/12))</f>
        <v>0</v>
      </c>
      <c r="E246" s="624">
        <f t="shared" ca="1" si="54"/>
        <v>0</v>
      </c>
      <c r="F246" s="702">
        <f t="shared" ca="1" si="45"/>
        <v>0</v>
      </c>
      <c r="H246" s="514">
        <f t="shared" si="58"/>
        <v>21</v>
      </c>
      <c r="I246" s="626">
        <f t="shared" ca="1" si="55"/>
        <v>0</v>
      </c>
      <c r="J246" s="698">
        <f t="shared" ca="1" si="56"/>
        <v>0</v>
      </c>
      <c r="K246" s="624">
        <f ca="1">IF(VLOOKUP($H246,CF!$A$4:$K$29,11,FALSE)/12&gt;(I246+J246),-(I246+J246),(-VLOOKUP($H246,CF!$A$4:$K$29,11,FALSE)/12))</f>
        <v>0</v>
      </c>
      <c r="L246" s="702">
        <f t="shared" ca="1" si="57"/>
        <v>0</v>
      </c>
    </row>
    <row r="247" spans="1:12" ht="16.149999999999999" customHeight="1" x14ac:dyDescent="0.45">
      <c r="A247" s="700">
        <f t="shared" ca="1" si="51"/>
        <v>0</v>
      </c>
      <c r="B247" s="701">
        <f t="shared" ca="1" si="52"/>
        <v>0</v>
      </c>
      <c r="C247" s="624">
        <f t="shared" ca="1" si="53"/>
        <v>0</v>
      </c>
      <c r="D247" s="698">
        <f ca="1">IF($A247=0,0,IF(SUMIF(CF!$A$5:$A$29,($A247+2),CF!$G$5:$G$29)/12&gt;C247,-C247,-SUMIF(CF!$A$5:$A$29,($A247+2),CF!$G$5:$G$29)/12))</f>
        <v>0</v>
      </c>
      <c r="E247" s="624">
        <f t="shared" ca="1" si="54"/>
        <v>0</v>
      </c>
      <c r="F247" s="702">
        <f t="shared" ca="1" si="45"/>
        <v>0</v>
      </c>
      <c r="H247" s="514">
        <f t="shared" si="58"/>
        <v>21</v>
      </c>
      <c r="I247" s="626">
        <f t="shared" ca="1" si="55"/>
        <v>0</v>
      </c>
      <c r="J247" s="698">
        <f t="shared" ca="1" si="56"/>
        <v>0</v>
      </c>
      <c r="K247" s="624">
        <f ca="1">IF(VLOOKUP($H247,CF!$A$4:$K$29,11,FALSE)/12&gt;(I247+J247),-(I247+J247),(-VLOOKUP($H247,CF!$A$4:$K$29,11,FALSE)/12))</f>
        <v>0</v>
      </c>
      <c r="L247" s="702">
        <f t="shared" ca="1" si="57"/>
        <v>0</v>
      </c>
    </row>
    <row r="248" spans="1:12" ht="16.149999999999999" customHeight="1" x14ac:dyDescent="0.45">
      <c r="A248" s="700">
        <f t="shared" ca="1" si="51"/>
        <v>0</v>
      </c>
      <c r="B248" s="701">
        <f t="shared" ca="1" si="52"/>
        <v>0</v>
      </c>
      <c r="C248" s="624">
        <f t="shared" ca="1" si="53"/>
        <v>0</v>
      </c>
      <c r="D248" s="698">
        <f ca="1">IF($A248=0,0,IF(SUMIF(CF!$A$5:$A$29,($A248+2),CF!$G$5:$G$29)/12&gt;C248,-C248,-SUMIF(CF!$A$5:$A$29,($A248+2),CF!$G$5:$G$29)/12))</f>
        <v>0</v>
      </c>
      <c r="E248" s="624">
        <f t="shared" ca="1" si="54"/>
        <v>0</v>
      </c>
      <c r="F248" s="702">
        <f t="shared" ref="F248:F299" ca="1" si="59">$C248*$D$2/12</f>
        <v>0</v>
      </c>
      <c r="H248" s="514">
        <f t="shared" si="58"/>
        <v>21</v>
      </c>
      <c r="I248" s="626">
        <f t="shared" ca="1" si="55"/>
        <v>0</v>
      </c>
      <c r="J248" s="698">
        <f t="shared" ca="1" si="56"/>
        <v>0</v>
      </c>
      <c r="K248" s="624">
        <f ca="1">IF(VLOOKUP($H248,CF!$A$4:$K$29,11,FALSE)/12&gt;(I248+J248),-(I248+J248),(-VLOOKUP($H248,CF!$A$4:$K$29,11,FALSE)/12))</f>
        <v>0</v>
      </c>
      <c r="L248" s="702">
        <f t="shared" ca="1" si="57"/>
        <v>0</v>
      </c>
    </row>
    <row r="249" spans="1:12" ht="16.149999999999999" customHeight="1" x14ac:dyDescent="0.45">
      <c r="A249" s="700">
        <f t="shared" ca="1" si="51"/>
        <v>0</v>
      </c>
      <c r="B249" s="701">
        <f t="shared" ca="1" si="52"/>
        <v>0</v>
      </c>
      <c r="C249" s="624">
        <f t="shared" ca="1" si="53"/>
        <v>0</v>
      </c>
      <c r="D249" s="698">
        <f ca="1">IF($A249=0,0,IF(SUMIF(CF!$A$5:$A$29,($A249+2),CF!$G$5:$G$29)/12&gt;C249,-C249,-SUMIF(CF!$A$5:$A$29,($A249+2),CF!$G$5:$G$29)/12))</f>
        <v>0</v>
      </c>
      <c r="E249" s="624">
        <f t="shared" ca="1" si="54"/>
        <v>0</v>
      </c>
      <c r="F249" s="702">
        <f t="shared" ca="1" si="59"/>
        <v>0</v>
      </c>
      <c r="H249" s="514">
        <f t="shared" si="58"/>
        <v>21</v>
      </c>
      <c r="I249" s="626">
        <f t="shared" ca="1" si="55"/>
        <v>0</v>
      </c>
      <c r="J249" s="698">
        <f t="shared" ca="1" si="56"/>
        <v>0</v>
      </c>
      <c r="K249" s="624">
        <f ca="1">IF(VLOOKUP($H249,CF!$A$4:$K$29,11,FALSE)/12&gt;(I249+J249),-(I249+J249),(-VLOOKUP($H249,CF!$A$4:$K$29,11,FALSE)/12))</f>
        <v>0</v>
      </c>
      <c r="L249" s="702">
        <f t="shared" ca="1" si="57"/>
        <v>0</v>
      </c>
    </row>
    <row r="250" spans="1:12" ht="16.149999999999999" customHeight="1" x14ac:dyDescent="0.45">
      <c r="A250" s="700">
        <f t="shared" ca="1" si="51"/>
        <v>0</v>
      </c>
      <c r="B250" s="701">
        <f t="shared" ca="1" si="52"/>
        <v>0</v>
      </c>
      <c r="C250" s="624">
        <f t="shared" ca="1" si="53"/>
        <v>0</v>
      </c>
      <c r="D250" s="698">
        <f ca="1">IF($A250=0,0,IF(SUMIF(CF!$A$5:$A$29,($A250+2),CF!$G$5:$G$29)/12&gt;C250,-C250,-SUMIF(CF!$A$5:$A$29,($A250+2),CF!$G$5:$G$29)/12))</f>
        <v>0</v>
      </c>
      <c r="E250" s="624">
        <f t="shared" ca="1" si="54"/>
        <v>0</v>
      </c>
      <c r="F250" s="702">
        <f t="shared" ca="1" si="59"/>
        <v>0</v>
      </c>
      <c r="H250" s="514">
        <f t="shared" si="58"/>
        <v>21</v>
      </c>
      <c r="I250" s="626">
        <f t="shared" ca="1" si="55"/>
        <v>0</v>
      </c>
      <c r="J250" s="698">
        <f t="shared" ca="1" si="56"/>
        <v>0</v>
      </c>
      <c r="K250" s="624">
        <f ca="1">IF(VLOOKUP($H250,CF!$A$4:$K$29,11,FALSE)/12&gt;(I250+J250),-(I250+J250),(-VLOOKUP($H250,CF!$A$4:$K$29,11,FALSE)/12))</f>
        <v>0</v>
      </c>
      <c r="L250" s="702">
        <f t="shared" ca="1" si="57"/>
        <v>0</v>
      </c>
    </row>
    <row r="251" spans="1:12" ht="16.149999999999999" customHeight="1" x14ac:dyDescent="0.45">
      <c r="A251" s="700">
        <f t="shared" ca="1" si="51"/>
        <v>0</v>
      </c>
      <c r="B251" s="701">
        <f t="shared" ca="1" si="52"/>
        <v>0</v>
      </c>
      <c r="C251" s="624">
        <f t="shared" ca="1" si="53"/>
        <v>0</v>
      </c>
      <c r="D251" s="698">
        <f ca="1">IF($A251=0,0,IF(SUMIF(CF!$A$5:$A$29,($A251+2),CF!$G$5:$G$29)/12&gt;C251,-C251,-SUMIF(CF!$A$5:$A$29,($A251+2),CF!$G$5:$G$29)/12))</f>
        <v>0</v>
      </c>
      <c r="E251" s="624">
        <f t="shared" ca="1" si="54"/>
        <v>0</v>
      </c>
      <c r="F251" s="702">
        <f t="shared" ca="1" si="59"/>
        <v>0</v>
      </c>
      <c r="H251" s="514">
        <f t="shared" si="58"/>
        <v>21</v>
      </c>
      <c r="I251" s="626">
        <f t="shared" ca="1" si="55"/>
        <v>0</v>
      </c>
      <c r="J251" s="698">
        <f t="shared" ca="1" si="56"/>
        <v>0</v>
      </c>
      <c r="K251" s="624">
        <f ca="1">IF(VLOOKUP($H251,CF!$A$4:$K$29,11,FALSE)/12&gt;(I251+J251),-(I251+J251),(-VLOOKUP($H251,CF!$A$4:$K$29,11,FALSE)/12))</f>
        <v>0</v>
      </c>
      <c r="L251" s="702">
        <f t="shared" ca="1" si="57"/>
        <v>0</v>
      </c>
    </row>
    <row r="252" spans="1:12" ht="16.149999999999999" customHeight="1" x14ac:dyDescent="0.45">
      <c r="A252" s="700">
        <f t="shared" ca="1" si="51"/>
        <v>0</v>
      </c>
      <c r="B252" s="701">
        <f t="shared" ca="1" si="52"/>
        <v>0</v>
      </c>
      <c r="C252" s="624">
        <f t="shared" ca="1" si="53"/>
        <v>0</v>
      </c>
      <c r="D252" s="698">
        <f ca="1">IF($A252=0,0,IF(SUMIF(CF!$A$5:$A$29,($A252+2),CF!$G$5:$G$29)/12&gt;C252,-C252,-SUMIF(CF!$A$5:$A$29,($A252+2),CF!$G$5:$G$29)/12))</f>
        <v>0</v>
      </c>
      <c r="E252" s="624">
        <f t="shared" ca="1" si="54"/>
        <v>0</v>
      </c>
      <c r="F252" s="702">
        <f t="shared" ca="1" si="59"/>
        <v>0</v>
      </c>
      <c r="H252" s="514">
        <f t="shared" si="58"/>
        <v>22</v>
      </c>
      <c r="I252" s="626">
        <f t="shared" ca="1" si="55"/>
        <v>0</v>
      </c>
      <c r="J252" s="698">
        <f t="shared" ca="1" si="56"/>
        <v>0</v>
      </c>
      <c r="K252" s="624">
        <f ca="1">IF(VLOOKUP($H252,CF!$A$4:$K$29,11,FALSE)/12&gt;(I252+J252),-(I252+J252),(-VLOOKUP($H252,CF!$A$4:$K$29,11,FALSE)/12))</f>
        <v>0</v>
      </c>
      <c r="L252" s="702">
        <f t="shared" ca="1" si="57"/>
        <v>0</v>
      </c>
    </row>
    <row r="253" spans="1:12" ht="16.149999999999999" customHeight="1" x14ac:dyDescent="0.45">
      <c r="A253" s="700">
        <f t="shared" ca="1" si="51"/>
        <v>0</v>
      </c>
      <c r="B253" s="701">
        <f t="shared" ca="1" si="52"/>
        <v>0</v>
      </c>
      <c r="C253" s="624">
        <f t="shared" ca="1" si="53"/>
        <v>0</v>
      </c>
      <c r="D253" s="698">
        <f ca="1">IF($A253=0,0,IF(SUMIF(CF!$A$5:$A$29,($A253+2),CF!$G$5:$G$29)/12&gt;C253,-C253,-SUMIF(CF!$A$5:$A$29,($A253+2),CF!$G$5:$G$29)/12))</f>
        <v>0</v>
      </c>
      <c r="E253" s="624">
        <f t="shared" ca="1" si="54"/>
        <v>0</v>
      </c>
      <c r="F253" s="702">
        <f t="shared" ca="1" si="59"/>
        <v>0</v>
      </c>
      <c r="H253" s="514">
        <f t="shared" si="58"/>
        <v>22</v>
      </c>
      <c r="I253" s="626">
        <f t="shared" ca="1" si="55"/>
        <v>0</v>
      </c>
      <c r="J253" s="698">
        <f t="shared" ca="1" si="56"/>
        <v>0</v>
      </c>
      <c r="K253" s="624">
        <f ca="1">IF(VLOOKUP($H253,CF!$A$4:$K$29,11,FALSE)/12&gt;(I253+J253),-(I253+J253),(-VLOOKUP($H253,CF!$A$4:$K$29,11,FALSE)/12))</f>
        <v>0</v>
      </c>
      <c r="L253" s="702">
        <f t="shared" ca="1" si="57"/>
        <v>0</v>
      </c>
    </row>
    <row r="254" spans="1:12" ht="16.149999999999999" customHeight="1" x14ac:dyDescent="0.45">
      <c r="A254" s="700">
        <f t="shared" ca="1" si="51"/>
        <v>0</v>
      </c>
      <c r="B254" s="701">
        <f t="shared" ca="1" si="52"/>
        <v>0</v>
      </c>
      <c r="C254" s="624">
        <f t="shared" ca="1" si="53"/>
        <v>0</v>
      </c>
      <c r="D254" s="698">
        <f ca="1">IF($A254=0,0,IF(SUMIF(CF!$A$5:$A$29,($A254+2),CF!$G$5:$G$29)/12&gt;C254,-C254,-SUMIF(CF!$A$5:$A$29,($A254+2),CF!$G$5:$G$29)/12))</f>
        <v>0</v>
      </c>
      <c r="E254" s="624">
        <f t="shared" ca="1" si="54"/>
        <v>0</v>
      </c>
      <c r="F254" s="702">
        <f t="shared" ca="1" si="59"/>
        <v>0</v>
      </c>
      <c r="H254" s="514">
        <f t="shared" si="58"/>
        <v>22</v>
      </c>
      <c r="I254" s="626">
        <f t="shared" ca="1" si="55"/>
        <v>0</v>
      </c>
      <c r="J254" s="698">
        <f t="shared" ca="1" si="56"/>
        <v>0</v>
      </c>
      <c r="K254" s="624">
        <f ca="1">IF(VLOOKUP($H254,CF!$A$4:$K$29,11,FALSE)/12&gt;(I254+J254),-(I254+J254),(-VLOOKUP($H254,CF!$A$4:$K$29,11,FALSE)/12))</f>
        <v>0</v>
      </c>
      <c r="L254" s="702">
        <f t="shared" ca="1" si="57"/>
        <v>0</v>
      </c>
    </row>
    <row r="255" spans="1:12" ht="16.149999999999999" customHeight="1" x14ac:dyDescent="0.45">
      <c r="A255" s="700">
        <f t="shared" ca="1" si="51"/>
        <v>0</v>
      </c>
      <c r="B255" s="701">
        <f t="shared" ca="1" si="52"/>
        <v>0</v>
      </c>
      <c r="C255" s="624">
        <f t="shared" ca="1" si="53"/>
        <v>0</v>
      </c>
      <c r="D255" s="698">
        <f ca="1">IF($A255=0,0,IF(SUMIF(CF!$A$5:$A$29,($A255+2),CF!$G$5:$G$29)/12&gt;C255,-C255,-SUMIF(CF!$A$5:$A$29,($A255+2),CF!$G$5:$G$29)/12))</f>
        <v>0</v>
      </c>
      <c r="E255" s="624">
        <f t="shared" ca="1" si="54"/>
        <v>0</v>
      </c>
      <c r="F255" s="702">
        <f t="shared" ca="1" si="59"/>
        <v>0</v>
      </c>
      <c r="H255" s="514">
        <f t="shared" si="58"/>
        <v>22</v>
      </c>
      <c r="I255" s="626">
        <f t="shared" ca="1" si="55"/>
        <v>0</v>
      </c>
      <c r="J255" s="698">
        <f t="shared" ca="1" si="56"/>
        <v>0</v>
      </c>
      <c r="K255" s="624">
        <f ca="1">IF(VLOOKUP($H255,CF!$A$4:$K$29,11,FALSE)/12&gt;(I255+J255),-(I255+J255),(-VLOOKUP($H255,CF!$A$4:$K$29,11,FALSE)/12))</f>
        <v>0</v>
      </c>
      <c r="L255" s="702">
        <f t="shared" ca="1" si="57"/>
        <v>0</v>
      </c>
    </row>
    <row r="256" spans="1:12" ht="16.149999999999999" customHeight="1" x14ac:dyDescent="0.45">
      <c r="A256" s="700">
        <f t="shared" ca="1" si="51"/>
        <v>0</v>
      </c>
      <c r="B256" s="701">
        <f t="shared" ca="1" si="52"/>
        <v>0</v>
      </c>
      <c r="C256" s="624">
        <f t="shared" ca="1" si="53"/>
        <v>0</v>
      </c>
      <c r="D256" s="698">
        <f ca="1">IF($A256=0,0,IF(SUMIF(CF!$A$5:$A$29,($A256+2),CF!$G$5:$G$29)/12&gt;C256,-C256,-SUMIF(CF!$A$5:$A$29,($A256+2),CF!$G$5:$G$29)/12))</f>
        <v>0</v>
      </c>
      <c r="E256" s="624">
        <f t="shared" ca="1" si="54"/>
        <v>0</v>
      </c>
      <c r="F256" s="702">
        <f t="shared" ca="1" si="59"/>
        <v>0</v>
      </c>
      <c r="H256" s="514">
        <f t="shared" si="58"/>
        <v>22</v>
      </c>
      <c r="I256" s="626">
        <f t="shared" ca="1" si="55"/>
        <v>0</v>
      </c>
      <c r="J256" s="698">
        <f t="shared" ca="1" si="56"/>
        <v>0</v>
      </c>
      <c r="K256" s="624">
        <f ca="1">IF(VLOOKUP($H256,CF!$A$4:$K$29,11,FALSE)/12&gt;(I256+J256),-(I256+J256),(-VLOOKUP($H256,CF!$A$4:$K$29,11,FALSE)/12))</f>
        <v>0</v>
      </c>
      <c r="L256" s="702">
        <f t="shared" ca="1" si="57"/>
        <v>0</v>
      </c>
    </row>
    <row r="257" spans="1:12" ht="16.149999999999999" customHeight="1" x14ac:dyDescent="0.45">
      <c r="A257" s="700">
        <f t="shared" ca="1" si="51"/>
        <v>0</v>
      </c>
      <c r="B257" s="701">
        <f t="shared" ca="1" si="52"/>
        <v>0</v>
      </c>
      <c r="C257" s="624">
        <f t="shared" ca="1" si="53"/>
        <v>0</v>
      </c>
      <c r="D257" s="698">
        <f ca="1">IF($A257=0,0,IF(SUMIF(CF!$A$5:$A$29,($A257+2),CF!$G$5:$G$29)/12&gt;C257,-C257,-SUMIF(CF!$A$5:$A$29,($A257+2),CF!$G$5:$G$29)/12))</f>
        <v>0</v>
      </c>
      <c r="E257" s="624">
        <f t="shared" ca="1" si="54"/>
        <v>0</v>
      </c>
      <c r="F257" s="702">
        <f t="shared" ca="1" si="59"/>
        <v>0</v>
      </c>
      <c r="H257" s="514">
        <f t="shared" si="58"/>
        <v>22</v>
      </c>
      <c r="I257" s="626">
        <f t="shared" ca="1" si="55"/>
        <v>0</v>
      </c>
      <c r="J257" s="698">
        <f t="shared" ca="1" si="56"/>
        <v>0</v>
      </c>
      <c r="K257" s="624">
        <f ca="1">IF(VLOOKUP($H257,CF!$A$4:$K$29,11,FALSE)/12&gt;(I257+J257),-(I257+J257),(-VLOOKUP($H257,CF!$A$4:$K$29,11,FALSE)/12))</f>
        <v>0</v>
      </c>
      <c r="L257" s="702">
        <f t="shared" ca="1" si="57"/>
        <v>0</v>
      </c>
    </row>
    <row r="258" spans="1:12" ht="16.149999999999999" customHeight="1" x14ac:dyDescent="0.45">
      <c r="A258" s="700">
        <f t="shared" ca="1" si="51"/>
        <v>0</v>
      </c>
      <c r="B258" s="701">
        <f t="shared" ca="1" si="52"/>
        <v>0</v>
      </c>
      <c r="C258" s="624">
        <f t="shared" ca="1" si="53"/>
        <v>0</v>
      </c>
      <c r="D258" s="698">
        <f ca="1">IF($A258=0,0,IF(SUMIF(CF!$A$5:$A$29,($A258+2),CF!$G$5:$G$29)/12&gt;C258,-C258,-SUMIF(CF!$A$5:$A$29,($A258+2),CF!$G$5:$G$29)/12))</f>
        <v>0</v>
      </c>
      <c r="E258" s="624">
        <f t="shared" ca="1" si="54"/>
        <v>0</v>
      </c>
      <c r="F258" s="702">
        <f t="shared" ca="1" si="59"/>
        <v>0</v>
      </c>
      <c r="H258" s="514">
        <f t="shared" si="58"/>
        <v>22</v>
      </c>
      <c r="I258" s="626">
        <f t="shared" ca="1" si="55"/>
        <v>0</v>
      </c>
      <c r="J258" s="698">
        <f t="shared" ca="1" si="56"/>
        <v>0</v>
      </c>
      <c r="K258" s="624">
        <f ca="1">IF(VLOOKUP($H258,CF!$A$4:$K$29,11,FALSE)/12&gt;(I258+J258),-(I258+J258),(-VLOOKUP($H258,CF!$A$4:$K$29,11,FALSE)/12))</f>
        <v>0</v>
      </c>
      <c r="L258" s="702">
        <f t="shared" ca="1" si="57"/>
        <v>0</v>
      </c>
    </row>
    <row r="259" spans="1:12" ht="16.149999999999999" customHeight="1" x14ac:dyDescent="0.45">
      <c r="A259" s="700">
        <f t="shared" ca="1" si="51"/>
        <v>0</v>
      </c>
      <c r="B259" s="701">
        <f t="shared" ca="1" si="52"/>
        <v>0</v>
      </c>
      <c r="C259" s="624">
        <f t="shared" ca="1" si="53"/>
        <v>0</v>
      </c>
      <c r="D259" s="698">
        <f ca="1">IF($A259=0,0,IF(SUMIF(CF!$A$5:$A$29,($A259+2),CF!$G$5:$G$29)/12&gt;C259,-C259,-SUMIF(CF!$A$5:$A$29,($A259+2),CF!$G$5:$G$29)/12))</f>
        <v>0</v>
      </c>
      <c r="E259" s="624">
        <f t="shared" ca="1" si="54"/>
        <v>0</v>
      </c>
      <c r="F259" s="702">
        <f t="shared" ca="1" si="59"/>
        <v>0</v>
      </c>
      <c r="H259" s="514">
        <f t="shared" si="58"/>
        <v>22</v>
      </c>
      <c r="I259" s="626">
        <f t="shared" ca="1" si="55"/>
        <v>0</v>
      </c>
      <c r="J259" s="698">
        <f t="shared" ca="1" si="56"/>
        <v>0</v>
      </c>
      <c r="K259" s="624">
        <f ca="1">IF(VLOOKUP($H259,CF!$A$4:$K$29,11,FALSE)/12&gt;(I259+J259),-(I259+J259),(-VLOOKUP($H259,CF!$A$4:$K$29,11,FALSE)/12))</f>
        <v>0</v>
      </c>
      <c r="L259" s="702">
        <f t="shared" ca="1" si="57"/>
        <v>0</v>
      </c>
    </row>
    <row r="260" spans="1:12" ht="16.149999999999999" customHeight="1" x14ac:dyDescent="0.45">
      <c r="A260" s="700">
        <f t="shared" ca="1" si="51"/>
        <v>0</v>
      </c>
      <c r="B260" s="701">
        <f t="shared" ca="1" si="52"/>
        <v>0</v>
      </c>
      <c r="C260" s="624">
        <f t="shared" ca="1" si="53"/>
        <v>0</v>
      </c>
      <c r="D260" s="698">
        <f ca="1">IF($A260=0,0,IF(SUMIF(CF!$A$5:$A$29,($A260+2),CF!$G$5:$G$29)/12&gt;C260,-C260,-SUMIF(CF!$A$5:$A$29,($A260+2),CF!$G$5:$G$29)/12))</f>
        <v>0</v>
      </c>
      <c r="E260" s="624">
        <f t="shared" ca="1" si="54"/>
        <v>0</v>
      </c>
      <c r="F260" s="702">
        <f t="shared" ca="1" si="59"/>
        <v>0</v>
      </c>
      <c r="H260" s="514">
        <f t="shared" si="58"/>
        <v>22</v>
      </c>
      <c r="I260" s="626">
        <f t="shared" ca="1" si="55"/>
        <v>0</v>
      </c>
      <c r="J260" s="698">
        <f t="shared" ca="1" si="56"/>
        <v>0</v>
      </c>
      <c r="K260" s="624">
        <f ca="1">IF(VLOOKUP($H260,CF!$A$4:$K$29,11,FALSE)/12&gt;(I260+J260),-(I260+J260),(-VLOOKUP($H260,CF!$A$4:$K$29,11,FALSE)/12))</f>
        <v>0</v>
      </c>
      <c r="L260" s="702">
        <f t="shared" ca="1" si="57"/>
        <v>0</v>
      </c>
    </row>
    <row r="261" spans="1:12" ht="16.149999999999999" customHeight="1" x14ac:dyDescent="0.45">
      <c r="A261" s="700">
        <f t="shared" ca="1" si="51"/>
        <v>0</v>
      </c>
      <c r="B261" s="701">
        <f t="shared" ca="1" si="52"/>
        <v>0</v>
      </c>
      <c r="C261" s="624">
        <f t="shared" ca="1" si="53"/>
        <v>0</v>
      </c>
      <c r="D261" s="698">
        <f ca="1">IF($A261=0,0,IF(SUMIF(CF!$A$5:$A$29,($A261+2),CF!$G$5:$G$29)/12&gt;C261,-C261,-SUMIF(CF!$A$5:$A$29,($A261+2),CF!$G$5:$G$29)/12))</f>
        <v>0</v>
      </c>
      <c r="E261" s="624">
        <f t="shared" ca="1" si="54"/>
        <v>0</v>
      </c>
      <c r="F261" s="702">
        <f t="shared" ca="1" si="59"/>
        <v>0</v>
      </c>
      <c r="H261" s="514">
        <f t="shared" si="58"/>
        <v>22</v>
      </c>
      <c r="I261" s="626">
        <f t="shared" ca="1" si="55"/>
        <v>0</v>
      </c>
      <c r="J261" s="698">
        <f t="shared" ca="1" si="56"/>
        <v>0</v>
      </c>
      <c r="K261" s="624">
        <f ca="1">IF(VLOOKUP($H261,CF!$A$4:$K$29,11,FALSE)/12&gt;(I261+J261),-(I261+J261),(-VLOOKUP($H261,CF!$A$4:$K$29,11,FALSE)/12))</f>
        <v>0</v>
      </c>
      <c r="L261" s="702">
        <f t="shared" ca="1" si="57"/>
        <v>0</v>
      </c>
    </row>
    <row r="262" spans="1:12" ht="16.149999999999999" customHeight="1" x14ac:dyDescent="0.45">
      <c r="A262" s="700">
        <f t="shared" ca="1" si="51"/>
        <v>0</v>
      </c>
      <c r="B262" s="701">
        <f t="shared" ca="1" si="52"/>
        <v>0</v>
      </c>
      <c r="C262" s="624">
        <f t="shared" ca="1" si="53"/>
        <v>0</v>
      </c>
      <c r="D262" s="698">
        <f ca="1">IF($A262=0,0,IF(SUMIF(CF!$A$5:$A$29,($A262+2),CF!$G$5:$G$29)/12&gt;C262,-C262,-SUMIF(CF!$A$5:$A$29,($A262+2),CF!$G$5:$G$29)/12))</f>
        <v>0</v>
      </c>
      <c r="E262" s="624">
        <f t="shared" ca="1" si="54"/>
        <v>0</v>
      </c>
      <c r="F262" s="702">
        <f t="shared" ca="1" si="59"/>
        <v>0</v>
      </c>
      <c r="H262" s="514">
        <f t="shared" si="58"/>
        <v>22</v>
      </c>
      <c r="I262" s="626">
        <f t="shared" ca="1" si="55"/>
        <v>0</v>
      </c>
      <c r="J262" s="698">
        <f t="shared" ca="1" si="56"/>
        <v>0</v>
      </c>
      <c r="K262" s="624">
        <f ca="1">IF(VLOOKUP($H262,CF!$A$4:$K$29,11,FALSE)/12&gt;(I262+J262),-(I262+J262),(-VLOOKUP($H262,CF!$A$4:$K$29,11,FALSE)/12))</f>
        <v>0</v>
      </c>
      <c r="L262" s="702">
        <f t="shared" ca="1" si="57"/>
        <v>0</v>
      </c>
    </row>
    <row r="263" spans="1:12" ht="16.149999999999999" customHeight="1" x14ac:dyDescent="0.45">
      <c r="A263" s="700">
        <f t="shared" ca="1" si="51"/>
        <v>0</v>
      </c>
      <c r="B263" s="701">
        <f t="shared" ca="1" si="52"/>
        <v>0</v>
      </c>
      <c r="C263" s="624">
        <f t="shared" ca="1" si="53"/>
        <v>0</v>
      </c>
      <c r="D263" s="698">
        <f ca="1">IF($A263=0,0,IF(SUMIF(CF!$A$5:$A$29,($A263+2),CF!$G$5:$G$29)/12&gt;C263,-C263,-SUMIF(CF!$A$5:$A$29,($A263+2),CF!$G$5:$G$29)/12))</f>
        <v>0</v>
      </c>
      <c r="E263" s="624">
        <f t="shared" ca="1" si="54"/>
        <v>0</v>
      </c>
      <c r="F263" s="702">
        <f t="shared" ca="1" si="59"/>
        <v>0</v>
      </c>
      <c r="H263" s="514">
        <f t="shared" si="58"/>
        <v>22</v>
      </c>
      <c r="I263" s="626">
        <f t="shared" ca="1" si="55"/>
        <v>0</v>
      </c>
      <c r="J263" s="698">
        <f t="shared" ca="1" si="56"/>
        <v>0</v>
      </c>
      <c r="K263" s="624">
        <f ca="1">IF(VLOOKUP($H263,CF!$A$4:$K$29,11,FALSE)/12&gt;(I263+J263),-(I263+J263),(-VLOOKUP($H263,CF!$A$4:$K$29,11,FALSE)/12))</f>
        <v>0</v>
      </c>
      <c r="L263" s="702">
        <f t="shared" ca="1" si="57"/>
        <v>0</v>
      </c>
    </row>
    <row r="264" spans="1:12" ht="16.149999999999999" customHeight="1" x14ac:dyDescent="0.45">
      <c r="A264" s="700">
        <f t="shared" ca="1" si="51"/>
        <v>0</v>
      </c>
      <c r="B264" s="701">
        <f t="shared" ca="1" si="52"/>
        <v>0</v>
      </c>
      <c r="C264" s="624">
        <f t="shared" ca="1" si="53"/>
        <v>0</v>
      </c>
      <c r="D264" s="698">
        <f ca="1">IF($A264=0,0,IF(SUMIF(CF!$A$5:$A$29,($A264+2),CF!$G$5:$G$29)/12&gt;C264,-C264,-SUMIF(CF!$A$5:$A$29,($A264+2),CF!$G$5:$G$29)/12))</f>
        <v>0</v>
      </c>
      <c r="E264" s="624">
        <f t="shared" ca="1" si="54"/>
        <v>0</v>
      </c>
      <c r="F264" s="702">
        <f t="shared" ca="1" si="59"/>
        <v>0</v>
      </c>
      <c r="H264" s="514">
        <f t="shared" si="58"/>
        <v>23</v>
      </c>
      <c r="I264" s="626">
        <f t="shared" ca="1" si="55"/>
        <v>0</v>
      </c>
      <c r="J264" s="698">
        <f t="shared" ca="1" si="56"/>
        <v>0</v>
      </c>
      <c r="K264" s="624">
        <f ca="1">IF(VLOOKUP($H264,CF!$A$4:$K$29,11,FALSE)/12&gt;(I264+J264),-(I264+J264),(-VLOOKUP($H264,CF!$A$4:$K$29,11,FALSE)/12))</f>
        <v>0</v>
      </c>
      <c r="L264" s="702">
        <f t="shared" ca="1" si="57"/>
        <v>0</v>
      </c>
    </row>
    <row r="265" spans="1:12" ht="16.149999999999999" customHeight="1" x14ac:dyDescent="0.45">
      <c r="A265" s="700">
        <f t="shared" ca="1" si="51"/>
        <v>0</v>
      </c>
      <c r="B265" s="701">
        <f t="shared" ca="1" si="52"/>
        <v>0</v>
      </c>
      <c r="C265" s="624">
        <f t="shared" ca="1" si="53"/>
        <v>0</v>
      </c>
      <c r="D265" s="698">
        <f ca="1">IF($A265=0,0,IF(SUMIF(CF!$A$5:$A$29,($A265+2),CF!$G$5:$G$29)/12&gt;C265,-C265,-SUMIF(CF!$A$5:$A$29,($A265+2),CF!$G$5:$G$29)/12))</f>
        <v>0</v>
      </c>
      <c r="E265" s="624">
        <f t="shared" ca="1" si="54"/>
        <v>0</v>
      </c>
      <c r="F265" s="702">
        <f t="shared" ca="1" si="59"/>
        <v>0</v>
      </c>
      <c r="H265" s="514">
        <f t="shared" si="58"/>
        <v>23</v>
      </c>
      <c r="I265" s="626">
        <f t="shared" ca="1" si="55"/>
        <v>0</v>
      </c>
      <c r="J265" s="698">
        <f t="shared" ca="1" si="56"/>
        <v>0</v>
      </c>
      <c r="K265" s="624">
        <f ca="1">IF(VLOOKUP($H265,CF!$A$4:$K$29,11,FALSE)/12&gt;(I265+J265),-(I265+J265),(-VLOOKUP($H265,CF!$A$4:$K$29,11,FALSE)/12))</f>
        <v>0</v>
      </c>
      <c r="L265" s="702">
        <f t="shared" ca="1" si="57"/>
        <v>0</v>
      </c>
    </row>
    <row r="266" spans="1:12" ht="16.149999999999999" customHeight="1" x14ac:dyDescent="0.45">
      <c r="A266" s="700">
        <f t="shared" ca="1" si="51"/>
        <v>0</v>
      </c>
      <c r="B266" s="701">
        <f t="shared" ca="1" si="52"/>
        <v>0</v>
      </c>
      <c r="C266" s="624">
        <f t="shared" ca="1" si="53"/>
        <v>0</v>
      </c>
      <c r="D266" s="698">
        <f ca="1">IF($A266=0,0,IF(SUMIF(CF!$A$5:$A$29,($A266+2),CF!$G$5:$G$29)/12&gt;C266,-C266,-SUMIF(CF!$A$5:$A$29,($A266+2),CF!$G$5:$G$29)/12))</f>
        <v>0</v>
      </c>
      <c r="E266" s="624">
        <f t="shared" ca="1" si="54"/>
        <v>0</v>
      </c>
      <c r="F266" s="702">
        <f t="shared" ca="1" si="59"/>
        <v>0</v>
      </c>
      <c r="H266" s="514">
        <f t="shared" si="58"/>
        <v>23</v>
      </c>
      <c r="I266" s="626">
        <f t="shared" ca="1" si="55"/>
        <v>0</v>
      </c>
      <c r="J266" s="698">
        <f t="shared" ca="1" si="56"/>
        <v>0</v>
      </c>
      <c r="K266" s="624">
        <f ca="1">IF(VLOOKUP($H266,CF!$A$4:$K$29,11,FALSE)/12&gt;(I266+J266),-(I266+J266),(-VLOOKUP($H266,CF!$A$4:$K$29,11,FALSE)/12))</f>
        <v>0</v>
      </c>
      <c r="L266" s="702">
        <f t="shared" ca="1" si="57"/>
        <v>0</v>
      </c>
    </row>
    <row r="267" spans="1:12" ht="16.149999999999999" customHeight="1" x14ac:dyDescent="0.45">
      <c r="A267" s="700">
        <f t="shared" ca="1" si="51"/>
        <v>0</v>
      </c>
      <c r="B267" s="701">
        <f t="shared" ca="1" si="52"/>
        <v>0</v>
      </c>
      <c r="C267" s="624">
        <f t="shared" ca="1" si="53"/>
        <v>0</v>
      </c>
      <c r="D267" s="698">
        <f ca="1">IF($A267=0,0,IF(SUMIF(CF!$A$5:$A$29,($A267+2),CF!$G$5:$G$29)/12&gt;C267,-C267,-SUMIF(CF!$A$5:$A$29,($A267+2),CF!$G$5:$G$29)/12))</f>
        <v>0</v>
      </c>
      <c r="E267" s="624">
        <f t="shared" ca="1" si="54"/>
        <v>0</v>
      </c>
      <c r="F267" s="702">
        <f t="shared" ca="1" si="59"/>
        <v>0</v>
      </c>
      <c r="H267" s="514">
        <f t="shared" si="58"/>
        <v>23</v>
      </c>
      <c r="I267" s="626">
        <f t="shared" ca="1" si="55"/>
        <v>0</v>
      </c>
      <c r="J267" s="698">
        <f t="shared" ca="1" si="56"/>
        <v>0</v>
      </c>
      <c r="K267" s="624">
        <f ca="1">IF(VLOOKUP($H267,CF!$A$4:$K$29,11,FALSE)/12&gt;(I267+J267),-(I267+J267),(-VLOOKUP($H267,CF!$A$4:$K$29,11,FALSE)/12))</f>
        <v>0</v>
      </c>
      <c r="L267" s="702">
        <f t="shared" ca="1" si="57"/>
        <v>0</v>
      </c>
    </row>
    <row r="268" spans="1:12" ht="16.149999999999999" customHeight="1" x14ac:dyDescent="0.45">
      <c r="A268" s="700">
        <f t="shared" ref="A268:A299" ca="1" si="60">ROUNDUP(B268/12,0)</f>
        <v>0</v>
      </c>
      <c r="B268" s="701">
        <f t="shared" ref="B268:B299" ca="1" si="61">IF(OR(ROUND(E267,0)=0,E267&lt;0),0,B267+1)</f>
        <v>0</v>
      </c>
      <c r="C268" s="624">
        <f t="shared" ref="C268:C299" ca="1" si="62">E267</f>
        <v>0</v>
      </c>
      <c r="D268" s="698">
        <f ca="1">IF($A268=0,0,IF(SUMIF(CF!$A$5:$A$29,($A268+2),CF!$G$5:$G$29)/12&gt;C268,-C268,-SUMIF(CF!$A$5:$A$29,($A268+2),CF!$G$5:$G$29)/12))</f>
        <v>0</v>
      </c>
      <c r="E268" s="624">
        <f t="shared" ref="E268:E299" ca="1" si="63">SUM(C268:D268)</f>
        <v>0</v>
      </c>
      <c r="F268" s="702">
        <f t="shared" ca="1" si="59"/>
        <v>0</v>
      </c>
      <c r="H268" s="514">
        <f t="shared" si="58"/>
        <v>23</v>
      </c>
      <c r="I268" s="626">
        <f t="shared" ref="I268:I299" ca="1" si="64">L267</f>
        <v>0</v>
      </c>
      <c r="J268" s="698">
        <f t="shared" ref="J268:J299" ca="1" si="65">I268*$D$3/12</f>
        <v>0</v>
      </c>
      <c r="K268" s="624">
        <f ca="1">IF(VLOOKUP($H268,CF!$A$4:$K$29,11,FALSE)/12&gt;(I268+J268),-(I268+J268),(-VLOOKUP($H268,CF!$A$4:$K$29,11,FALSE)/12))</f>
        <v>0</v>
      </c>
      <c r="L268" s="702">
        <f t="shared" ref="L268:L299" ca="1" si="66">SUM(I268:K268)</f>
        <v>0</v>
      </c>
    </row>
    <row r="269" spans="1:12" ht="16.149999999999999" customHeight="1" x14ac:dyDescent="0.45">
      <c r="A269" s="700">
        <f t="shared" ca="1" si="60"/>
        <v>0</v>
      </c>
      <c r="B269" s="701">
        <f t="shared" ca="1" si="61"/>
        <v>0</v>
      </c>
      <c r="C269" s="624">
        <f t="shared" ca="1" si="62"/>
        <v>0</v>
      </c>
      <c r="D269" s="698">
        <f ca="1">IF($A269=0,0,IF(SUMIF(CF!$A$5:$A$29,($A269+2),CF!$G$5:$G$29)/12&gt;C269,-C269,-SUMIF(CF!$A$5:$A$29,($A269+2),CF!$G$5:$G$29)/12))</f>
        <v>0</v>
      </c>
      <c r="E269" s="624">
        <f t="shared" ca="1" si="63"/>
        <v>0</v>
      </c>
      <c r="F269" s="702">
        <f t="shared" ca="1" si="59"/>
        <v>0</v>
      </c>
      <c r="H269" s="514">
        <f t="shared" si="58"/>
        <v>23</v>
      </c>
      <c r="I269" s="626">
        <f t="shared" ca="1" si="64"/>
        <v>0</v>
      </c>
      <c r="J269" s="698">
        <f t="shared" ca="1" si="65"/>
        <v>0</v>
      </c>
      <c r="K269" s="624">
        <f ca="1">IF(VLOOKUP($H269,CF!$A$4:$K$29,11,FALSE)/12&gt;(I269+J269),-(I269+J269),(-VLOOKUP($H269,CF!$A$4:$K$29,11,FALSE)/12))</f>
        <v>0</v>
      </c>
      <c r="L269" s="702">
        <f t="shared" ca="1" si="66"/>
        <v>0</v>
      </c>
    </row>
    <row r="270" spans="1:12" ht="16.149999999999999" customHeight="1" x14ac:dyDescent="0.45">
      <c r="A270" s="700">
        <f t="shared" ca="1" si="60"/>
        <v>0</v>
      </c>
      <c r="B270" s="701">
        <f t="shared" ca="1" si="61"/>
        <v>0</v>
      </c>
      <c r="C270" s="624">
        <f t="shared" ca="1" si="62"/>
        <v>0</v>
      </c>
      <c r="D270" s="698">
        <f ca="1">IF($A270=0,0,IF(SUMIF(CF!$A$5:$A$29,($A270+2),CF!$G$5:$G$29)/12&gt;C270,-C270,-SUMIF(CF!$A$5:$A$29,($A270+2),CF!$G$5:$G$29)/12))</f>
        <v>0</v>
      </c>
      <c r="E270" s="624">
        <f t="shared" ca="1" si="63"/>
        <v>0</v>
      </c>
      <c r="F270" s="702">
        <f t="shared" ca="1" si="59"/>
        <v>0</v>
      </c>
      <c r="H270" s="514">
        <f t="shared" si="58"/>
        <v>23</v>
      </c>
      <c r="I270" s="626">
        <f t="shared" ca="1" si="64"/>
        <v>0</v>
      </c>
      <c r="J270" s="698">
        <f t="shared" ca="1" si="65"/>
        <v>0</v>
      </c>
      <c r="K270" s="624">
        <f ca="1">IF(VLOOKUP($H270,CF!$A$4:$K$29,11,FALSE)/12&gt;(I270+J270),-(I270+J270),(-VLOOKUP($H270,CF!$A$4:$K$29,11,FALSE)/12))</f>
        <v>0</v>
      </c>
      <c r="L270" s="702">
        <f t="shared" ca="1" si="66"/>
        <v>0</v>
      </c>
    </row>
    <row r="271" spans="1:12" ht="16.149999999999999" customHeight="1" x14ac:dyDescent="0.45">
      <c r="A271" s="700">
        <f t="shared" ca="1" si="60"/>
        <v>0</v>
      </c>
      <c r="B271" s="701">
        <f t="shared" ca="1" si="61"/>
        <v>0</v>
      </c>
      <c r="C271" s="624">
        <f t="shared" ca="1" si="62"/>
        <v>0</v>
      </c>
      <c r="D271" s="698">
        <f ca="1">IF($A271=0,0,IF(SUMIF(CF!$A$5:$A$29,($A271+2),CF!$G$5:$G$29)/12&gt;C271,-C271,-SUMIF(CF!$A$5:$A$29,($A271+2),CF!$G$5:$G$29)/12))</f>
        <v>0</v>
      </c>
      <c r="E271" s="624">
        <f t="shared" ca="1" si="63"/>
        <v>0</v>
      </c>
      <c r="F271" s="702">
        <f t="shared" ca="1" si="59"/>
        <v>0</v>
      </c>
      <c r="H271" s="514">
        <f t="shared" si="58"/>
        <v>23</v>
      </c>
      <c r="I271" s="626">
        <f t="shared" ca="1" si="64"/>
        <v>0</v>
      </c>
      <c r="J271" s="698">
        <f t="shared" ca="1" si="65"/>
        <v>0</v>
      </c>
      <c r="K271" s="624">
        <f ca="1">IF(VLOOKUP($H271,CF!$A$4:$K$29,11,FALSE)/12&gt;(I271+J271),-(I271+J271),(-VLOOKUP($H271,CF!$A$4:$K$29,11,FALSE)/12))</f>
        <v>0</v>
      </c>
      <c r="L271" s="702">
        <f t="shared" ca="1" si="66"/>
        <v>0</v>
      </c>
    </row>
    <row r="272" spans="1:12" ht="16.149999999999999" customHeight="1" x14ac:dyDescent="0.45">
      <c r="A272" s="700">
        <f t="shared" ca="1" si="60"/>
        <v>0</v>
      </c>
      <c r="B272" s="701">
        <f t="shared" ca="1" si="61"/>
        <v>0</v>
      </c>
      <c r="C272" s="624">
        <f t="shared" ca="1" si="62"/>
        <v>0</v>
      </c>
      <c r="D272" s="698">
        <f ca="1">IF($A272=0,0,IF(SUMIF(CF!$A$5:$A$29,($A272+2),CF!$G$5:$G$29)/12&gt;C272,-C272,-SUMIF(CF!$A$5:$A$29,($A272+2),CF!$G$5:$G$29)/12))</f>
        <v>0</v>
      </c>
      <c r="E272" s="624">
        <f t="shared" ca="1" si="63"/>
        <v>0</v>
      </c>
      <c r="F272" s="702">
        <f t="shared" ca="1" si="59"/>
        <v>0</v>
      </c>
      <c r="H272" s="514">
        <f t="shared" si="58"/>
        <v>23</v>
      </c>
      <c r="I272" s="626">
        <f t="shared" ca="1" si="64"/>
        <v>0</v>
      </c>
      <c r="J272" s="698">
        <f t="shared" ca="1" si="65"/>
        <v>0</v>
      </c>
      <c r="K272" s="624">
        <f ca="1">IF(VLOOKUP($H272,CF!$A$4:$K$29,11,FALSE)/12&gt;(I272+J272),-(I272+J272),(-VLOOKUP($H272,CF!$A$4:$K$29,11,FALSE)/12))</f>
        <v>0</v>
      </c>
      <c r="L272" s="702">
        <f t="shared" ca="1" si="66"/>
        <v>0</v>
      </c>
    </row>
    <row r="273" spans="1:12" ht="16.149999999999999" customHeight="1" x14ac:dyDescent="0.45">
      <c r="A273" s="700">
        <f t="shared" ca="1" si="60"/>
        <v>0</v>
      </c>
      <c r="B273" s="701">
        <f t="shared" ca="1" si="61"/>
        <v>0</v>
      </c>
      <c r="C273" s="624">
        <f t="shared" ca="1" si="62"/>
        <v>0</v>
      </c>
      <c r="D273" s="698">
        <f ca="1">IF($A273=0,0,IF(SUMIF(CF!$A$5:$A$29,($A273+2),CF!$G$5:$G$29)/12&gt;C273,-C273,-SUMIF(CF!$A$5:$A$29,($A273+2),CF!$G$5:$G$29)/12))</f>
        <v>0</v>
      </c>
      <c r="E273" s="624">
        <f t="shared" ca="1" si="63"/>
        <v>0</v>
      </c>
      <c r="F273" s="702">
        <f t="shared" ca="1" si="59"/>
        <v>0</v>
      </c>
      <c r="H273" s="514">
        <f t="shared" si="58"/>
        <v>23</v>
      </c>
      <c r="I273" s="626">
        <f t="shared" ca="1" si="64"/>
        <v>0</v>
      </c>
      <c r="J273" s="698">
        <f t="shared" ca="1" si="65"/>
        <v>0</v>
      </c>
      <c r="K273" s="624">
        <f ca="1">IF(VLOOKUP($H273,CF!$A$4:$K$29,11,FALSE)/12&gt;(I273+J273),-(I273+J273),(-VLOOKUP($H273,CF!$A$4:$K$29,11,FALSE)/12))</f>
        <v>0</v>
      </c>
      <c r="L273" s="702">
        <f t="shared" ca="1" si="66"/>
        <v>0</v>
      </c>
    </row>
    <row r="274" spans="1:12" ht="16.149999999999999" customHeight="1" x14ac:dyDescent="0.45">
      <c r="A274" s="700">
        <f t="shared" ca="1" si="60"/>
        <v>0</v>
      </c>
      <c r="B274" s="701">
        <f t="shared" ca="1" si="61"/>
        <v>0</v>
      </c>
      <c r="C274" s="624">
        <f t="shared" ca="1" si="62"/>
        <v>0</v>
      </c>
      <c r="D274" s="698">
        <f ca="1">IF($A274=0,0,IF(SUMIF(CF!$A$5:$A$29,($A274+2),CF!$G$5:$G$29)/12&gt;C274,-C274,-SUMIF(CF!$A$5:$A$29,($A274+2),CF!$G$5:$G$29)/12))</f>
        <v>0</v>
      </c>
      <c r="E274" s="624">
        <f t="shared" ca="1" si="63"/>
        <v>0</v>
      </c>
      <c r="F274" s="702">
        <f t="shared" ca="1" si="59"/>
        <v>0</v>
      </c>
      <c r="H274" s="514">
        <f t="shared" si="58"/>
        <v>23</v>
      </c>
      <c r="I274" s="626">
        <f t="shared" ca="1" si="64"/>
        <v>0</v>
      </c>
      <c r="J274" s="698">
        <f t="shared" ca="1" si="65"/>
        <v>0</v>
      </c>
      <c r="K274" s="624">
        <f ca="1">IF(VLOOKUP($H274,CF!$A$4:$K$29,11,FALSE)/12&gt;(I274+J274),-(I274+J274),(-VLOOKUP($H274,CF!$A$4:$K$29,11,FALSE)/12))</f>
        <v>0</v>
      </c>
      <c r="L274" s="702">
        <f t="shared" ca="1" si="66"/>
        <v>0</v>
      </c>
    </row>
    <row r="275" spans="1:12" ht="16.149999999999999" customHeight="1" x14ac:dyDescent="0.45">
      <c r="A275" s="700">
        <f t="shared" ca="1" si="60"/>
        <v>0</v>
      </c>
      <c r="B275" s="701">
        <f t="shared" ca="1" si="61"/>
        <v>0</v>
      </c>
      <c r="C275" s="624">
        <f t="shared" ca="1" si="62"/>
        <v>0</v>
      </c>
      <c r="D275" s="698">
        <f ca="1">IF($A275=0,0,IF(SUMIF(CF!$A$5:$A$29,($A275+2),CF!$G$5:$G$29)/12&gt;C275,-C275,-SUMIF(CF!$A$5:$A$29,($A275+2),CF!$G$5:$G$29)/12))</f>
        <v>0</v>
      </c>
      <c r="E275" s="624">
        <f t="shared" ca="1" si="63"/>
        <v>0</v>
      </c>
      <c r="F275" s="702">
        <f t="shared" ca="1" si="59"/>
        <v>0</v>
      </c>
      <c r="H275" s="514">
        <f t="shared" si="58"/>
        <v>23</v>
      </c>
      <c r="I275" s="626">
        <f t="shared" ca="1" si="64"/>
        <v>0</v>
      </c>
      <c r="J275" s="698">
        <f t="shared" ca="1" si="65"/>
        <v>0</v>
      </c>
      <c r="K275" s="624">
        <f ca="1">IF(VLOOKUP($H275,CF!$A$4:$K$29,11,FALSE)/12&gt;(I275+J275),-(I275+J275),(-VLOOKUP($H275,CF!$A$4:$K$29,11,FALSE)/12))</f>
        <v>0</v>
      </c>
      <c r="L275" s="702">
        <f t="shared" ca="1" si="66"/>
        <v>0</v>
      </c>
    </row>
    <row r="276" spans="1:12" ht="16.149999999999999" customHeight="1" x14ac:dyDescent="0.45">
      <c r="A276" s="700">
        <f t="shared" ca="1" si="60"/>
        <v>0</v>
      </c>
      <c r="B276" s="701">
        <f t="shared" ca="1" si="61"/>
        <v>0</v>
      </c>
      <c r="C276" s="624">
        <f t="shared" ca="1" si="62"/>
        <v>0</v>
      </c>
      <c r="D276" s="698">
        <f ca="1">IF($A276=0,0,IF(SUMIF(CF!$A$5:$A$29,($A276+2),CF!$G$5:$G$29)/12&gt;C276,-C276,-SUMIF(CF!$A$5:$A$29,($A276+2),CF!$G$5:$G$29)/12))</f>
        <v>0</v>
      </c>
      <c r="E276" s="624">
        <f t="shared" ca="1" si="63"/>
        <v>0</v>
      </c>
      <c r="F276" s="702">
        <f t="shared" ca="1" si="59"/>
        <v>0</v>
      </c>
      <c r="H276" s="514">
        <f t="shared" si="58"/>
        <v>24</v>
      </c>
      <c r="I276" s="626">
        <f t="shared" ca="1" si="64"/>
        <v>0</v>
      </c>
      <c r="J276" s="698">
        <f t="shared" ca="1" si="65"/>
        <v>0</v>
      </c>
      <c r="K276" s="624">
        <f ca="1">IF(VLOOKUP($H276,CF!$A$4:$K$29,11,FALSE)/12&gt;(I276+J276),-(I276+J276),(-VLOOKUP($H276,CF!$A$4:$K$29,11,FALSE)/12))</f>
        <v>0</v>
      </c>
      <c r="L276" s="702">
        <f t="shared" ca="1" si="66"/>
        <v>0</v>
      </c>
    </row>
    <row r="277" spans="1:12" ht="16.149999999999999" customHeight="1" x14ac:dyDescent="0.45">
      <c r="A277" s="700">
        <f t="shared" ca="1" si="60"/>
        <v>0</v>
      </c>
      <c r="B277" s="701">
        <f t="shared" ca="1" si="61"/>
        <v>0</v>
      </c>
      <c r="C277" s="624">
        <f t="shared" ca="1" si="62"/>
        <v>0</v>
      </c>
      <c r="D277" s="698">
        <f ca="1">IF($A277=0,0,IF(SUMIF(CF!$A$5:$A$29,($A277+2),CF!$G$5:$G$29)/12&gt;C277,-C277,-SUMIF(CF!$A$5:$A$29,($A277+2),CF!$G$5:$G$29)/12))</f>
        <v>0</v>
      </c>
      <c r="E277" s="624">
        <f t="shared" ca="1" si="63"/>
        <v>0</v>
      </c>
      <c r="F277" s="702">
        <f t="shared" ca="1" si="59"/>
        <v>0</v>
      </c>
      <c r="H277" s="514">
        <f t="shared" si="58"/>
        <v>24</v>
      </c>
      <c r="I277" s="626">
        <f t="shared" ca="1" si="64"/>
        <v>0</v>
      </c>
      <c r="J277" s="698">
        <f t="shared" ca="1" si="65"/>
        <v>0</v>
      </c>
      <c r="K277" s="624">
        <f ca="1">IF(VLOOKUP($H277,CF!$A$4:$K$29,11,FALSE)/12&gt;(I277+J277),-(I277+J277),(-VLOOKUP($H277,CF!$A$4:$K$29,11,FALSE)/12))</f>
        <v>0</v>
      </c>
      <c r="L277" s="702">
        <f t="shared" ca="1" si="66"/>
        <v>0</v>
      </c>
    </row>
    <row r="278" spans="1:12" ht="16.149999999999999" customHeight="1" x14ac:dyDescent="0.45">
      <c r="A278" s="700">
        <f t="shared" ca="1" si="60"/>
        <v>0</v>
      </c>
      <c r="B278" s="701">
        <f t="shared" ca="1" si="61"/>
        <v>0</v>
      </c>
      <c r="C278" s="624">
        <f t="shared" ca="1" si="62"/>
        <v>0</v>
      </c>
      <c r="D278" s="698">
        <f ca="1">IF($A278=0,0,IF(SUMIF(CF!$A$5:$A$29,($A278+2),CF!$G$5:$G$29)/12&gt;C278,-C278,-SUMIF(CF!$A$5:$A$29,($A278+2),CF!$G$5:$G$29)/12))</f>
        <v>0</v>
      </c>
      <c r="E278" s="624">
        <f t="shared" ca="1" si="63"/>
        <v>0</v>
      </c>
      <c r="F278" s="702">
        <f t="shared" ca="1" si="59"/>
        <v>0</v>
      </c>
      <c r="H278" s="514">
        <f t="shared" si="58"/>
        <v>24</v>
      </c>
      <c r="I278" s="626">
        <f t="shared" ca="1" si="64"/>
        <v>0</v>
      </c>
      <c r="J278" s="698">
        <f t="shared" ca="1" si="65"/>
        <v>0</v>
      </c>
      <c r="K278" s="624">
        <f ca="1">IF(VLOOKUP($H278,CF!$A$4:$K$29,11,FALSE)/12&gt;(I278+J278),-(I278+J278),(-VLOOKUP($H278,CF!$A$4:$K$29,11,FALSE)/12))</f>
        <v>0</v>
      </c>
      <c r="L278" s="702">
        <f t="shared" ca="1" si="66"/>
        <v>0</v>
      </c>
    </row>
    <row r="279" spans="1:12" ht="16.149999999999999" customHeight="1" x14ac:dyDescent="0.45">
      <c r="A279" s="700">
        <f t="shared" ca="1" si="60"/>
        <v>0</v>
      </c>
      <c r="B279" s="701">
        <f t="shared" ca="1" si="61"/>
        <v>0</v>
      </c>
      <c r="C279" s="624">
        <f t="shared" ca="1" si="62"/>
        <v>0</v>
      </c>
      <c r="D279" s="698">
        <f ca="1">IF($A279=0,0,IF(SUMIF(CF!$A$5:$A$29,($A279+2),CF!$G$5:$G$29)/12&gt;C279,-C279,-SUMIF(CF!$A$5:$A$29,($A279+2),CF!$G$5:$G$29)/12))</f>
        <v>0</v>
      </c>
      <c r="E279" s="624">
        <f t="shared" ca="1" si="63"/>
        <v>0</v>
      </c>
      <c r="F279" s="702">
        <f t="shared" ca="1" si="59"/>
        <v>0</v>
      </c>
      <c r="H279" s="514">
        <f t="shared" si="58"/>
        <v>24</v>
      </c>
      <c r="I279" s="626">
        <f t="shared" ca="1" si="64"/>
        <v>0</v>
      </c>
      <c r="J279" s="698">
        <f t="shared" ca="1" si="65"/>
        <v>0</v>
      </c>
      <c r="K279" s="624">
        <f ca="1">IF(VLOOKUP($H279,CF!$A$4:$K$29,11,FALSE)/12&gt;(I279+J279),-(I279+J279),(-VLOOKUP($H279,CF!$A$4:$K$29,11,FALSE)/12))</f>
        <v>0</v>
      </c>
      <c r="L279" s="702">
        <f t="shared" ca="1" si="66"/>
        <v>0</v>
      </c>
    </row>
    <row r="280" spans="1:12" ht="16.149999999999999" customHeight="1" x14ac:dyDescent="0.45">
      <c r="A280" s="700">
        <f t="shared" ca="1" si="60"/>
        <v>0</v>
      </c>
      <c r="B280" s="701">
        <f t="shared" ca="1" si="61"/>
        <v>0</v>
      </c>
      <c r="C280" s="624">
        <f t="shared" ca="1" si="62"/>
        <v>0</v>
      </c>
      <c r="D280" s="698">
        <f ca="1">IF($A280=0,0,IF(SUMIF(CF!$A$5:$A$29,($A280+2),CF!$G$5:$G$29)/12&gt;C280,-C280,-SUMIF(CF!$A$5:$A$29,($A280+2),CF!$G$5:$G$29)/12))</f>
        <v>0</v>
      </c>
      <c r="E280" s="624">
        <f t="shared" ca="1" si="63"/>
        <v>0</v>
      </c>
      <c r="F280" s="702">
        <f t="shared" ca="1" si="59"/>
        <v>0</v>
      </c>
      <c r="H280" s="514">
        <f t="shared" si="58"/>
        <v>24</v>
      </c>
      <c r="I280" s="626">
        <f t="shared" ca="1" si="64"/>
        <v>0</v>
      </c>
      <c r="J280" s="698">
        <f t="shared" ca="1" si="65"/>
        <v>0</v>
      </c>
      <c r="K280" s="624">
        <f ca="1">IF(VLOOKUP($H280,CF!$A$4:$K$29,11,FALSE)/12&gt;(I280+J280),-(I280+J280),(-VLOOKUP($H280,CF!$A$4:$K$29,11,FALSE)/12))</f>
        <v>0</v>
      </c>
      <c r="L280" s="702">
        <f t="shared" ca="1" si="66"/>
        <v>0</v>
      </c>
    </row>
    <row r="281" spans="1:12" ht="16.149999999999999" customHeight="1" x14ac:dyDescent="0.45">
      <c r="A281" s="700">
        <f t="shared" ca="1" si="60"/>
        <v>0</v>
      </c>
      <c r="B281" s="701">
        <f t="shared" ca="1" si="61"/>
        <v>0</v>
      </c>
      <c r="C281" s="624">
        <f t="shared" ca="1" si="62"/>
        <v>0</v>
      </c>
      <c r="D281" s="698">
        <f ca="1">IF($A281=0,0,IF(SUMIF(CF!$A$5:$A$29,($A281+2),CF!$G$5:$G$29)/12&gt;C281,-C281,-SUMIF(CF!$A$5:$A$29,($A281+2),CF!$G$5:$G$29)/12))</f>
        <v>0</v>
      </c>
      <c r="E281" s="624">
        <f t="shared" ca="1" si="63"/>
        <v>0</v>
      </c>
      <c r="F281" s="702">
        <f t="shared" ca="1" si="59"/>
        <v>0</v>
      </c>
      <c r="H281" s="514">
        <f t="shared" si="58"/>
        <v>24</v>
      </c>
      <c r="I281" s="626">
        <f t="shared" ca="1" si="64"/>
        <v>0</v>
      </c>
      <c r="J281" s="698">
        <f t="shared" ca="1" si="65"/>
        <v>0</v>
      </c>
      <c r="K281" s="624">
        <f ca="1">IF(VLOOKUP($H281,CF!$A$4:$K$29,11,FALSE)/12&gt;(I281+J281),-(I281+J281),(-VLOOKUP($H281,CF!$A$4:$K$29,11,FALSE)/12))</f>
        <v>0</v>
      </c>
      <c r="L281" s="702">
        <f t="shared" ca="1" si="66"/>
        <v>0</v>
      </c>
    </row>
    <row r="282" spans="1:12" ht="16.149999999999999" customHeight="1" x14ac:dyDescent="0.45">
      <c r="A282" s="700">
        <f t="shared" ca="1" si="60"/>
        <v>0</v>
      </c>
      <c r="B282" s="701">
        <f t="shared" ca="1" si="61"/>
        <v>0</v>
      </c>
      <c r="C282" s="624">
        <f t="shared" ca="1" si="62"/>
        <v>0</v>
      </c>
      <c r="D282" s="698">
        <f ca="1">IF($A282=0,0,IF(SUMIF(CF!$A$5:$A$29,($A282+2),CF!$G$5:$G$29)/12&gt;C282,-C282,-SUMIF(CF!$A$5:$A$29,($A282+2),CF!$G$5:$G$29)/12))</f>
        <v>0</v>
      </c>
      <c r="E282" s="624">
        <f t="shared" ca="1" si="63"/>
        <v>0</v>
      </c>
      <c r="F282" s="702">
        <f t="shared" ca="1" si="59"/>
        <v>0</v>
      </c>
      <c r="H282" s="514">
        <f t="shared" si="58"/>
        <v>24</v>
      </c>
      <c r="I282" s="626">
        <f t="shared" ca="1" si="64"/>
        <v>0</v>
      </c>
      <c r="J282" s="698">
        <f t="shared" ca="1" si="65"/>
        <v>0</v>
      </c>
      <c r="K282" s="624">
        <f ca="1">IF(VLOOKUP($H282,CF!$A$4:$K$29,11,FALSE)/12&gt;(I282+J282),-(I282+J282),(-VLOOKUP($H282,CF!$A$4:$K$29,11,FALSE)/12))</f>
        <v>0</v>
      </c>
      <c r="L282" s="702">
        <f t="shared" ca="1" si="66"/>
        <v>0</v>
      </c>
    </row>
    <row r="283" spans="1:12" ht="16.149999999999999" customHeight="1" x14ac:dyDescent="0.45">
      <c r="A283" s="700">
        <f t="shared" ca="1" si="60"/>
        <v>0</v>
      </c>
      <c r="B283" s="701">
        <f t="shared" ca="1" si="61"/>
        <v>0</v>
      </c>
      <c r="C283" s="624">
        <f t="shared" ca="1" si="62"/>
        <v>0</v>
      </c>
      <c r="D283" s="698">
        <f ca="1">IF($A283=0,0,IF(SUMIF(CF!$A$5:$A$29,($A283+2),CF!$G$5:$G$29)/12&gt;C283,-C283,-SUMIF(CF!$A$5:$A$29,($A283+2),CF!$G$5:$G$29)/12))</f>
        <v>0</v>
      </c>
      <c r="E283" s="624">
        <f t="shared" ca="1" si="63"/>
        <v>0</v>
      </c>
      <c r="F283" s="702">
        <f t="shared" ca="1" si="59"/>
        <v>0</v>
      </c>
      <c r="H283" s="514">
        <f t="shared" si="58"/>
        <v>24</v>
      </c>
      <c r="I283" s="626">
        <f t="shared" ca="1" si="64"/>
        <v>0</v>
      </c>
      <c r="J283" s="698">
        <f t="shared" ca="1" si="65"/>
        <v>0</v>
      </c>
      <c r="K283" s="624">
        <f ca="1">IF(VLOOKUP($H283,CF!$A$4:$K$29,11,FALSE)/12&gt;(I283+J283),-(I283+J283),(-VLOOKUP($H283,CF!$A$4:$K$29,11,FALSE)/12))</f>
        <v>0</v>
      </c>
      <c r="L283" s="702">
        <f t="shared" ca="1" si="66"/>
        <v>0</v>
      </c>
    </row>
    <row r="284" spans="1:12" ht="16.149999999999999" customHeight="1" x14ac:dyDescent="0.45">
      <c r="A284" s="700">
        <f t="shared" ca="1" si="60"/>
        <v>0</v>
      </c>
      <c r="B284" s="701">
        <f t="shared" ca="1" si="61"/>
        <v>0</v>
      </c>
      <c r="C284" s="624">
        <f t="shared" ca="1" si="62"/>
        <v>0</v>
      </c>
      <c r="D284" s="698">
        <f ca="1">IF($A284=0,0,IF(SUMIF(CF!$A$5:$A$29,($A284+2),CF!$G$5:$G$29)/12&gt;C284,-C284,-SUMIF(CF!$A$5:$A$29,($A284+2),CF!$G$5:$G$29)/12))</f>
        <v>0</v>
      </c>
      <c r="E284" s="624">
        <f t="shared" ca="1" si="63"/>
        <v>0</v>
      </c>
      <c r="F284" s="702">
        <f t="shared" ca="1" si="59"/>
        <v>0</v>
      </c>
      <c r="H284" s="514">
        <f t="shared" si="58"/>
        <v>24</v>
      </c>
      <c r="I284" s="626">
        <f t="shared" ca="1" si="64"/>
        <v>0</v>
      </c>
      <c r="J284" s="698">
        <f t="shared" ca="1" si="65"/>
        <v>0</v>
      </c>
      <c r="K284" s="624">
        <f ca="1">IF(VLOOKUP($H284,CF!$A$4:$K$29,11,FALSE)/12&gt;(I284+J284),-(I284+J284),(-VLOOKUP($H284,CF!$A$4:$K$29,11,FALSE)/12))</f>
        <v>0</v>
      </c>
      <c r="L284" s="702">
        <f t="shared" ca="1" si="66"/>
        <v>0</v>
      </c>
    </row>
    <row r="285" spans="1:12" ht="16.149999999999999" customHeight="1" x14ac:dyDescent="0.45">
      <c r="A285" s="700">
        <f t="shared" ca="1" si="60"/>
        <v>0</v>
      </c>
      <c r="B285" s="701">
        <f t="shared" ca="1" si="61"/>
        <v>0</v>
      </c>
      <c r="C285" s="624">
        <f t="shared" ca="1" si="62"/>
        <v>0</v>
      </c>
      <c r="D285" s="698">
        <f ca="1">IF($A285=0,0,IF(SUMIF(CF!$A$5:$A$29,($A285+2),CF!$G$5:$G$29)/12&gt;C285,-C285,-SUMIF(CF!$A$5:$A$29,($A285+2),CF!$G$5:$G$29)/12))</f>
        <v>0</v>
      </c>
      <c r="E285" s="624">
        <f t="shared" ca="1" si="63"/>
        <v>0</v>
      </c>
      <c r="F285" s="702">
        <f t="shared" ca="1" si="59"/>
        <v>0</v>
      </c>
      <c r="H285" s="514">
        <f t="shared" si="58"/>
        <v>24</v>
      </c>
      <c r="I285" s="626">
        <f t="shared" ca="1" si="64"/>
        <v>0</v>
      </c>
      <c r="J285" s="698">
        <f t="shared" ca="1" si="65"/>
        <v>0</v>
      </c>
      <c r="K285" s="624">
        <f ca="1">IF(VLOOKUP($H285,CF!$A$4:$K$29,11,FALSE)/12&gt;(I285+J285),-(I285+J285),(-VLOOKUP($H285,CF!$A$4:$K$29,11,FALSE)/12))</f>
        <v>0</v>
      </c>
      <c r="L285" s="702">
        <f t="shared" ca="1" si="66"/>
        <v>0</v>
      </c>
    </row>
    <row r="286" spans="1:12" ht="16.149999999999999" customHeight="1" x14ac:dyDescent="0.45">
      <c r="A286" s="700">
        <f t="shared" ca="1" si="60"/>
        <v>0</v>
      </c>
      <c r="B286" s="701">
        <f t="shared" ca="1" si="61"/>
        <v>0</v>
      </c>
      <c r="C286" s="624">
        <f t="shared" ca="1" si="62"/>
        <v>0</v>
      </c>
      <c r="D286" s="698">
        <f ca="1">IF($A286=0,0,IF(SUMIF(CF!$A$5:$A$29,($A286+2),CF!$G$5:$G$29)/12&gt;C286,-C286,-SUMIF(CF!$A$5:$A$29,($A286+2),CF!$G$5:$G$29)/12))</f>
        <v>0</v>
      </c>
      <c r="E286" s="624">
        <f t="shared" ca="1" si="63"/>
        <v>0</v>
      </c>
      <c r="F286" s="702">
        <f t="shared" ca="1" si="59"/>
        <v>0</v>
      </c>
      <c r="H286" s="514">
        <f t="shared" si="58"/>
        <v>24</v>
      </c>
      <c r="I286" s="626">
        <f t="shared" ca="1" si="64"/>
        <v>0</v>
      </c>
      <c r="J286" s="698">
        <f t="shared" ca="1" si="65"/>
        <v>0</v>
      </c>
      <c r="K286" s="624">
        <f ca="1">IF(VLOOKUP($H286,CF!$A$4:$K$29,11,FALSE)/12&gt;(I286+J286),-(I286+J286),(-VLOOKUP($H286,CF!$A$4:$K$29,11,FALSE)/12))</f>
        <v>0</v>
      </c>
      <c r="L286" s="702">
        <f t="shared" ca="1" si="66"/>
        <v>0</v>
      </c>
    </row>
    <row r="287" spans="1:12" ht="16.149999999999999" customHeight="1" x14ac:dyDescent="0.45">
      <c r="A287" s="700">
        <f t="shared" ca="1" si="60"/>
        <v>0</v>
      </c>
      <c r="B287" s="701">
        <f t="shared" ca="1" si="61"/>
        <v>0</v>
      </c>
      <c r="C287" s="624">
        <f t="shared" ca="1" si="62"/>
        <v>0</v>
      </c>
      <c r="D287" s="698">
        <f ca="1">IF($A287=0,0,IF(SUMIF(CF!$A$5:$A$29,($A287+2),CF!$G$5:$G$29)/12&gt;C287,-C287,-SUMIF(CF!$A$5:$A$29,($A287+2),CF!$G$5:$G$29)/12))</f>
        <v>0</v>
      </c>
      <c r="E287" s="624">
        <f t="shared" ca="1" si="63"/>
        <v>0</v>
      </c>
      <c r="F287" s="702">
        <f t="shared" ca="1" si="59"/>
        <v>0</v>
      </c>
      <c r="H287" s="514">
        <f t="shared" si="58"/>
        <v>24</v>
      </c>
      <c r="I287" s="626">
        <f t="shared" ca="1" si="64"/>
        <v>0</v>
      </c>
      <c r="J287" s="698">
        <f t="shared" ca="1" si="65"/>
        <v>0</v>
      </c>
      <c r="K287" s="624">
        <f ca="1">IF(VLOOKUP($H287,CF!$A$4:$K$29,11,FALSE)/12&gt;(I287+J287),-(I287+J287),(-VLOOKUP($H287,CF!$A$4:$K$29,11,FALSE)/12))</f>
        <v>0</v>
      </c>
      <c r="L287" s="702">
        <f t="shared" ca="1" si="66"/>
        <v>0</v>
      </c>
    </row>
    <row r="288" spans="1:12" ht="16.149999999999999" customHeight="1" x14ac:dyDescent="0.45">
      <c r="A288" s="700">
        <f t="shared" ca="1" si="60"/>
        <v>0</v>
      </c>
      <c r="B288" s="701">
        <f t="shared" ca="1" si="61"/>
        <v>0</v>
      </c>
      <c r="C288" s="624">
        <f t="shared" ca="1" si="62"/>
        <v>0</v>
      </c>
      <c r="D288" s="698">
        <f ca="1">IF($A288=0,0,IF(SUMIF(CF!$A$5:$A$29,($A288+2),CF!$G$5:$G$29)/12&gt;C288,-C288,-SUMIF(CF!$A$5:$A$29,($A288+2),CF!$G$5:$G$29)/12))</f>
        <v>0</v>
      </c>
      <c r="E288" s="624">
        <f t="shared" ca="1" si="63"/>
        <v>0</v>
      </c>
      <c r="F288" s="702">
        <f t="shared" ca="1" si="59"/>
        <v>0</v>
      </c>
      <c r="H288" s="514">
        <f t="shared" si="58"/>
        <v>25</v>
      </c>
      <c r="I288" s="626">
        <f t="shared" ca="1" si="64"/>
        <v>0</v>
      </c>
      <c r="J288" s="698">
        <f t="shared" ca="1" si="65"/>
        <v>0</v>
      </c>
      <c r="K288" s="624">
        <f ca="1">IF(VLOOKUP($H288,CF!$A$4:$K$29,11,FALSE)/12&gt;(I288+J288),-(I288+J288),(-VLOOKUP($H288,CF!$A$4:$K$29,11,FALSE)/12))</f>
        <v>0</v>
      </c>
      <c r="L288" s="702">
        <f t="shared" ca="1" si="66"/>
        <v>0</v>
      </c>
    </row>
    <row r="289" spans="1:12" ht="16.149999999999999" customHeight="1" x14ac:dyDescent="0.45">
      <c r="A289" s="700">
        <f t="shared" ca="1" si="60"/>
        <v>0</v>
      </c>
      <c r="B289" s="701">
        <f t="shared" ca="1" si="61"/>
        <v>0</v>
      </c>
      <c r="C289" s="624">
        <f t="shared" ca="1" si="62"/>
        <v>0</v>
      </c>
      <c r="D289" s="698">
        <f ca="1">IF($A289=0,0,IF(SUMIF(CF!$A$5:$A$29,($A289+2),CF!$G$5:$G$29)/12&gt;C289,-C289,-SUMIF(CF!$A$5:$A$29,($A289+2),CF!$G$5:$G$29)/12))</f>
        <v>0</v>
      </c>
      <c r="E289" s="624">
        <f t="shared" ca="1" si="63"/>
        <v>0</v>
      </c>
      <c r="F289" s="702">
        <f t="shared" ca="1" si="59"/>
        <v>0</v>
      </c>
      <c r="H289" s="514">
        <f t="shared" si="58"/>
        <v>25</v>
      </c>
      <c r="I289" s="626">
        <f t="shared" ca="1" si="64"/>
        <v>0</v>
      </c>
      <c r="J289" s="698">
        <f t="shared" ca="1" si="65"/>
        <v>0</v>
      </c>
      <c r="K289" s="624">
        <f ca="1">IF(VLOOKUP($H289,CF!$A$4:$K$29,11,FALSE)/12&gt;(I289+J289),-(I289+J289),(-VLOOKUP($H289,CF!$A$4:$K$29,11,FALSE)/12))</f>
        <v>0</v>
      </c>
      <c r="L289" s="702">
        <f t="shared" ca="1" si="66"/>
        <v>0</v>
      </c>
    </row>
    <row r="290" spans="1:12" ht="16.149999999999999" customHeight="1" x14ac:dyDescent="0.45">
      <c r="A290" s="700">
        <f t="shared" ca="1" si="60"/>
        <v>0</v>
      </c>
      <c r="B290" s="701">
        <f t="shared" ca="1" si="61"/>
        <v>0</v>
      </c>
      <c r="C290" s="624">
        <f t="shared" ca="1" si="62"/>
        <v>0</v>
      </c>
      <c r="D290" s="698">
        <f ca="1">IF($A290=0,0,IF(SUMIF(CF!$A$5:$A$29,($A290+2),CF!$G$5:$G$29)/12&gt;C290,-C290,-SUMIF(CF!$A$5:$A$29,($A290+2),CF!$G$5:$G$29)/12))</f>
        <v>0</v>
      </c>
      <c r="E290" s="624">
        <f t="shared" ca="1" si="63"/>
        <v>0</v>
      </c>
      <c r="F290" s="702">
        <f t="shared" ca="1" si="59"/>
        <v>0</v>
      </c>
      <c r="H290" s="514">
        <f t="shared" si="58"/>
        <v>25</v>
      </c>
      <c r="I290" s="626">
        <f t="shared" ca="1" si="64"/>
        <v>0</v>
      </c>
      <c r="J290" s="698">
        <f t="shared" ca="1" si="65"/>
        <v>0</v>
      </c>
      <c r="K290" s="624">
        <f ca="1">IF(VLOOKUP($H290,CF!$A$4:$K$29,11,FALSE)/12&gt;(I290+J290),-(I290+J290),(-VLOOKUP($H290,CF!$A$4:$K$29,11,FALSE)/12))</f>
        <v>0</v>
      </c>
      <c r="L290" s="702">
        <f t="shared" ca="1" si="66"/>
        <v>0</v>
      </c>
    </row>
    <row r="291" spans="1:12" ht="16.149999999999999" customHeight="1" x14ac:dyDescent="0.45">
      <c r="A291" s="700">
        <f t="shared" ca="1" si="60"/>
        <v>0</v>
      </c>
      <c r="B291" s="701">
        <f t="shared" ca="1" si="61"/>
        <v>0</v>
      </c>
      <c r="C291" s="624">
        <f t="shared" ca="1" si="62"/>
        <v>0</v>
      </c>
      <c r="D291" s="698">
        <f ca="1">IF($A291=0,0,IF(SUMIF(CF!$A$5:$A$29,($A291+2),CF!$G$5:$G$29)/12&gt;C291,-C291,-SUMIF(CF!$A$5:$A$29,($A291+2),CF!$G$5:$G$29)/12))</f>
        <v>0</v>
      </c>
      <c r="E291" s="624">
        <f t="shared" ca="1" si="63"/>
        <v>0</v>
      </c>
      <c r="F291" s="702">
        <f t="shared" ca="1" si="59"/>
        <v>0</v>
      </c>
      <c r="H291" s="514">
        <f t="shared" si="58"/>
        <v>25</v>
      </c>
      <c r="I291" s="626">
        <f t="shared" ca="1" si="64"/>
        <v>0</v>
      </c>
      <c r="J291" s="698">
        <f t="shared" ca="1" si="65"/>
        <v>0</v>
      </c>
      <c r="K291" s="624">
        <f ca="1">IF(VLOOKUP($H291,CF!$A$4:$K$29,11,FALSE)/12&gt;(I291+J291),-(I291+J291),(-VLOOKUP($H291,CF!$A$4:$K$29,11,FALSE)/12))</f>
        <v>0</v>
      </c>
      <c r="L291" s="702">
        <f t="shared" ca="1" si="66"/>
        <v>0</v>
      </c>
    </row>
    <row r="292" spans="1:12" ht="16.149999999999999" customHeight="1" x14ac:dyDescent="0.45">
      <c r="A292" s="700">
        <f t="shared" ca="1" si="60"/>
        <v>0</v>
      </c>
      <c r="B292" s="701">
        <f t="shared" ca="1" si="61"/>
        <v>0</v>
      </c>
      <c r="C292" s="624">
        <f t="shared" ca="1" si="62"/>
        <v>0</v>
      </c>
      <c r="D292" s="698">
        <f ca="1">IF($A292=0,0,IF(SUMIF(CF!$A$5:$A$29,($A292+2),CF!$G$5:$G$29)/12&gt;C292,-C292,-SUMIF(CF!$A$5:$A$29,($A292+2),CF!$G$5:$G$29)/12))</f>
        <v>0</v>
      </c>
      <c r="E292" s="624">
        <f t="shared" ca="1" si="63"/>
        <v>0</v>
      </c>
      <c r="F292" s="702">
        <f t="shared" ca="1" si="59"/>
        <v>0</v>
      </c>
      <c r="H292" s="514">
        <f t="shared" si="58"/>
        <v>25</v>
      </c>
      <c r="I292" s="626">
        <f t="shared" ca="1" si="64"/>
        <v>0</v>
      </c>
      <c r="J292" s="698">
        <f t="shared" ca="1" si="65"/>
        <v>0</v>
      </c>
      <c r="K292" s="624">
        <f ca="1">IF(VLOOKUP($H292,CF!$A$4:$K$29,11,FALSE)/12&gt;(I292+J292),-(I292+J292),(-VLOOKUP($H292,CF!$A$4:$K$29,11,FALSE)/12))</f>
        <v>0</v>
      </c>
      <c r="L292" s="702">
        <f t="shared" ca="1" si="66"/>
        <v>0</v>
      </c>
    </row>
    <row r="293" spans="1:12" ht="16.149999999999999" customHeight="1" x14ac:dyDescent="0.45">
      <c r="A293" s="700">
        <f t="shared" ca="1" si="60"/>
        <v>0</v>
      </c>
      <c r="B293" s="701">
        <f t="shared" ca="1" si="61"/>
        <v>0</v>
      </c>
      <c r="C293" s="624">
        <f t="shared" ca="1" si="62"/>
        <v>0</v>
      </c>
      <c r="D293" s="698">
        <f ca="1">IF($A293=0,0,IF(SUMIF(CF!$A$5:$A$29,($A293+2),CF!$G$5:$G$29)/12&gt;C293,-C293,-SUMIF(CF!$A$5:$A$29,($A293+2),CF!$G$5:$G$29)/12))</f>
        <v>0</v>
      </c>
      <c r="E293" s="624">
        <f t="shared" ca="1" si="63"/>
        <v>0</v>
      </c>
      <c r="F293" s="702">
        <f t="shared" ca="1" si="59"/>
        <v>0</v>
      </c>
      <c r="H293" s="514">
        <f t="shared" ref="H293:H299" si="67">H281+1</f>
        <v>25</v>
      </c>
      <c r="I293" s="626">
        <f t="shared" ca="1" si="64"/>
        <v>0</v>
      </c>
      <c r="J293" s="698">
        <f t="shared" ca="1" si="65"/>
        <v>0</v>
      </c>
      <c r="K293" s="624">
        <f ca="1">IF(VLOOKUP($H293,CF!$A$4:$K$29,11,FALSE)/12&gt;(I293+J293),-(I293+J293),(-VLOOKUP($H293,CF!$A$4:$K$29,11,FALSE)/12))</f>
        <v>0</v>
      </c>
      <c r="L293" s="702">
        <f t="shared" ca="1" si="66"/>
        <v>0</v>
      </c>
    </row>
    <row r="294" spans="1:12" ht="16.149999999999999" customHeight="1" x14ac:dyDescent="0.45">
      <c r="A294" s="700">
        <f t="shared" ca="1" si="60"/>
        <v>0</v>
      </c>
      <c r="B294" s="701">
        <f t="shared" ca="1" si="61"/>
        <v>0</v>
      </c>
      <c r="C294" s="624">
        <f t="shared" ca="1" si="62"/>
        <v>0</v>
      </c>
      <c r="D294" s="698">
        <f ca="1">IF($A294=0,0,IF(SUMIF(CF!$A$5:$A$29,($A294+2),CF!$G$5:$G$29)/12&gt;C294,-C294,-SUMIF(CF!$A$5:$A$29,($A294+2),CF!$G$5:$G$29)/12))</f>
        <v>0</v>
      </c>
      <c r="E294" s="624">
        <f t="shared" ca="1" si="63"/>
        <v>0</v>
      </c>
      <c r="F294" s="702">
        <f t="shared" ca="1" si="59"/>
        <v>0</v>
      </c>
      <c r="H294" s="514">
        <f t="shared" si="67"/>
        <v>25</v>
      </c>
      <c r="I294" s="626">
        <f t="shared" ca="1" si="64"/>
        <v>0</v>
      </c>
      <c r="J294" s="698">
        <f t="shared" ca="1" si="65"/>
        <v>0</v>
      </c>
      <c r="K294" s="624">
        <f ca="1">IF(VLOOKUP($H294,CF!$A$4:$K$29,11,FALSE)/12&gt;(I294+J294),-(I294+J294),(-VLOOKUP($H294,CF!$A$4:$K$29,11,FALSE)/12))</f>
        <v>0</v>
      </c>
      <c r="L294" s="702">
        <f t="shared" ca="1" si="66"/>
        <v>0</v>
      </c>
    </row>
    <row r="295" spans="1:12" ht="16.149999999999999" customHeight="1" x14ac:dyDescent="0.45">
      <c r="A295" s="700">
        <f t="shared" ca="1" si="60"/>
        <v>0</v>
      </c>
      <c r="B295" s="701">
        <f t="shared" ca="1" si="61"/>
        <v>0</v>
      </c>
      <c r="C295" s="624">
        <f t="shared" ca="1" si="62"/>
        <v>0</v>
      </c>
      <c r="D295" s="698">
        <f ca="1">IF($A295=0,0,IF(SUMIF(CF!$A$5:$A$29,($A295+2),CF!$G$5:$G$29)/12&gt;C295,-C295,-SUMIF(CF!$A$5:$A$29,($A295+2),CF!$G$5:$G$29)/12))</f>
        <v>0</v>
      </c>
      <c r="E295" s="624">
        <f t="shared" ca="1" si="63"/>
        <v>0</v>
      </c>
      <c r="F295" s="702">
        <f t="shared" ca="1" si="59"/>
        <v>0</v>
      </c>
      <c r="H295" s="514">
        <f t="shared" si="67"/>
        <v>25</v>
      </c>
      <c r="I295" s="626">
        <f t="shared" ca="1" si="64"/>
        <v>0</v>
      </c>
      <c r="J295" s="698">
        <f t="shared" ca="1" si="65"/>
        <v>0</v>
      </c>
      <c r="K295" s="624">
        <f ca="1">IF(VLOOKUP($H295,CF!$A$4:$K$29,11,FALSE)/12&gt;(I295+J295),-(I295+J295),(-VLOOKUP($H295,CF!$A$4:$K$29,11,FALSE)/12))</f>
        <v>0</v>
      </c>
      <c r="L295" s="702">
        <f t="shared" ca="1" si="66"/>
        <v>0</v>
      </c>
    </row>
    <row r="296" spans="1:12" ht="16.149999999999999" customHeight="1" x14ac:dyDescent="0.45">
      <c r="A296" s="700">
        <f t="shared" ca="1" si="60"/>
        <v>0</v>
      </c>
      <c r="B296" s="701">
        <f t="shared" ca="1" si="61"/>
        <v>0</v>
      </c>
      <c r="C296" s="624">
        <f t="shared" ca="1" si="62"/>
        <v>0</v>
      </c>
      <c r="D296" s="698">
        <f ca="1">IF($A296=0,0,IF(SUMIF(CF!$A$5:$A$29,($A296+2),CF!$G$5:$G$29)/12&gt;C296,-C296,-SUMIF(CF!$A$5:$A$29,($A296+2),CF!$G$5:$G$29)/12))</f>
        <v>0</v>
      </c>
      <c r="E296" s="624">
        <f t="shared" ca="1" si="63"/>
        <v>0</v>
      </c>
      <c r="F296" s="702">
        <f t="shared" ca="1" si="59"/>
        <v>0</v>
      </c>
      <c r="H296" s="514">
        <f t="shared" si="67"/>
        <v>25</v>
      </c>
      <c r="I296" s="626">
        <f t="shared" ca="1" si="64"/>
        <v>0</v>
      </c>
      <c r="J296" s="698">
        <f t="shared" ca="1" si="65"/>
        <v>0</v>
      </c>
      <c r="K296" s="624">
        <f ca="1">IF(VLOOKUP($H296,CF!$A$4:$K$29,11,FALSE)/12&gt;(I296+J296),-(I296+J296),(-VLOOKUP($H296,CF!$A$4:$K$29,11,FALSE)/12))</f>
        <v>0</v>
      </c>
      <c r="L296" s="702">
        <f t="shared" ca="1" si="66"/>
        <v>0</v>
      </c>
    </row>
    <row r="297" spans="1:12" ht="16.149999999999999" customHeight="1" x14ac:dyDescent="0.45">
      <c r="A297" s="700">
        <f t="shared" ca="1" si="60"/>
        <v>0</v>
      </c>
      <c r="B297" s="701">
        <f t="shared" ca="1" si="61"/>
        <v>0</v>
      </c>
      <c r="C297" s="624">
        <f t="shared" ca="1" si="62"/>
        <v>0</v>
      </c>
      <c r="D297" s="698">
        <f ca="1">IF($A297=0,0,IF(SUMIF(CF!$A$5:$A$29,($A297+2),CF!$G$5:$G$29)/12&gt;C297,-C297,-SUMIF(CF!$A$5:$A$29,($A297+2),CF!$G$5:$G$29)/12))</f>
        <v>0</v>
      </c>
      <c r="E297" s="624">
        <f t="shared" ca="1" si="63"/>
        <v>0</v>
      </c>
      <c r="F297" s="702">
        <f t="shared" ca="1" si="59"/>
        <v>0</v>
      </c>
      <c r="H297" s="514">
        <f t="shared" si="67"/>
        <v>25</v>
      </c>
      <c r="I297" s="626">
        <f t="shared" ca="1" si="64"/>
        <v>0</v>
      </c>
      <c r="J297" s="698">
        <f t="shared" ca="1" si="65"/>
        <v>0</v>
      </c>
      <c r="K297" s="624">
        <f ca="1">IF(VLOOKUP($H297,CF!$A$4:$K$29,11,FALSE)/12&gt;(I297+J297),-(I297+J297),(-VLOOKUP($H297,CF!$A$4:$K$29,11,FALSE)/12))</f>
        <v>0</v>
      </c>
      <c r="L297" s="702">
        <f t="shared" ca="1" si="66"/>
        <v>0</v>
      </c>
    </row>
    <row r="298" spans="1:12" ht="16.149999999999999" customHeight="1" x14ac:dyDescent="0.45">
      <c r="A298" s="700">
        <f t="shared" ca="1" si="60"/>
        <v>0</v>
      </c>
      <c r="B298" s="701">
        <f t="shared" ca="1" si="61"/>
        <v>0</v>
      </c>
      <c r="C298" s="624">
        <f t="shared" ca="1" si="62"/>
        <v>0</v>
      </c>
      <c r="D298" s="698">
        <f ca="1">IF($A298=0,0,IF(SUMIF(CF!$A$5:$A$29,($A298+2),CF!$G$5:$G$29)/12&gt;C298,-C298,-SUMIF(CF!$A$5:$A$29,($A298+2),CF!$G$5:$G$29)/12))</f>
        <v>0</v>
      </c>
      <c r="E298" s="624">
        <f t="shared" ca="1" si="63"/>
        <v>0</v>
      </c>
      <c r="F298" s="702">
        <f t="shared" ca="1" si="59"/>
        <v>0</v>
      </c>
      <c r="H298" s="514">
        <f t="shared" si="67"/>
        <v>25</v>
      </c>
      <c r="I298" s="626">
        <f t="shared" ca="1" si="64"/>
        <v>0</v>
      </c>
      <c r="J298" s="698">
        <f t="shared" ca="1" si="65"/>
        <v>0</v>
      </c>
      <c r="K298" s="624">
        <f ca="1">IF(VLOOKUP($H298,CF!$A$4:$K$29,11,FALSE)/12&gt;(I298+J298),-(I298+J298),(-VLOOKUP($H298,CF!$A$4:$K$29,11,FALSE)/12))</f>
        <v>0</v>
      </c>
      <c r="L298" s="702">
        <f t="shared" ca="1" si="66"/>
        <v>0</v>
      </c>
    </row>
    <row r="299" spans="1:12" ht="16.149999999999999" customHeight="1" x14ac:dyDescent="0.45">
      <c r="A299" s="700">
        <f t="shared" ca="1" si="60"/>
        <v>0</v>
      </c>
      <c r="B299" s="701">
        <f t="shared" ca="1" si="61"/>
        <v>0</v>
      </c>
      <c r="C299" s="624">
        <f t="shared" ca="1" si="62"/>
        <v>0</v>
      </c>
      <c r="D299" s="698">
        <f ca="1">IF($A299=0,0,IF(SUMIF(CF!$A$5:$A$29,($A299+2),CF!$G$5:$G$29)/12&gt;C299,-C299,-SUMIF(CF!$A$5:$A$29,($A299+2),CF!$G$5:$G$29)/12))</f>
        <v>0</v>
      </c>
      <c r="E299" s="624">
        <f t="shared" ca="1" si="63"/>
        <v>0</v>
      </c>
      <c r="F299" s="702">
        <f t="shared" ca="1" si="59"/>
        <v>0</v>
      </c>
      <c r="H299" s="514">
        <f t="shared" si="67"/>
        <v>25</v>
      </c>
      <c r="I299" s="626">
        <f t="shared" ca="1" si="64"/>
        <v>0</v>
      </c>
      <c r="J299" s="698">
        <f t="shared" ca="1" si="65"/>
        <v>0</v>
      </c>
      <c r="K299" s="624">
        <f ca="1">IF(VLOOKUP($H299,CF!$A$4:$K$29,11,FALSE)/12&gt;(I299+J299),-(I299+J299),(-VLOOKUP($H299,CF!$A$4:$K$29,11,FALSE)/12))</f>
        <v>0</v>
      </c>
      <c r="L299" s="702">
        <f t="shared" ca="1" si="66"/>
        <v>0</v>
      </c>
    </row>
    <row r="300" spans="1:12" ht="16.149999999999999" customHeight="1" thickBot="1" x14ac:dyDescent="0.5">
      <c r="A300" s="703"/>
      <c r="B300" s="704"/>
      <c r="C300" s="705"/>
      <c r="D300" s="705">
        <f ca="1">SUM(D24:D299)</f>
        <v>-793460.81182507169</v>
      </c>
      <c r="E300" s="705"/>
      <c r="F300" s="706">
        <f ca="1">SUM(F24:F299)</f>
        <v>186911.76477576059</v>
      </c>
      <c r="I300" s="707"/>
      <c r="J300" s="705"/>
      <c r="K300" s="705"/>
      <c r="L300" s="706"/>
    </row>
  </sheetData>
  <mergeCells count="15">
    <mergeCell ref="D6:E6"/>
    <mergeCell ref="A19:C19"/>
    <mergeCell ref="A20:C20"/>
    <mergeCell ref="A21:C21"/>
    <mergeCell ref="A2:C2"/>
    <mergeCell ref="A4:C4"/>
    <mergeCell ref="A8:C8"/>
    <mergeCell ref="A9:C9"/>
    <mergeCell ref="A10:C10"/>
    <mergeCell ref="A11:C11"/>
    <mergeCell ref="A13:C13"/>
    <mergeCell ref="A14:C14"/>
    <mergeCell ref="A15:C15"/>
    <mergeCell ref="A16:C16"/>
    <mergeCell ref="A17:C17"/>
  </mergeCells>
  <printOptions horizontalCentered="1"/>
  <pageMargins left="0.2" right="0.2" top="0.25" bottom="0.25" header="0.3" footer="0.3"/>
  <pageSetup paperSize="9" scale="75"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08"/>
  <sheetViews>
    <sheetView zoomScale="70" zoomScaleNormal="70" workbookViewId="0">
      <pane xSplit="13" ySplit="7" topLeftCell="N8" activePane="bottomRight" state="frozen"/>
      <selection pane="topRight" activeCell="I1" sqref="I1"/>
      <selection pane="bottomLeft" activeCell="A9" sqref="A9"/>
      <selection pane="bottomRight" activeCell="Q34" sqref="Q34"/>
    </sheetView>
  </sheetViews>
  <sheetFormatPr defaultColWidth="8.86328125" defaultRowHeight="12.75" x14ac:dyDescent="0.35"/>
  <cols>
    <col min="1" max="2" width="6.73046875" style="526" customWidth="1"/>
    <col min="3" max="7" width="8.73046875" style="526" customWidth="1"/>
    <col min="8" max="8" width="10.73046875" style="526" customWidth="1"/>
    <col min="9" max="12" width="8.73046875" style="526" customWidth="1"/>
    <col min="13" max="13" width="10.73046875" style="526" customWidth="1"/>
    <col min="14" max="18" width="8.73046875" style="526" customWidth="1"/>
    <col min="19" max="16384" width="8.86328125" style="526"/>
  </cols>
  <sheetData>
    <row r="2" spans="1:18" ht="13.15" thickBot="1" x14ac:dyDescent="0.4"/>
    <row r="3" spans="1:18" ht="19.899999999999999" customHeight="1" x14ac:dyDescent="0.5">
      <c r="A3" s="592"/>
      <c r="B3" s="593"/>
      <c r="C3" s="594" t="s">
        <v>679</v>
      </c>
      <c r="D3" s="590">
        <f>CST_LTD_INTEREST</f>
        <v>6.5000000000000002E-2</v>
      </c>
    </row>
    <row r="4" spans="1:18" ht="19.899999999999999" customHeight="1" thickBot="1" x14ac:dyDescent="0.55000000000000004">
      <c r="A4" s="595"/>
      <c r="B4" s="596"/>
      <c r="C4" s="597" t="s">
        <v>678</v>
      </c>
      <c r="D4" s="598">
        <f>1-CST_ABA_FIN_VALUE</f>
        <v>0.8</v>
      </c>
    </row>
    <row r="5" spans="1:18" ht="19.899999999999999" customHeight="1" x14ac:dyDescent="0.4">
      <c r="A5" s="553"/>
      <c r="B5" s="552"/>
      <c r="C5" s="551"/>
      <c r="D5" s="550"/>
    </row>
    <row r="6" spans="1:18" ht="13.15" thickBot="1" x14ac:dyDescent="0.4"/>
    <row r="7" spans="1:18" ht="54.4" thickBot="1" x14ac:dyDescent="0.4">
      <c r="A7" s="547" t="s">
        <v>166</v>
      </c>
      <c r="B7" s="546" t="s">
        <v>665</v>
      </c>
      <c r="C7" s="546" t="str">
        <f>'CAPEX Schedule'!$A$8</f>
        <v>Building value added</v>
      </c>
      <c r="D7" s="546" t="str">
        <f>'CAPEX Schedule'!$A$9</f>
        <v>Cooling Units</v>
      </c>
      <c r="E7" s="546" t="str">
        <f>'CAPEX Schedule'!$A$10</f>
        <v>Firefighting Equipment</v>
      </c>
      <c r="F7" s="546" t="str">
        <f>'CAPEX Schedule'!$A$11</f>
        <v>Flooring and Dock Levelers</v>
      </c>
      <c r="G7" s="546" t="str">
        <f>'CAPEX Schedule'!$A$12</f>
        <v>Other</v>
      </c>
      <c r="H7" s="545" t="s">
        <v>677</v>
      </c>
      <c r="I7" s="549"/>
      <c r="J7" s="549" t="s">
        <v>337</v>
      </c>
      <c r="K7" s="549"/>
      <c r="L7" s="549" t="s">
        <v>618</v>
      </c>
      <c r="M7" s="545" t="s">
        <v>676</v>
      </c>
      <c r="N7" s="548" t="s">
        <v>669</v>
      </c>
      <c r="O7" s="547" t="s">
        <v>675</v>
      </c>
      <c r="P7" s="546" t="s">
        <v>674</v>
      </c>
      <c r="Q7" s="546" t="s">
        <v>251</v>
      </c>
      <c r="R7" s="545" t="s">
        <v>635</v>
      </c>
    </row>
    <row r="8" spans="1:18" ht="16.149999999999999" customHeight="1" x14ac:dyDescent="0.35">
      <c r="A8" s="695">
        <f t="shared" ref="A8:A71" si="0">ROUNDUP(B8/12,0)</f>
        <v>1</v>
      </c>
      <c r="B8" s="696">
        <v>1</v>
      </c>
      <c r="C8" s="616">
        <f>'CAPEX Schedule'!$C$8/1000</f>
        <v>226019.24342993752</v>
      </c>
      <c r="D8" s="616">
        <f>'CAPEX Schedule'!$C$9/1000</f>
        <v>0</v>
      </c>
      <c r="E8" s="616">
        <f>'CAPEX Schedule'!$C$10/1000</f>
        <v>0</v>
      </c>
      <c r="F8" s="616">
        <f>'CAPEX Schedule'!$C$11/1000</f>
        <v>0</v>
      </c>
      <c r="G8" s="616">
        <f>'CAPEX Schedule'!$C$12/1000</f>
        <v>0</v>
      </c>
      <c r="H8" s="617">
        <f t="shared" ref="H8:H71" si="1">SUM(C8:G8)</f>
        <v>226019.24342993752</v>
      </c>
      <c r="I8" s="544">
        <v>1</v>
      </c>
      <c r="J8" s="619">
        <f>-Rev!$C$81*I8</f>
        <v>2000</v>
      </c>
      <c r="K8" s="544">
        <f t="shared" ref="K8:K31" si="2">1/12</f>
        <v>8.3333333333333329E-2</v>
      </c>
      <c r="L8" s="619">
        <f>-Rev!$C$78*K8</f>
        <v>510.97619944997393</v>
      </c>
      <c r="M8" s="617">
        <f t="shared" ref="M8:M31" si="3">H8+J8+L8</f>
        <v>228530.21962938749</v>
      </c>
      <c r="N8" s="620">
        <f t="shared" ref="N8:N31" si="4">M8-P8</f>
        <v>45706.043925877486</v>
      </c>
      <c r="O8" s="621">
        <v>0</v>
      </c>
      <c r="P8" s="616">
        <f t="shared" ref="P8:P31" si="5">M8*$D$4</f>
        <v>182824.17570351</v>
      </c>
      <c r="Q8" s="616">
        <f t="shared" ref="Q8:Q31" si="6">SUM(O8:P8)*$D$3/12</f>
        <v>990.2976183940126</v>
      </c>
      <c r="R8" s="622">
        <f t="shared" ref="R8:R31" si="7">SUM(O8:Q8)</f>
        <v>183814.47332190402</v>
      </c>
    </row>
    <row r="9" spans="1:18" ht="16.149999999999999" customHeight="1" x14ac:dyDescent="0.35">
      <c r="A9" s="693">
        <f t="shared" si="0"/>
        <v>1</v>
      </c>
      <c r="B9" s="691">
        <f t="shared" ref="B9:B72" si="8">B8+1</f>
        <v>2</v>
      </c>
      <c r="C9" s="616">
        <f>'CAPEX Schedule'!$D$8/1000</f>
        <v>0</v>
      </c>
      <c r="D9" s="616">
        <f>'CAPEX Schedule'!$D$9/1000</f>
        <v>0</v>
      </c>
      <c r="E9" s="616">
        <f>'CAPEX Schedule'!$D$10/1000</f>
        <v>0</v>
      </c>
      <c r="F9" s="616">
        <f>'CAPEX Schedule'!$D$11/1000</f>
        <v>0</v>
      </c>
      <c r="G9" s="616">
        <f>'CAPEX Schedule'!$D$12/1000</f>
        <v>0</v>
      </c>
      <c r="H9" s="617">
        <f t="shared" si="1"/>
        <v>0</v>
      </c>
      <c r="I9" s="544"/>
      <c r="J9" s="619">
        <f>-Rev!$C$81*I9</f>
        <v>0</v>
      </c>
      <c r="K9" s="544">
        <f t="shared" si="2"/>
        <v>8.3333333333333329E-2</v>
      </c>
      <c r="L9" s="619">
        <f>-Rev!$C$78*K9</f>
        <v>510.97619944997393</v>
      </c>
      <c r="M9" s="617">
        <f t="shared" si="3"/>
        <v>510.97619944997393</v>
      </c>
      <c r="N9" s="620">
        <f t="shared" si="4"/>
        <v>102.19523988999475</v>
      </c>
      <c r="O9" s="621">
        <f t="shared" ref="O9:O31" si="9">R8</f>
        <v>183814.47332190402</v>
      </c>
      <c r="P9" s="616">
        <f t="shared" si="5"/>
        <v>408.78095955997918</v>
      </c>
      <c r="Q9" s="616">
        <f t="shared" si="6"/>
        <v>997.87596069126346</v>
      </c>
      <c r="R9" s="622">
        <f t="shared" si="7"/>
        <v>185221.13024215525</v>
      </c>
    </row>
    <row r="10" spans="1:18" ht="16.149999999999999" customHeight="1" x14ac:dyDescent="0.35">
      <c r="A10" s="693">
        <f t="shared" si="0"/>
        <v>1</v>
      </c>
      <c r="B10" s="691">
        <f t="shared" si="8"/>
        <v>3</v>
      </c>
      <c r="C10" s="616">
        <f>'CAPEX Schedule'!$E$8/1000</f>
        <v>0</v>
      </c>
      <c r="D10" s="616">
        <f>'CAPEX Schedule'!$E$9/1000</f>
        <v>0</v>
      </c>
      <c r="E10" s="616">
        <f>'CAPEX Schedule'!$E$10/1000</f>
        <v>0</v>
      </c>
      <c r="F10" s="616">
        <f>'CAPEX Schedule'!$E$11/1000</f>
        <v>0</v>
      </c>
      <c r="G10" s="616">
        <f>'CAPEX Schedule'!$E$12/1000</f>
        <v>0</v>
      </c>
      <c r="H10" s="617">
        <f t="shared" si="1"/>
        <v>0</v>
      </c>
      <c r="I10" s="544"/>
      <c r="J10" s="619">
        <f>-Rev!$C$81*I10</f>
        <v>0</v>
      </c>
      <c r="K10" s="544">
        <f t="shared" si="2"/>
        <v>8.3333333333333329E-2</v>
      </c>
      <c r="L10" s="619">
        <f>-Rev!$C$78*K10</f>
        <v>510.97619944997393</v>
      </c>
      <c r="M10" s="617">
        <f t="shared" si="3"/>
        <v>510.97619944997393</v>
      </c>
      <c r="N10" s="620">
        <f t="shared" si="4"/>
        <v>102.19523988999475</v>
      </c>
      <c r="O10" s="621">
        <f t="shared" si="9"/>
        <v>185221.13024215525</v>
      </c>
      <c r="P10" s="616">
        <f t="shared" si="5"/>
        <v>408.78095955997918</v>
      </c>
      <c r="Q10" s="616">
        <f t="shared" si="6"/>
        <v>1005.4953523426243</v>
      </c>
      <c r="R10" s="622">
        <f t="shared" si="7"/>
        <v>186635.40655405787</v>
      </c>
    </row>
    <row r="11" spans="1:18" ht="16.149999999999999" customHeight="1" x14ac:dyDescent="0.35">
      <c r="A11" s="693">
        <f t="shared" si="0"/>
        <v>1</v>
      </c>
      <c r="B11" s="691">
        <f t="shared" si="8"/>
        <v>4</v>
      </c>
      <c r="C11" s="616">
        <f>'CAPEX Schedule'!$F$8/1000</f>
        <v>0</v>
      </c>
      <c r="D11" s="616">
        <f>'CAPEX Schedule'!$F$9/1000</f>
        <v>0</v>
      </c>
      <c r="E11" s="616">
        <f>'CAPEX Schedule'!$F$10/1000</f>
        <v>0</v>
      </c>
      <c r="F11" s="616">
        <f>'CAPEX Schedule'!$F$11/1000</f>
        <v>0</v>
      </c>
      <c r="G11" s="616">
        <f>'CAPEX Schedule'!$F$12/1000</f>
        <v>0</v>
      </c>
      <c r="H11" s="617">
        <f t="shared" si="1"/>
        <v>0</v>
      </c>
      <c r="I11" s="544"/>
      <c r="J11" s="619">
        <f>-Rev!$C$81*I11</f>
        <v>0</v>
      </c>
      <c r="K11" s="544">
        <f t="shared" si="2"/>
        <v>8.3333333333333329E-2</v>
      </c>
      <c r="L11" s="619">
        <f>-Rev!$C$78*K11</f>
        <v>510.97619944997393</v>
      </c>
      <c r="M11" s="617">
        <f t="shared" si="3"/>
        <v>510.97619944997393</v>
      </c>
      <c r="N11" s="620">
        <f t="shared" si="4"/>
        <v>102.19523988999475</v>
      </c>
      <c r="O11" s="621">
        <f t="shared" si="9"/>
        <v>186635.40655405787</v>
      </c>
      <c r="P11" s="616">
        <f t="shared" si="5"/>
        <v>408.78095955997918</v>
      </c>
      <c r="Q11" s="616">
        <f t="shared" si="6"/>
        <v>1013.1560156987634</v>
      </c>
      <c r="R11" s="622">
        <f t="shared" si="7"/>
        <v>188057.34352931663</v>
      </c>
    </row>
    <row r="12" spans="1:18" ht="16.149999999999999" customHeight="1" x14ac:dyDescent="0.35">
      <c r="A12" s="693">
        <f t="shared" si="0"/>
        <v>1</v>
      </c>
      <c r="B12" s="691">
        <f t="shared" si="8"/>
        <v>5</v>
      </c>
      <c r="C12" s="616">
        <f>'CAPEX Schedule'!$G$8/1000</f>
        <v>0</v>
      </c>
      <c r="D12" s="616">
        <f>'CAPEX Schedule'!$G$9/1000</f>
        <v>0</v>
      </c>
      <c r="E12" s="616">
        <f>'CAPEX Schedule'!$G$10/1000</f>
        <v>0</v>
      </c>
      <c r="F12" s="616">
        <f>'CAPEX Schedule'!$G$11/1000</f>
        <v>0</v>
      </c>
      <c r="G12" s="616">
        <f>'CAPEX Schedule'!$G$12/1000</f>
        <v>0</v>
      </c>
      <c r="H12" s="617">
        <f t="shared" si="1"/>
        <v>0</v>
      </c>
      <c r="I12" s="544"/>
      <c r="J12" s="619">
        <f>-Rev!$C$81*I12</f>
        <v>0</v>
      </c>
      <c r="K12" s="544">
        <f t="shared" si="2"/>
        <v>8.3333333333333329E-2</v>
      </c>
      <c r="L12" s="619">
        <f>-Rev!$C$78*K12</f>
        <v>510.97619944997393</v>
      </c>
      <c r="M12" s="617">
        <f t="shared" si="3"/>
        <v>510.97619944997393</v>
      </c>
      <c r="N12" s="620">
        <f t="shared" si="4"/>
        <v>102.19523988999475</v>
      </c>
      <c r="O12" s="621">
        <f t="shared" si="9"/>
        <v>188057.34352931663</v>
      </c>
      <c r="P12" s="616">
        <f t="shared" si="5"/>
        <v>408.78095955997918</v>
      </c>
      <c r="Q12" s="616">
        <f t="shared" si="6"/>
        <v>1020.8581743147483</v>
      </c>
      <c r="R12" s="622">
        <f t="shared" si="7"/>
        <v>189486.98266319136</v>
      </c>
    </row>
    <row r="13" spans="1:18" ht="16.149999999999999" customHeight="1" x14ac:dyDescent="0.35">
      <c r="A13" s="693">
        <f t="shared" si="0"/>
        <v>1</v>
      </c>
      <c r="B13" s="691">
        <f t="shared" si="8"/>
        <v>6</v>
      </c>
      <c r="C13" s="616">
        <f>'CAPEX Schedule'!$H$8/1000</f>
        <v>0</v>
      </c>
      <c r="D13" s="616">
        <f>'CAPEX Schedule'!$H$9/1000</f>
        <v>0</v>
      </c>
      <c r="E13" s="616">
        <f>'CAPEX Schedule'!$H$10/1000</f>
        <v>0</v>
      </c>
      <c r="F13" s="616">
        <f>'CAPEX Schedule'!$H$11/1000</f>
        <v>0</v>
      </c>
      <c r="G13" s="616">
        <f>'CAPEX Schedule'!$H$12/1000</f>
        <v>0</v>
      </c>
      <c r="H13" s="617">
        <f t="shared" si="1"/>
        <v>0</v>
      </c>
      <c r="I13" s="544"/>
      <c r="J13" s="619">
        <f>-Rev!$C$81*I13</f>
        <v>0</v>
      </c>
      <c r="K13" s="544">
        <f t="shared" si="2"/>
        <v>8.3333333333333329E-2</v>
      </c>
      <c r="L13" s="619">
        <f>-Rev!$C$78*K13</f>
        <v>510.97619944997393</v>
      </c>
      <c r="M13" s="617">
        <f t="shared" si="3"/>
        <v>510.97619944997393</v>
      </c>
      <c r="N13" s="620">
        <f t="shared" si="4"/>
        <v>102.19523988999475</v>
      </c>
      <c r="O13" s="621">
        <f t="shared" si="9"/>
        <v>189486.98266319136</v>
      </c>
      <c r="P13" s="616">
        <f t="shared" si="5"/>
        <v>408.78095955997918</v>
      </c>
      <c r="Q13" s="616">
        <f t="shared" si="6"/>
        <v>1028.6020529565699</v>
      </c>
      <c r="R13" s="622">
        <f t="shared" si="7"/>
        <v>190924.3656757079</v>
      </c>
    </row>
    <row r="14" spans="1:18" ht="16.149999999999999" customHeight="1" x14ac:dyDescent="0.35">
      <c r="A14" s="693">
        <f t="shared" si="0"/>
        <v>1</v>
      </c>
      <c r="B14" s="691">
        <f t="shared" si="8"/>
        <v>7</v>
      </c>
      <c r="C14" s="616">
        <f>'CAPEX Schedule'!$I$8/1000</f>
        <v>90407.697371975009</v>
      </c>
      <c r="D14" s="616">
        <f>'CAPEX Schedule'!$I$9/1000</f>
        <v>0</v>
      </c>
      <c r="E14" s="616">
        <f>'CAPEX Schedule'!$I$10/1000</f>
        <v>0</v>
      </c>
      <c r="F14" s="616">
        <f>'CAPEX Schedule'!$I$11/1000</f>
        <v>0</v>
      </c>
      <c r="G14" s="616">
        <f>'CAPEX Schedule'!$I$12/1000</f>
        <v>0</v>
      </c>
      <c r="H14" s="617">
        <f t="shared" si="1"/>
        <v>90407.697371975009</v>
      </c>
      <c r="I14" s="544"/>
      <c r="J14" s="619">
        <f>-Rev!$C$81*I14</f>
        <v>0</v>
      </c>
      <c r="K14" s="544">
        <f t="shared" si="2"/>
        <v>8.3333333333333329E-2</v>
      </c>
      <c r="L14" s="619">
        <f>-Rev!$C$78*K14</f>
        <v>510.97619944997393</v>
      </c>
      <c r="M14" s="617">
        <f t="shared" si="3"/>
        <v>90918.673571424981</v>
      </c>
      <c r="N14" s="620">
        <f t="shared" si="4"/>
        <v>18183.73471428499</v>
      </c>
      <c r="O14" s="621">
        <f t="shared" si="9"/>
        <v>190924.3656757079</v>
      </c>
      <c r="P14" s="616">
        <f t="shared" si="5"/>
        <v>72734.93885713999</v>
      </c>
      <c r="Q14" s="616">
        <f t="shared" si="6"/>
        <v>1428.1545662195929</v>
      </c>
      <c r="R14" s="622">
        <f t="shared" si="7"/>
        <v>265087.45909906749</v>
      </c>
    </row>
    <row r="15" spans="1:18" ht="16.149999999999999" customHeight="1" x14ac:dyDescent="0.35">
      <c r="A15" s="693">
        <f t="shared" si="0"/>
        <v>1</v>
      </c>
      <c r="B15" s="691">
        <f t="shared" si="8"/>
        <v>8</v>
      </c>
      <c r="C15" s="616">
        <f>'CAPEX Schedule'!$J$8/1000</f>
        <v>45203.848685987505</v>
      </c>
      <c r="D15" s="616">
        <f>'CAPEX Schedule'!$J$9/1000</f>
        <v>0</v>
      </c>
      <c r="E15" s="616">
        <f>'CAPEX Schedule'!$J$10/1000</f>
        <v>0</v>
      </c>
      <c r="F15" s="616">
        <f>'CAPEX Schedule'!$J$11/1000</f>
        <v>0</v>
      </c>
      <c r="G15" s="616">
        <f>'CAPEX Schedule'!$J$12/1000</f>
        <v>0</v>
      </c>
      <c r="H15" s="617">
        <f t="shared" si="1"/>
        <v>45203.848685987505</v>
      </c>
      <c r="I15" s="544"/>
      <c r="J15" s="619">
        <f>-Rev!$C$81*I15</f>
        <v>0</v>
      </c>
      <c r="K15" s="544">
        <f t="shared" si="2"/>
        <v>8.3333333333333329E-2</v>
      </c>
      <c r="L15" s="619">
        <f>-Rev!$C$78*K15</f>
        <v>510.97619944997393</v>
      </c>
      <c r="M15" s="617">
        <f t="shared" si="3"/>
        <v>45714.824885437476</v>
      </c>
      <c r="N15" s="620">
        <f t="shared" si="4"/>
        <v>9142.9649770874967</v>
      </c>
      <c r="O15" s="621">
        <f t="shared" si="9"/>
        <v>265087.45909906749</v>
      </c>
      <c r="P15" s="616">
        <f t="shared" si="5"/>
        <v>36571.859908349979</v>
      </c>
      <c r="Q15" s="616">
        <f t="shared" si="6"/>
        <v>1633.9879779568446</v>
      </c>
      <c r="R15" s="622">
        <f t="shared" si="7"/>
        <v>303293.30698537431</v>
      </c>
    </row>
    <row r="16" spans="1:18" ht="16.149999999999999" customHeight="1" x14ac:dyDescent="0.35">
      <c r="A16" s="693">
        <f t="shared" si="0"/>
        <v>1</v>
      </c>
      <c r="B16" s="691">
        <f t="shared" si="8"/>
        <v>9</v>
      </c>
      <c r="C16" s="616">
        <f>'CAPEX Schedule'!$K$8/1000</f>
        <v>0</v>
      </c>
      <c r="D16" s="616">
        <f>'CAPEX Schedule'!$K$9/1000</f>
        <v>0</v>
      </c>
      <c r="E16" s="616">
        <f>'CAPEX Schedule'!$K$10/1000</f>
        <v>0</v>
      </c>
      <c r="F16" s="616">
        <f>'CAPEX Schedule'!$K$11/1000</f>
        <v>0</v>
      </c>
      <c r="G16" s="616">
        <f>'CAPEX Schedule'!$K$12/1000</f>
        <v>0</v>
      </c>
      <c r="H16" s="617">
        <f t="shared" si="1"/>
        <v>0</v>
      </c>
      <c r="I16" s="544"/>
      <c r="J16" s="619">
        <f>-Rev!$C$81*I16</f>
        <v>0</v>
      </c>
      <c r="K16" s="544">
        <f t="shared" si="2"/>
        <v>8.3333333333333329E-2</v>
      </c>
      <c r="L16" s="619">
        <f>-Rev!$C$78*K16</f>
        <v>510.97619944997393</v>
      </c>
      <c r="M16" s="617">
        <f t="shared" si="3"/>
        <v>510.97619944997393</v>
      </c>
      <c r="N16" s="620">
        <f t="shared" si="4"/>
        <v>102.19523988999475</v>
      </c>
      <c r="O16" s="621">
        <f t="shared" si="9"/>
        <v>303293.30698537431</v>
      </c>
      <c r="P16" s="616">
        <f t="shared" si="5"/>
        <v>408.78095955997918</v>
      </c>
      <c r="Q16" s="616">
        <f t="shared" si="6"/>
        <v>1645.0529763683942</v>
      </c>
      <c r="R16" s="622">
        <f t="shared" si="7"/>
        <v>305347.14092130266</v>
      </c>
    </row>
    <row r="17" spans="1:18" ht="16.149999999999999" customHeight="1" x14ac:dyDescent="0.35">
      <c r="A17" s="693">
        <f t="shared" si="0"/>
        <v>1</v>
      </c>
      <c r="B17" s="691">
        <f t="shared" si="8"/>
        <v>10</v>
      </c>
      <c r="C17" s="616">
        <f>'CAPEX Schedule'!$L$8/1000</f>
        <v>45203.848685987505</v>
      </c>
      <c r="D17" s="616">
        <f>'CAPEX Schedule'!$L$9/1000</f>
        <v>0</v>
      </c>
      <c r="E17" s="616">
        <f>'CAPEX Schedule'!$L$10/1000</f>
        <v>0</v>
      </c>
      <c r="F17" s="616">
        <f>'CAPEX Schedule'!$L$11/1000</f>
        <v>0</v>
      </c>
      <c r="G17" s="616">
        <f>'CAPEX Schedule'!$L$12/1000</f>
        <v>0</v>
      </c>
      <c r="H17" s="617">
        <f t="shared" si="1"/>
        <v>45203.848685987505</v>
      </c>
      <c r="I17" s="544"/>
      <c r="J17" s="619">
        <f>-Rev!$C$81*I17</f>
        <v>0</v>
      </c>
      <c r="K17" s="544">
        <f t="shared" si="2"/>
        <v>8.3333333333333329E-2</v>
      </c>
      <c r="L17" s="619">
        <f>-Rev!$C$78*K17</f>
        <v>510.97619944997393</v>
      </c>
      <c r="M17" s="617">
        <f t="shared" si="3"/>
        <v>45714.824885437476</v>
      </c>
      <c r="N17" s="620">
        <f t="shared" si="4"/>
        <v>9142.9649770874967</v>
      </c>
      <c r="O17" s="621">
        <f t="shared" si="9"/>
        <v>305347.14092130266</v>
      </c>
      <c r="P17" s="616">
        <f t="shared" si="5"/>
        <v>36571.859908349979</v>
      </c>
      <c r="Q17" s="616">
        <f t="shared" si="6"/>
        <v>1852.061254493952</v>
      </c>
      <c r="R17" s="622">
        <f t="shared" si="7"/>
        <v>343771.0620841466</v>
      </c>
    </row>
    <row r="18" spans="1:18" ht="16.149999999999999" customHeight="1" x14ac:dyDescent="0.35">
      <c r="A18" s="693">
        <f t="shared" si="0"/>
        <v>1</v>
      </c>
      <c r="B18" s="691">
        <f t="shared" si="8"/>
        <v>11</v>
      </c>
      <c r="C18" s="616">
        <f>'CAPEX Schedule'!$M$8/1000</f>
        <v>0</v>
      </c>
      <c r="D18" s="616">
        <f>'CAPEX Schedule'!$M$9/1000</f>
        <v>0</v>
      </c>
      <c r="E18" s="616">
        <f>'CAPEX Schedule'!$M$10/1000</f>
        <v>0</v>
      </c>
      <c r="F18" s="616">
        <f>'CAPEX Schedule'!$M$11/1000</f>
        <v>0</v>
      </c>
      <c r="G18" s="616">
        <f>'CAPEX Schedule'!$M$12/1000</f>
        <v>0</v>
      </c>
      <c r="H18" s="617">
        <f t="shared" si="1"/>
        <v>0</v>
      </c>
      <c r="I18" s="544"/>
      <c r="J18" s="619">
        <f>-Rev!$C$81*I18</f>
        <v>0</v>
      </c>
      <c r="K18" s="544">
        <f t="shared" si="2"/>
        <v>8.3333333333333329E-2</v>
      </c>
      <c r="L18" s="619">
        <f>-Rev!$C$78*K18</f>
        <v>510.97619944997393</v>
      </c>
      <c r="M18" s="617">
        <f t="shared" si="3"/>
        <v>510.97619944997393</v>
      </c>
      <c r="N18" s="620">
        <f t="shared" si="4"/>
        <v>102.19523988999475</v>
      </c>
      <c r="O18" s="621">
        <f t="shared" si="9"/>
        <v>343771.0620841466</v>
      </c>
      <c r="P18" s="616">
        <f t="shared" si="5"/>
        <v>408.78095955997918</v>
      </c>
      <c r="Q18" s="616">
        <f t="shared" si="6"/>
        <v>1864.3074831534104</v>
      </c>
      <c r="R18" s="622">
        <f t="shared" si="7"/>
        <v>346044.15052685997</v>
      </c>
    </row>
    <row r="19" spans="1:18" ht="16.149999999999999" customHeight="1" x14ac:dyDescent="0.35">
      <c r="A19" s="693">
        <f t="shared" si="0"/>
        <v>1</v>
      </c>
      <c r="B19" s="691">
        <f t="shared" si="8"/>
        <v>12</v>
      </c>
      <c r="C19" s="616">
        <f>'CAPEX Schedule'!$N$8/1000</f>
        <v>45203.848685987505</v>
      </c>
      <c r="D19" s="616">
        <f>'CAPEX Schedule'!$N$9/1000</f>
        <v>0</v>
      </c>
      <c r="E19" s="616">
        <f>'CAPEX Schedule'!$N$10/1000</f>
        <v>0</v>
      </c>
      <c r="F19" s="616">
        <f>'CAPEX Schedule'!$N$11/1000</f>
        <v>0</v>
      </c>
      <c r="G19" s="616">
        <f>'CAPEX Schedule'!$N$12/1000</f>
        <v>0</v>
      </c>
      <c r="H19" s="617">
        <f t="shared" si="1"/>
        <v>45203.848685987505</v>
      </c>
      <c r="I19" s="544"/>
      <c r="J19" s="619">
        <f>-Rev!$C$81*I19</f>
        <v>0</v>
      </c>
      <c r="K19" s="544">
        <f t="shared" si="2"/>
        <v>8.3333333333333329E-2</v>
      </c>
      <c r="L19" s="619">
        <f>-Rev!$C$78*K19</f>
        <v>510.97619944997393</v>
      </c>
      <c r="M19" s="617">
        <f t="shared" si="3"/>
        <v>45714.824885437476</v>
      </c>
      <c r="N19" s="620">
        <f t="shared" si="4"/>
        <v>9142.9649770874967</v>
      </c>
      <c r="O19" s="621">
        <f t="shared" si="9"/>
        <v>346044.15052685997</v>
      </c>
      <c r="P19" s="616">
        <f t="shared" si="5"/>
        <v>36571.859908349979</v>
      </c>
      <c r="Q19" s="616">
        <f t="shared" si="6"/>
        <v>2072.5033898573874</v>
      </c>
      <c r="R19" s="622">
        <f t="shared" si="7"/>
        <v>384688.51382506732</v>
      </c>
    </row>
    <row r="20" spans="1:18" ht="16.149999999999999" customHeight="1" x14ac:dyDescent="0.35">
      <c r="A20" s="693">
        <f t="shared" si="0"/>
        <v>2</v>
      </c>
      <c r="B20" s="691">
        <f t="shared" si="8"/>
        <v>13</v>
      </c>
      <c r="C20" s="616">
        <f>'CAPEX Schedule'!$O$8/1000</f>
        <v>226019.24342993752</v>
      </c>
      <c r="D20" s="616">
        <f>'CAPEX Schedule'!$O$9/1000</f>
        <v>0</v>
      </c>
      <c r="E20" s="616">
        <f>'CAPEX Schedule'!$O$10/1000</f>
        <v>0</v>
      </c>
      <c r="F20" s="616">
        <f>'CAPEX Schedule'!$O$11/1000</f>
        <v>0</v>
      </c>
      <c r="G20" s="616">
        <f>'CAPEX Schedule'!$O$12/1000</f>
        <v>0</v>
      </c>
      <c r="H20" s="617">
        <f t="shared" si="1"/>
        <v>226019.24342993752</v>
      </c>
      <c r="I20" s="544">
        <v>1</v>
      </c>
      <c r="J20" s="619">
        <f>-Rev!$D$81*I20</f>
        <v>0</v>
      </c>
      <c r="K20" s="544">
        <f t="shared" si="2"/>
        <v>8.3333333333333329E-2</v>
      </c>
      <c r="L20" s="619">
        <f>-Rev!$D$78*K20</f>
        <v>533.88253278330728</v>
      </c>
      <c r="M20" s="617">
        <f t="shared" si="3"/>
        <v>226553.12596272083</v>
      </c>
      <c r="N20" s="620">
        <f t="shared" si="4"/>
        <v>45310.625192544161</v>
      </c>
      <c r="O20" s="621">
        <f t="shared" si="9"/>
        <v>384688.51382506732</v>
      </c>
      <c r="P20" s="616">
        <f t="shared" si="5"/>
        <v>181242.50077017667</v>
      </c>
      <c r="Q20" s="616">
        <f t="shared" si="6"/>
        <v>3065.4596623909051</v>
      </c>
      <c r="R20" s="622">
        <f t="shared" si="7"/>
        <v>568996.47425763484</v>
      </c>
    </row>
    <row r="21" spans="1:18" ht="16.149999999999999" customHeight="1" x14ac:dyDescent="0.35">
      <c r="A21" s="693">
        <f t="shared" si="0"/>
        <v>2</v>
      </c>
      <c r="B21" s="691">
        <f t="shared" si="8"/>
        <v>14</v>
      </c>
      <c r="C21" s="616">
        <f>'CAPEX Schedule'!$P$8/1000</f>
        <v>0</v>
      </c>
      <c r="D21" s="616">
        <f>'CAPEX Schedule'!$P$9/1000</f>
        <v>0</v>
      </c>
      <c r="E21" s="616">
        <f>'CAPEX Schedule'!$P$10/1000</f>
        <v>0</v>
      </c>
      <c r="F21" s="616">
        <f>'CAPEX Schedule'!$P$11/1000</f>
        <v>0</v>
      </c>
      <c r="G21" s="616">
        <f>'CAPEX Schedule'!$P$12/1000</f>
        <v>0</v>
      </c>
      <c r="H21" s="617">
        <f t="shared" si="1"/>
        <v>0</v>
      </c>
      <c r="I21" s="544"/>
      <c r="J21" s="619">
        <f>-Rev!$D$81*I21</f>
        <v>0</v>
      </c>
      <c r="K21" s="544">
        <f t="shared" si="2"/>
        <v>8.3333333333333329E-2</v>
      </c>
      <c r="L21" s="619">
        <f>-Rev!$D$78*K21</f>
        <v>533.88253278330728</v>
      </c>
      <c r="M21" s="617">
        <f t="shared" si="3"/>
        <v>533.88253278330728</v>
      </c>
      <c r="N21" s="620">
        <f t="shared" si="4"/>
        <v>106.77650655666145</v>
      </c>
      <c r="O21" s="621">
        <f t="shared" si="9"/>
        <v>568996.47425763484</v>
      </c>
      <c r="P21" s="616">
        <f t="shared" si="5"/>
        <v>427.10602622664584</v>
      </c>
      <c r="Q21" s="616">
        <f t="shared" si="6"/>
        <v>3084.3777265375829</v>
      </c>
      <c r="R21" s="622">
        <f t="shared" si="7"/>
        <v>572507.95801039902</v>
      </c>
    </row>
    <row r="22" spans="1:18" ht="16.149999999999999" customHeight="1" x14ac:dyDescent="0.35">
      <c r="A22" s="693">
        <f t="shared" si="0"/>
        <v>2</v>
      </c>
      <c r="B22" s="691">
        <f t="shared" si="8"/>
        <v>15</v>
      </c>
      <c r="C22" s="616">
        <f>'CAPEX Schedule'!$Q$8/1000</f>
        <v>0</v>
      </c>
      <c r="D22" s="616">
        <f>'CAPEX Schedule'!$Q$9/1000</f>
        <v>0</v>
      </c>
      <c r="E22" s="616">
        <f>'CAPEX Schedule'!$Q$10/1000</f>
        <v>0</v>
      </c>
      <c r="F22" s="616">
        <f>'CAPEX Schedule'!$Q$11/1000</f>
        <v>0</v>
      </c>
      <c r="G22" s="616">
        <f>'CAPEX Schedule'!$Q$12/1000</f>
        <v>0</v>
      </c>
      <c r="H22" s="617">
        <f t="shared" si="1"/>
        <v>0</v>
      </c>
      <c r="I22" s="544"/>
      <c r="J22" s="619">
        <f>-Rev!$D$81*I22</f>
        <v>0</v>
      </c>
      <c r="K22" s="544">
        <f t="shared" si="2"/>
        <v>8.3333333333333329E-2</v>
      </c>
      <c r="L22" s="619">
        <f>-Rev!$D$78*K22</f>
        <v>533.88253278330728</v>
      </c>
      <c r="M22" s="617">
        <f t="shared" si="3"/>
        <v>533.88253278330728</v>
      </c>
      <c r="N22" s="620">
        <f t="shared" si="4"/>
        <v>106.77650655666145</v>
      </c>
      <c r="O22" s="621">
        <f t="shared" si="9"/>
        <v>572507.95801039902</v>
      </c>
      <c r="P22" s="616">
        <f t="shared" si="5"/>
        <v>427.10602622664584</v>
      </c>
      <c r="Q22" s="616">
        <f t="shared" si="6"/>
        <v>3103.3982635317225</v>
      </c>
      <c r="R22" s="622">
        <f t="shared" si="7"/>
        <v>576038.46230015741</v>
      </c>
    </row>
    <row r="23" spans="1:18" ht="16.149999999999999" customHeight="1" x14ac:dyDescent="0.35">
      <c r="A23" s="693">
        <f t="shared" si="0"/>
        <v>2</v>
      </c>
      <c r="B23" s="691">
        <f t="shared" si="8"/>
        <v>16</v>
      </c>
      <c r="C23" s="616">
        <f>'CAPEX Schedule'!$R$8/1000</f>
        <v>0</v>
      </c>
      <c r="D23" s="616">
        <f>'CAPEX Schedule'!$R$9/1000</f>
        <v>0</v>
      </c>
      <c r="E23" s="616">
        <f>'CAPEX Schedule'!$R$10/1000</f>
        <v>0</v>
      </c>
      <c r="F23" s="616">
        <f>'CAPEX Schedule'!$R$11/1000</f>
        <v>0</v>
      </c>
      <c r="G23" s="616">
        <f>'CAPEX Schedule'!$R$12/1000</f>
        <v>0</v>
      </c>
      <c r="H23" s="617">
        <f t="shared" si="1"/>
        <v>0</v>
      </c>
      <c r="I23" s="544"/>
      <c r="J23" s="619">
        <f>-Rev!$D$81*I23</f>
        <v>0</v>
      </c>
      <c r="K23" s="544">
        <f t="shared" si="2"/>
        <v>8.3333333333333329E-2</v>
      </c>
      <c r="L23" s="619">
        <f>-Rev!$D$78*K23</f>
        <v>533.88253278330728</v>
      </c>
      <c r="M23" s="617">
        <f t="shared" si="3"/>
        <v>533.88253278330728</v>
      </c>
      <c r="N23" s="620">
        <f t="shared" si="4"/>
        <v>106.77650655666145</v>
      </c>
      <c r="O23" s="621">
        <f t="shared" si="9"/>
        <v>576038.46230015741</v>
      </c>
      <c r="P23" s="616">
        <f t="shared" si="5"/>
        <v>427.10602622664584</v>
      </c>
      <c r="Q23" s="616">
        <f t="shared" si="6"/>
        <v>3122.5218284345806</v>
      </c>
      <c r="R23" s="622">
        <f t="shared" si="7"/>
        <v>579588.09015481861</v>
      </c>
    </row>
    <row r="24" spans="1:18" ht="16.149999999999999" customHeight="1" x14ac:dyDescent="0.35">
      <c r="A24" s="693">
        <f t="shared" si="0"/>
        <v>2</v>
      </c>
      <c r="B24" s="691">
        <f t="shared" si="8"/>
        <v>17</v>
      </c>
      <c r="C24" s="616">
        <f>'CAPEX Schedule'!$S$8/1000</f>
        <v>0</v>
      </c>
      <c r="D24" s="616">
        <f>'CAPEX Schedule'!$S$9/1000</f>
        <v>0</v>
      </c>
      <c r="E24" s="616">
        <f>'CAPEX Schedule'!$S$10/1000</f>
        <v>0</v>
      </c>
      <c r="F24" s="616">
        <f>'CAPEX Schedule'!$S$11/1000</f>
        <v>0</v>
      </c>
      <c r="G24" s="616">
        <f>'CAPEX Schedule'!$S$12/1000</f>
        <v>0</v>
      </c>
      <c r="H24" s="617">
        <f t="shared" si="1"/>
        <v>0</v>
      </c>
      <c r="I24" s="544"/>
      <c r="J24" s="619">
        <f>-Rev!$D$81*I24</f>
        <v>0</v>
      </c>
      <c r="K24" s="544">
        <f t="shared" si="2"/>
        <v>8.3333333333333329E-2</v>
      </c>
      <c r="L24" s="619">
        <f>-Rev!$D$78*K24</f>
        <v>533.88253278330728</v>
      </c>
      <c r="M24" s="617">
        <f t="shared" si="3"/>
        <v>533.88253278330728</v>
      </c>
      <c r="N24" s="620">
        <f t="shared" si="4"/>
        <v>106.77650655666145</v>
      </c>
      <c r="O24" s="621">
        <f t="shared" si="9"/>
        <v>579588.09015481861</v>
      </c>
      <c r="P24" s="616">
        <f t="shared" si="5"/>
        <v>427.10602622664584</v>
      </c>
      <c r="Q24" s="616">
        <f t="shared" si="6"/>
        <v>3141.7489793139953</v>
      </c>
      <c r="R24" s="622">
        <f t="shared" si="7"/>
        <v>583156.94516035926</v>
      </c>
    </row>
    <row r="25" spans="1:18" ht="16.149999999999999" customHeight="1" x14ac:dyDescent="0.35">
      <c r="A25" s="693">
        <f t="shared" si="0"/>
        <v>2</v>
      </c>
      <c r="B25" s="691">
        <f t="shared" si="8"/>
        <v>18</v>
      </c>
      <c r="C25" s="616">
        <f>'CAPEX Schedule'!$T$8/1000</f>
        <v>0</v>
      </c>
      <c r="D25" s="616">
        <f>'CAPEX Schedule'!$T$9/1000</f>
        <v>0</v>
      </c>
      <c r="E25" s="616">
        <f>'CAPEX Schedule'!$T$10/1000</f>
        <v>0</v>
      </c>
      <c r="F25" s="616">
        <f>'CAPEX Schedule'!$T$11/1000</f>
        <v>0</v>
      </c>
      <c r="G25" s="616">
        <f>'CAPEX Schedule'!$T$12/1000</f>
        <v>0</v>
      </c>
      <c r="H25" s="617">
        <f t="shared" si="1"/>
        <v>0</v>
      </c>
      <c r="I25" s="544"/>
      <c r="J25" s="619">
        <f>-Rev!$D$81*I25</f>
        <v>0</v>
      </c>
      <c r="K25" s="544">
        <f t="shared" si="2"/>
        <v>8.3333333333333329E-2</v>
      </c>
      <c r="L25" s="619">
        <f>-Rev!$D$78*K25</f>
        <v>533.88253278330728</v>
      </c>
      <c r="M25" s="617">
        <f t="shared" si="3"/>
        <v>533.88253278330728</v>
      </c>
      <c r="N25" s="620">
        <f t="shared" si="4"/>
        <v>106.77650655666145</v>
      </c>
      <c r="O25" s="621">
        <f t="shared" si="9"/>
        <v>583156.94516035926</v>
      </c>
      <c r="P25" s="616">
        <f t="shared" si="5"/>
        <v>427.10602622664584</v>
      </c>
      <c r="Q25" s="616">
        <f t="shared" si="6"/>
        <v>3161.0802772606735</v>
      </c>
      <c r="R25" s="622">
        <f t="shared" si="7"/>
        <v>586745.13146384654</v>
      </c>
    </row>
    <row r="26" spans="1:18" ht="16.149999999999999" customHeight="1" x14ac:dyDescent="0.35">
      <c r="A26" s="693">
        <f t="shared" si="0"/>
        <v>2</v>
      </c>
      <c r="B26" s="691">
        <f t="shared" si="8"/>
        <v>19</v>
      </c>
      <c r="C26" s="616">
        <f>'CAPEX Schedule'!$U$8/1000</f>
        <v>90407.697371975009</v>
      </c>
      <c r="D26" s="616">
        <f>'CAPEX Schedule'!$U$9/1000</f>
        <v>0</v>
      </c>
      <c r="E26" s="616">
        <f>'CAPEX Schedule'!$U$10/1000</f>
        <v>0</v>
      </c>
      <c r="F26" s="616">
        <f>'CAPEX Schedule'!$U$11/1000</f>
        <v>0</v>
      </c>
      <c r="G26" s="616">
        <f>'CAPEX Schedule'!$U$12/1000</f>
        <v>0</v>
      </c>
      <c r="H26" s="617">
        <f t="shared" si="1"/>
        <v>90407.697371975009</v>
      </c>
      <c r="I26" s="544"/>
      <c r="J26" s="619">
        <f>-Rev!$D$81*I26</f>
        <v>0</v>
      </c>
      <c r="K26" s="544">
        <f t="shared" si="2"/>
        <v>8.3333333333333329E-2</v>
      </c>
      <c r="L26" s="619">
        <f>-Rev!$D$78*K26</f>
        <v>533.88253278330728</v>
      </c>
      <c r="M26" s="617">
        <f t="shared" si="3"/>
        <v>90941.579904758313</v>
      </c>
      <c r="N26" s="620">
        <f t="shared" si="4"/>
        <v>18188.315980951666</v>
      </c>
      <c r="O26" s="621">
        <f t="shared" si="9"/>
        <v>586745.13146384654</v>
      </c>
      <c r="P26" s="616">
        <f t="shared" si="5"/>
        <v>72753.263923806648</v>
      </c>
      <c r="Q26" s="616">
        <f t="shared" si="6"/>
        <v>3572.2829750164547</v>
      </c>
      <c r="R26" s="622">
        <f t="shared" si="7"/>
        <v>663070.67836266966</v>
      </c>
    </row>
    <row r="27" spans="1:18" ht="16.149999999999999" customHeight="1" x14ac:dyDescent="0.35">
      <c r="A27" s="693">
        <f t="shared" si="0"/>
        <v>2</v>
      </c>
      <c r="B27" s="691">
        <f t="shared" si="8"/>
        <v>20</v>
      </c>
      <c r="C27" s="616">
        <f>'CAPEX Schedule'!$V$8/1000</f>
        <v>0</v>
      </c>
      <c r="D27" s="616">
        <f>'CAPEX Schedule'!$V$9/1000</f>
        <v>0</v>
      </c>
      <c r="E27" s="616">
        <f>'CAPEX Schedule'!$V$10/1000</f>
        <v>0</v>
      </c>
      <c r="F27" s="616">
        <f>'CAPEX Schedule'!$V$11/1000</f>
        <v>0</v>
      </c>
      <c r="G27" s="616">
        <f>'CAPEX Schedule'!$V$12/1000</f>
        <v>0</v>
      </c>
      <c r="H27" s="617">
        <f t="shared" si="1"/>
        <v>0</v>
      </c>
      <c r="I27" s="544"/>
      <c r="J27" s="619">
        <f>-Rev!$D$81*I27</f>
        <v>0</v>
      </c>
      <c r="K27" s="544">
        <f t="shared" si="2"/>
        <v>8.3333333333333329E-2</v>
      </c>
      <c r="L27" s="619">
        <f>-Rev!$D$78*K27</f>
        <v>533.88253278330728</v>
      </c>
      <c r="M27" s="617">
        <f t="shared" si="3"/>
        <v>533.88253278330728</v>
      </c>
      <c r="N27" s="620">
        <f t="shared" si="4"/>
        <v>106.77650655666145</v>
      </c>
      <c r="O27" s="621">
        <f t="shared" si="9"/>
        <v>663070.67836266966</v>
      </c>
      <c r="P27" s="616">
        <f t="shared" si="5"/>
        <v>427.10602622664584</v>
      </c>
      <c r="Q27" s="616">
        <f t="shared" si="6"/>
        <v>3593.9463321065218</v>
      </c>
      <c r="R27" s="622">
        <f t="shared" si="7"/>
        <v>667091.73072100279</v>
      </c>
    </row>
    <row r="28" spans="1:18" ht="16.149999999999999" customHeight="1" x14ac:dyDescent="0.35">
      <c r="A28" s="693">
        <f t="shared" si="0"/>
        <v>2</v>
      </c>
      <c r="B28" s="691">
        <f t="shared" si="8"/>
        <v>21</v>
      </c>
      <c r="C28" s="616">
        <f>'CAPEX Schedule'!$W$8/1000</f>
        <v>45203.848685987505</v>
      </c>
      <c r="D28" s="616">
        <f>'CAPEX Schedule'!$W$9/1000</f>
        <v>0</v>
      </c>
      <c r="E28" s="616">
        <f>'CAPEX Schedule'!$W$10/1000</f>
        <v>0</v>
      </c>
      <c r="F28" s="616">
        <f>'CAPEX Schedule'!$W$11/1000</f>
        <v>0</v>
      </c>
      <c r="G28" s="616">
        <f>'CAPEX Schedule'!$W$12/1000</f>
        <v>0</v>
      </c>
      <c r="H28" s="617">
        <f t="shared" si="1"/>
        <v>45203.848685987505</v>
      </c>
      <c r="I28" s="544"/>
      <c r="J28" s="619">
        <f>-Rev!$D$81*I28</f>
        <v>0</v>
      </c>
      <c r="K28" s="544">
        <f t="shared" si="2"/>
        <v>8.3333333333333329E-2</v>
      </c>
      <c r="L28" s="619">
        <f>-Rev!$D$78*K28</f>
        <v>533.88253278330728</v>
      </c>
      <c r="M28" s="617">
        <f t="shared" si="3"/>
        <v>45737.731218770808</v>
      </c>
      <c r="N28" s="620">
        <f t="shared" si="4"/>
        <v>9147.5462437541573</v>
      </c>
      <c r="O28" s="621">
        <f t="shared" si="9"/>
        <v>667091.73072100279</v>
      </c>
      <c r="P28" s="616">
        <f t="shared" si="5"/>
        <v>36590.184975016651</v>
      </c>
      <c r="Q28" s="616">
        <f t="shared" si="6"/>
        <v>3811.6103766867723</v>
      </c>
      <c r="R28" s="622">
        <f t="shared" si="7"/>
        <v>707493.52607270621</v>
      </c>
    </row>
    <row r="29" spans="1:18" ht="16.149999999999999" customHeight="1" x14ac:dyDescent="0.35">
      <c r="A29" s="693">
        <f t="shared" si="0"/>
        <v>2</v>
      </c>
      <c r="B29" s="691">
        <f t="shared" si="8"/>
        <v>22</v>
      </c>
      <c r="C29" s="616">
        <f>'CAPEX Schedule'!$X$8/1000</f>
        <v>45203.848685987505</v>
      </c>
      <c r="D29" s="616">
        <f>'CAPEX Schedule'!$X$9/1000</f>
        <v>0</v>
      </c>
      <c r="E29" s="616">
        <f>'CAPEX Schedule'!$X$10/1000</f>
        <v>0</v>
      </c>
      <c r="F29" s="616">
        <f>'CAPEX Schedule'!$X$11/1000</f>
        <v>0</v>
      </c>
      <c r="G29" s="616">
        <f>'CAPEX Schedule'!$X$12/1000</f>
        <v>0</v>
      </c>
      <c r="H29" s="617">
        <f t="shared" si="1"/>
        <v>45203.848685987505</v>
      </c>
      <c r="I29" s="544"/>
      <c r="J29" s="619">
        <f>-Rev!$D$81*I29</f>
        <v>0</v>
      </c>
      <c r="K29" s="544">
        <f t="shared" si="2"/>
        <v>8.3333333333333329E-2</v>
      </c>
      <c r="L29" s="619">
        <f>-Rev!$D$78*K29</f>
        <v>533.88253278330728</v>
      </c>
      <c r="M29" s="617">
        <f t="shared" si="3"/>
        <v>45737.731218770808</v>
      </c>
      <c r="N29" s="620">
        <f t="shared" si="4"/>
        <v>9147.5462437541573</v>
      </c>
      <c r="O29" s="621">
        <f t="shared" si="9"/>
        <v>707493.52607270621</v>
      </c>
      <c r="P29" s="616">
        <f t="shared" si="5"/>
        <v>36590.184975016651</v>
      </c>
      <c r="Q29" s="616">
        <f t="shared" si="6"/>
        <v>4030.4534348418324</v>
      </c>
      <c r="R29" s="622">
        <f t="shared" si="7"/>
        <v>748114.16448256467</v>
      </c>
    </row>
    <row r="30" spans="1:18" ht="16.149999999999999" customHeight="1" x14ac:dyDescent="0.35">
      <c r="A30" s="693">
        <f t="shared" si="0"/>
        <v>2</v>
      </c>
      <c r="B30" s="691">
        <f t="shared" si="8"/>
        <v>23</v>
      </c>
      <c r="C30" s="616">
        <f>'CAPEX Schedule'!$Y$8/1000</f>
        <v>0</v>
      </c>
      <c r="D30" s="616">
        <f>'CAPEX Schedule'!$Y$9/1000</f>
        <v>0</v>
      </c>
      <c r="E30" s="616">
        <f>'CAPEX Schedule'!$Y$10/1000</f>
        <v>0</v>
      </c>
      <c r="F30" s="616">
        <f>'CAPEX Schedule'!$Y$11/1000</f>
        <v>0</v>
      </c>
      <c r="G30" s="616">
        <f>'CAPEX Schedule'!$Y$12/1000</f>
        <v>0</v>
      </c>
      <c r="H30" s="617">
        <f t="shared" si="1"/>
        <v>0</v>
      </c>
      <c r="I30" s="544"/>
      <c r="J30" s="619">
        <f>-Rev!$D$81*I30</f>
        <v>0</v>
      </c>
      <c r="K30" s="544">
        <f t="shared" si="2"/>
        <v>8.3333333333333329E-2</v>
      </c>
      <c r="L30" s="619">
        <f>-Rev!$D$78*K30</f>
        <v>533.88253278330728</v>
      </c>
      <c r="M30" s="617">
        <f t="shared" si="3"/>
        <v>533.88253278330728</v>
      </c>
      <c r="N30" s="620">
        <f t="shared" si="4"/>
        <v>106.77650655666145</v>
      </c>
      <c r="O30" s="621">
        <f t="shared" si="9"/>
        <v>748114.16448256467</v>
      </c>
      <c r="P30" s="616">
        <f t="shared" si="5"/>
        <v>427.10602622664584</v>
      </c>
      <c r="Q30" s="616">
        <f t="shared" si="6"/>
        <v>4054.5985485892866</v>
      </c>
      <c r="R30" s="622">
        <f t="shared" si="7"/>
        <v>752595.86905738059</v>
      </c>
    </row>
    <row r="31" spans="1:18" ht="16.149999999999999" customHeight="1" x14ac:dyDescent="0.35">
      <c r="A31" s="693">
        <f t="shared" si="0"/>
        <v>2</v>
      </c>
      <c r="B31" s="691">
        <f t="shared" si="8"/>
        <v>24</v>
      </c>
      <c r="C31" s="616">
        <f>'CAPEX Schedule'!$Z$8/1000</f>
        <v>45203.848685987505</v>
      </c>
      <c r="D31" s="616">
        <f>'CAPEX Schedule'!$Z$9/1000</f>
        <v>0</v>
      </c>
      <c r="E31" s="616">
        <f>'CAPEX Schedule'!$Z$10/1000</f>
        <v>0</v>
      </c>
      <c r="F31" s="616">
        <f>'CAPEX Schedule'!$Z$11/1000</f>
        <v>0</v>
      </c>
      <c r="G31" s="616">
        <f>'CAPEX Schedule'!$Z$12/1000</f>
        <v>0</v>
      </c>
      <c r="H31" s="617">
        <f t="shared" si="1"/>
        <v>45203.848685987505</v>
      </c>
      <c r="I31" s="544"/>
      <c r="J31" s="619">
        <f>-Rev!$D$81*I31</f>
        <v>0</v>
      </c>
      <c r="K31" s="544">
        <f t="shared" si="2"/>
        <v>8.3333333333333329E-2</v>
      </c>
      <c r="L31" s="619">
        <f>-Rev!$D$78*K31</f>
        <v>533.88253278330728</v>
      </c>
      <c r="M31" s="617">
        <f t="shared" si="3"/>
        <v>45737.731218770808</v>
      </c>
      <c r="N31" s="620">
        <f t="shared" si="4"/>
        <v>9147.5462437541573</v>
      </c>
      <c r="O31" s="621">
        <f t="shared" si="9"/>
        <v>752595.86905738059</v>
      </c>
      <c r="P31" s="616">
        <f t="shared" si="5"/>
        <v>36590.184975016651</v>
      </c>
      <c r="Q31" s="616">
        <f t="shared" si="6"/>
        <v>4274.7577926754848</v>
      </c>
      <c r="R31" s="622">
        <f t="shared" si="7"/>
        <v>793460.81182507274</v>
      </c>
    </row>
    <row r="32" spans="1:18" ht="16.149999999999999" customHeight="1" x14ac:dyDescent="0.35">
      <c r="A32" s="693">
        <f t="shared" si="0"/>
        <v>3</v>
      </c>
      <c r="B32" s="691">
        <f t="shared" si="8"/>
        <v>25</v>
      </c>
      <c r="C32" s="616">
        <f>'CAPEX Schedule'!$AA$8/1000</f>
        <v>0</v>
      </c>
      <c r="D32" s="616">
        <f>'CAPEX Schedule'!$AA$9/1000</f>
        <v>0</v>
      </c>
      <c r="E32" s="616">
        <f>'CAPEX Schedule'!$AA$10/1000</f>
        <v>0</v>
      </c>
      <c r="F32" s="616">
        <f>'CAPEX Schedule'!$AA$11/1000</f>
        <v>0</v>
      </c>
      <c r="G32" s="616">
        <f>'CAPEX Schedule'!$AA$12/1000</f>
        <v>0</v>
      </c>
      <c r="H32" s="617">
        <f t="shared" si="1"/>
        <v>0</v>
      </c>
      <c r="I32" s="543"/>
      <c r="J32" s="543"/>
      <c r="K32" s="543"/>
      <c r="L32" s="543"/>
      <c r="M32" s="617">
        <f t="shared" ref="M32:M95" si="10">SUM(C32:G32)</f>
        <v>0</v>
      </c>
      <c r="N32" s="542"/>
      <c r="O32" s="541"/>
      <c r="P32" s="540"/>
      <c r="Q32" s="540"/>
      <c r="R32" s="539"/>
    </row>
    <row r="33" spans="1:18" ht="16.149999999999999" customHeight="1" x14ac:dyDescent="0.35">
      <c r="A33" s="693">
        <f t="shared" si="0"/>
        <v>3</v>
      </c>
      <c r="B33" s="691">
        <f t="shared" si="8"/>
        <v>26</v>
      </c>
      <c r="C33" s="616">
        <f>'CAPEX Schedule'!$AB$8/1000</f>
        <v>0</v>
      </c>
      <c r="D33" s="616">
        <f>'CAPEX Schedule'!$AB$9/1000</f>
        <v>0</v>
      </c>
      <c r="E33" s="616">
        <f>'CAPEX Schedule'!$AB$10/1000</f>
        <v>0</v>
      </c>
      <c r="F33" s="616">
        <f>'CAPEX Schedule'!$AB$11/1000</f>
        <v>0</v>
      </c>
      <c r="G33" s="616">
        <f>'CAPEX Schedule'!$AB$12/1000</f>
        <v>0</v>
      </c>
      <c r="H33" s="617">
        <f t="shared" si="1"/>
        <v>0</v>
      </c>
      <c r="I33" s="543"/>
      <c r="J33" s="543"/>
      <c r="K33" s="543"/>
      <c r="L33" s="543"/>
      <c r="M33" s="617">
        <f t="shared" si="10"/>
        <v>0</v>
      </c>
      <c r="N33" s="542"/>
      <c r="O33" s="541"/>
      <c r="P33" s="540"/>
      <c r="Q33" s="540"/>
      <c r="R33" s="539"/>
    </row>
    <row r="34" spans="1:18" ht="16.149999999999999" customHeight="1" x14ac:dyDescent="0.35">
      <c r="A34" s="693">
        <f t="shared" si="0"/>
        <v>3</v>
      </c>
      <c r="B34" s="691">
        <f t="shared" si="8"/>
        <v>27</v>
      </c>
      <c r="C34" s="616">
        <f>'CAPEX Schedule'!$AC$8/1000</f>
        <v>0</v>
      </c>
      <c r="D34" s="616">
        <f>'CAPEX Schedule'!$AC$9/1000</f>
        <v>0</v>
      </c>
      <c r="E34" s="616">
        <f>'CAPEX Schedule'!$AC$10/1000</f>
        <v>0</v>
      </c>
      <c r="F34" s="616">
        <f>'CAPEX Schedule'!$AC$11/1000</f>
        <v>0</v>
      </c>
      <c r="G34" s="616">
        <f>'CAPEX Schedule'!$AC$12/1000</f>
        <v>0</v>
      </c>
      <c r="H34" s="617">
        <f t="shared" si="1"/>
        <v>0</v>
      </c>
      <c r="I34" s="543"/>
      <c r="J34" s="543"/>
      <c r="K34" s="543"/>
      <c r="L34" s="543"/>
      <c r="M34" s="617">
        <f t="shared" si="10"/>
        <v>0</v>
      </c>
      <c r="N34" s="542"/>
      <c r="O34" s="541"/>
      <c r="P34" s="540"/>
      <c r="Q34" s="540"/>
      <c r="R34" s="539"/>
    </row>
    <row r="35" spans="1:18" ht="16.149999999999999" customHeight="1" x14ac:dyDescent="0.35">
      <c r="A35" s="693">
        <f t="shared" si="0"/>
        <v>3</v>
      </c>
      <c r="B35" s="691">
        <f t="shared" si="8"/>
        <v>28</v>
      </c>
      <c r="C35" s="616">
        <f>'CAPEX Schedule'!$AD$8/1000</f>
        <v>0</v>
      </c>
      <c r="D35" s="616">
        <f>'CAPEX Schedule'!$AD$9/1000</f>
        <v>0</v>
      </c>
      <c r="E35" s="616">
        <f>'CAPEX Schedule'!$AD$10/1000</f>
        <v>0</v>
      </c>
      <c r="F35" s="616">
        <f>'CAPEX Schedule'!$AD$11/1000</f>
        <v>0</v>
      </c>
      <c r="G35" s="616">
        <f>'CAPEX Schedule'!$AD$12/1000</f>
        <v>0</v>
      </c>
      <c r="H35" s="617">
        <f t="shared" si="1"/>
        <v>0</v>
      </c>
      <c r="I35" s="543"/>
      <c r="J35" s="543"/>
      <c r="K35" s="543"/>
      <c r="L35" s="543"/>
      <c r="M35" s="617">
        <f t="shared" si="10"/>
        <v>0</v>
      </c>
      <c r="N35" s="542"/>
      <c r="O35" s="541"/>
      <c r="P35" s="540"/>
      <c r="Q35" s="540"/>
      <c r="R35" s="539"/>
    </row>
    <row r="36" spans="1:18" ht="16.149999999999999" customHeight="1" x14ac:dyDescent="0.35">
      <c r="A36" s="693">
        <f t="shared" si="0"/>
        <v>3</v>
      </c>
      <c r="B36" s="691">
        <f t="shared" si="8"/>
        <v>29</v>
      </c>
      <c r="C36" s="616">
        <f>'CAPEX Schedule'!$AE$8/1000</f>
        <v>0</v>
      </c>
      <c r="D36" s="616">
        <f>'CAPEX Schedule'!$AE$9/1000</f>
        <v>0</v>
      </c>
      <c r="E36" s="616">
        <f>'CAPEX Schedule'!$AE$10/1000</f>
        <v>0</v>
      </c>
      <c r="F36" s="616">
        <f>'CAPEX Schedule'!$AE$11/1000</f>
        <v>0</v>
      </c>
      <c r="G36" s="616">
        <f>'CAPEX Schedule'!$AE$12/1000</f>
        <v>0</v>
      </c>
      <c r="H36" s="617">
        <f t="shared" si="1"/>
        <v>0</v>
      </c>
      <c r="I36" s="543"/>
      <c r="J36" s="543"/>
      <c r="K36" s="543"/>
      <c r="L36" s="543"/>
      <c r="M36" s="617">
        <f t="shared" si="10"/>
        <v>0</v>
      </c>
      <c r="N36" s="542"/>
      <c r="O36" s="541"/>
      <c r="P36" s="540"/>
      <c r="Q36" s="540"/>
      <c r="R36" s="539"/>
    </row>
    <row r="37" spans="1:18" ht="16.149999999999999" customHeight="1" x14ac:dyDescent="0.35">
      <c r="A37" s="693">
        <f t="shared" si="0"/>
        <v>3</v>
      </c>
      <c r="B37" s="691">
        <f t="shared" si="8"/>
        <v>30</v>
      </c>
      <c r="C37" s="616">
        <f>'CAPEX Schedule'!$AF$8/1000</f>
        <v>0</v>
      </c>
      <c r="D37" s="616">
        <f>'CAPEX Schedule'!$AF$9/1000</f>
        <v>0</v>
      </c>
      <c r="E37" s="616">
        <f>'CAPEX Schedule'!$AF$10/1000</f>
        <v>0</v>
      </c>
      <c r="F37" s="616">
        <f>'CAPEX Schedule'!$AF$11/1000</f>
        <v>0</v>
      </c>
      <c r="G37" s="616">
        <f>'CAPEX Schedule'!$AF$12/1000</f>
        <v>0</v>
      </c>
      <c r="H37" s="617">
        <f t="shared" si="1"/>
        <v>0</v>
      </c>
      <c r="I37" s="543"/>
      <c r="J37" s="543"/>
      <c r="K37" s="543"/>
      <c r="L37" s="543"/>
      <c r="M37" s="617">
        <f t="shared" si="10"/>
        <v>0</v>
      </c>
      <c r="N37" s="542"/>
      <c r="O37" s="541"/>
      <c r="P37" s="540"/>
      <c r="Q37" s="540"/>
      <c r="R37" s="539"/>
    </row>
    <row r="38" spans="1:18" ht="16.149999999999999" customHeight="1" x14ac:dyDescent="0.35">
      <c r="A38" s="693">
        <f t="shared" si="0"/>
        <v>3</v>
      </c>
      <c r="B38" s="691">
        <f t="shared" si="8"/>
        <v>31</v>
      </c>
      <c r="C38" s="616">
        <f>'CAPEX Schedule'!$AG$8/1000</f>
        <v>0</v>
      </c>
      <c r="D38" s="616">
        <f>'CAPEX Schedule'!$AG$9/1000</f>
        <v>0</v>
      </c>
      <c r="E38" s="616">
        <f>'CAPEX Schedule'!$AG$10/1000</f>
        <v>0</v>
      </c>
      <c r="F38" s="616">
        <f>'CAPEX Schedule'!$AG$11/1000</f>
        <v>0</v>
      </c>
      <c r="G38" s="616">
        <f>'CAPEX Schedule'!$AG$12/1000</f>
        <v>0</v>
      </c>
      <c r="H38" s="617">
        <f t="shared" si="1"/>
        <v>0</v>
      </c>
      <c r="I38" s="543"/>
      <c r="J38" s="543"/>
      <c r="K38" s="543"/>
      <c r="L38" s="543"/>
      <c r="M38" s="617">
        <f t="shared" si="10"/>
        <v>0</v>
      </c>
      <c r="N38" s="542"/>
      <c r="O38" s="541"/>
      <c r="P38" s="540"/>
      <c r="Q38" s="540"/>
      <c r="R38" s="539"/>
    </row>
    <row r="39" spans="1:18" ht="16.149999999999999" customHeight="1" x14ac:dyDescent="0.35">
      <c r="A39" s="693">
        <f t="shared" si="0"/>
        <v>3</v>
      </c>
      <c r="B39" s="691">
        <f t="shared" si="8"/>
        <v>32</v>
      </c>
      <c r="C39" s="616">
        <f>'CAPEX Schedule'!$AH$8/1000</f>
        <v>0</v>
      </c>
      <c r="D39" s="616">
        <f>'CAPEX Schedule'!$AH$9/1000</f>
        <v>0</v>
      </c>
      <c r="E39" s="616">
        <f>'CAPEX Schedule'!$AH$10/1000</f>
        <v>0</v>
      </c>
      <c r="F39" s="616">
        <f>'CAPEX Schedule'!$AH$11/1000</f>
        <v>0</v>
      </c>
      <c r="G39" s="616">
        <f>'CAPEX Schedule'!$AH$12/1000</f>
        <v>0</v>
      </c>
      <c r="H39" s="617">
        <f t="shared" si="1"/>
        <v>0</v>
      </c>
      <c r="I39" s="543"/>
      <c r="J39" s="543"/>
      <c r="K39" s="543"/>
      <c r="L39" s="543"/>
      <c r="M39" s="617">
        <f t="shared" si="10"/>
        <v>0</v>
      </c>
      <c r="N39" s="542"/>
      <c r="O39" s="541"/>
      <c r="P39" s="540"/>
      <c r="Q39" s="540"/>
      <c r="R39" s="539"/>
    </row>
    <row r="40" spans="1:18" ht="16.149999999999999" customHeight="1" x14ac:dyDescent="0.35">
      <c r="A40" s="693">
        <f t="shared" si="0"/>
        <v>3</v>
      </c>
      <c r="B40" s="691">
        <f t="shared" si="8"/>
        <v>33</v>
      </c>
      <c r="C40" s="616">
        <f>'CAPEX Schedule'!$AI$8/1000</f>
        <v>0</v>
      </c>
      <c r="D40" s="616">
        <f>'CAPEX Schedule'!$AI$9/1000</f>
        <v>0</v>
      </c>
      <c r="E40" s="616">
        <f>'CAPEX Schedule'!$AI$10/1000</f>
        <v>0</v>
      </c>
      <c r="F40" s="616">
        <f>'CAPEX Schedule'!$AI$11/1000</f>
        <v>0</v>
      </c>
      <c r="G40" s="616">
        <f>'CAPEX Schedule'!$AI$12/1000</f>
        <v>0</v>
      </c>
      <c r="H40" s="617">
        <f t="shared" si="1"/>
        <v>0</v>
      </c>
      <c r="I40" s="543"/>
      <c r="J40" s="543"/>
      <c r="K40" s="543"/>
      <c r="L40" s="543"/>
      <c r="M40" s="617">
        <f t="shared" si="10"/>
        <v>0</v>
      </c>
      <c r="N40" s="542"/>
      <c r="O40" s="541"/>
      <c r="P40" s="540"/>
      <c r="Q40" s="540"/>
      <c r="R40" s="539"/>
    </row>
    <row r="41" spans="1:18" ht="16.149999999999999" customHeight="1" x14ac:dyDescent="0.35">
      <c r="A41" s="693">
        <f t="shared" si="0"/>
        <v>3</v>
      </c>
      <c r="B41" s="691">
        <f t="shared" si="8"/>
        <v>34</v>
      </c>
      <c r="C41" s="616">
        <f>'CAPEX Schedule'!$AJ$8/1000</f>
        <v>0</v>
      </c>
      <c r="D41" s="616">
        <f>'CAPEX Schedule'!$AJ$9/1000</f>
        <v>0</v>
      </c>
      <c r="E41" s="616">
        <f>'CAPEX Schedule'!$AJ$10/1000</f>
        <v>0</v>
      </c>
      <c r="F41" s="616">
        <f>'CAPEX Schedule'!$AJ$11/1000</f>
        <v>0</v>
      </c>
      <c r="G41" s="616">
        <f>'CAPEX Schedule'!$AJ$12/1000</f>
        <v>0</v>
      </c>
      <c r="H41" s="617">
        <f t="shared" si="1"/>
        <v>0</v>
      </c>
      <c r="I41" s="543"/>
      <c r="J41" s="543"/>
      <c r="K41" s="543"/>
      <c r="L41" s="543"/>
      <c r="M41" s="617">
        <f t="shared" si="10"/>
        <v>0</v>
      </c>
      <c r="N41" s="542"/>
      <c r="O41" s="541"/>
      <c r="P41" s="540"/>
      <c r="Q41" s="540"/>
      <c r="R41" s="539"/>
    </row>
    <row r="42" spans="1:18" ht="16.149999999999999" customHeight="1" x14ac:dyDescent="0.35">
      <c r="A42" s="693">
        <f t="shared" si="0"/>
        <v>3</v>
      </c>
      <c r="B42" s="691">
        <f t="shared" si="8"/>
        <v>35</v>
      </c>
      <c r="C42" s="616">
        <f>'CAPEX Schedule'!$AK$8/1000</f>
        <v>0</v>
      </c>
      <c r="D42" s="616">
        <f>'CAPEX Schedule'!$AK$9/1000</f>
        <v>0</v>
      </c>
      <c r="E42" s="616">
        <f>'CAPEX Schedule'!$AK$10/1000</f>
        <v>0</v>
      </c>
      <c r="F42" s="616">
        <f>'CAPEX Schedule'!$AK$11/1000</f>
        <v>0</v>
      </c>
      <c r="G42" s="616">
        <f>'CAPEX Schedule'!$AK$12/1000</f>
        <v>0</v>
      </c>
      <c r="H42" s="617">
        <f t="shared" si="1"/>
        <v>0</v>
      </c>
      <c r="I42" s="543"/>
      <c r="J42" s="543"/>
      <c r="K42" s="543"/>
      <c r="L42" s="543"/>
      <c r="M42" s="617">
        <f t="shared" si="10"/>
        <v>0</v>
      </c>
      <c r="N42" s="542"/>
      <c r="O42" s="541"/>
      <c r="P42" s="540"/>
      <c r="Q42" s="540"/>
      <c r="R42" s="539"/>
    </row>
    <row r="43" spans="1:18" ht="16.149999999999999" customHeight="1" x14ac:dyDescent="0.35">
      <c r="A43" s="693">
        <f t="shared" si="0"/>
        <v>3</v>
      </c>
      <c r="B43" s="691">
        <f t="shared" si="8"/>
        <v>36</v>
      </c>
      <c r="C43" s="616">
        <f>'CAPEX Schedule'!$AL$8/1000</f>
        <v>0</v>
      </c>
      <c r="D43" s="616">
        <f>'CAPEX Schedule'!$AL$9/1000</f>
        <v>0</v>
      </c>
      <c r="E43" s="616">
        <f>'CAPEX Schedule'!$AL$10/1000</f>
        <v>0</v>
      </c>
      <c r="F43" s="616">
        <f>'CAPEX Schedule'!$AL$11/1000</f>
        <v>0</v>
      </c>
      <c r="G43" s="616">
        <f>'CAPEX Schedule'!$AL$12/1000</f>
        <v>0</v>
      </c>
      <c r="H43" s="617">
        <f t="shared" si="1"/>
        <v>0</v>
      </c>
      <c r="I43" s="543"/>
      <c r="J43" s="543"/>
      <c r="K43" s="543"/>
      <c r="L43" s="543"/>
      <c r="M43" s="617">
        <f t="shared" si="10"/>
        <v>0</v>
      </c>
      <c r="N43" s="542"/>
      <c r="O43" s="541"/>
      <c r="P43" s="540"/>
      <c r="Q43" s="540"/>
      <c r="R43" s="539"/>
    </row>
    <row r="44" spans="1:18" ht="16.149999999999999" customHeight="1" x14ac:dyDescent="0.35">
      <c r="A44" s="693">
        <f t="shared" si="0"/>
        <v>4</v>
      </c>
      <c r="B44" s="691">
        <f t="shared" si="8"/>
        <v>37</v>
      </c>
      <c r="C44" s="616">
        <f>'CAPEX Schedule'!$AM$8/1000</f>
        <v>0</v>
      </c>
      <c r="D44" s="616">
        <f>'CAPEX Schedule'!$AM$9/1000</f>
        <v>0</v>
      </c>
      <c r="E44" s="616">
        <f>'CAPEX Schedule'!$AM$10/1000</f>
        <v>0</v>
      </c>
      <c r="F44" s="616">
        <f>'CAPEX Schedule'!$AM$11/1000</f>
        <v>0</v>
      </c>
      <c r="G44" s="616">
        <f>'CAPEX Schedule'!$AM$12/1000</f>
        <v>0</v>
      </c>
      <c r="H44" s="617">
        <f t="shared" si="1"/>
        <v>0</v>
      </c>
      <c r="I44" s="543"/>
      <c r="J44" s="543"/>
      <c r="K44" s="543"/>
      <c r="L44" s="543"/>
      <c r="M44" s="617">
        <f t="shared" si="10"/>
        <v>0</v>
      </c>
      <c r="N44" s="542"/>
      <c r="O44" s="541"/>
      <c r="P44" s="540"/>
      <c r="Q44" s="540"/>
      <c r="R44" s="539"/>
    </row>
    <row r="45" spans="1:18" ht="16.149999999999999" customHeight="1" x14ac:dyDescent="0.35">
      <c r="A45" s="693">
        <f t="shared" si="0"/>
        <v>4</v>
      </c>
      <c r="B45" s="691">
        <f t="shared" si="8"/>
        <v>38</v>
      </c>
      <c r="C45" s="616">
        <f>'CAPEX Schedule'!$AN$8/1000</f>
        <v>0</v>
      </c>
      <c r="D45" s="616">
        <f>'CAPEX Schedule'!$AN$9/1000</f>
        <v>0</v>
      </c>
      <c r="E45" s="616">
        <f>'CAPEX Schedule'!$AN$10/1000</f>
        <v>0</v>
      </c>
      <c r="F45" s="616">
        <f>'CAPEX Schedule'!$AN$11/1000</f>
        <v>0</v>
      </c>
      <c r="G45" s="616">
        <f>'CAPEX Schedule'!$AN$12/1000</f>
        <v>0</v>
      </c>
      <c r="H45" s="617">
        <f t="shared" si="1"/>
        <v>0</v>
      </c>
      <c r="I45" s="543"/>
      <c r="J45" s="543"/>
      <c r="K45" s="543"/>
      <c r="L45" s="543"/>
      <c r="M45" s="617">
        <f t="shared" si="10"/>
        <v>0</v>
      </c>
      <c r="N45" s="542"/>
      <c r="O45" s="541"/>
      <c r="P45" s="540"/>
      <c r="Q45" s="540"/>
      <c r="R45" s="539"/>
    </row>
    <row r="46" spans="1:18" ht="16.149999999999999" customHeight="1" x14ac:dyDescent="0.35">
      <c r="A46" s="693">
        <f t="shared" si="0"/>
        <v>4</v>
      </c>
      <c r="B46" s="691">
        <f t="shared" si="8"/>
        <v>39</v>
      </c>
      <c r="C46" s="616">
        <f>'CAPEX Schedule'!$AO$8/1000</f>
        <v>0</v>
      </c>
      <c r="D46" s="616">
        <f>'CAPEX Schedule'!$AO$9/1000</f>
        <v>0</v>
      </c>
      <c r="E46" s="616">
        <f>'CAPEX Schedule'!$AO$10/1000</f>
        <v>0</v>
      </c>
      <c r="F46" s="616">
        <f>'CAPEX Schedule'!$AO$11/1000</f>
        <v>0</v>
      </c>
      <c r="G46" s="616">
        <f>'CAPEX Schedule'!$AO$12/1000</f>
        <v>0</v>
      </c>
      <c r="H46" s="617">
        <f t="shared" si="1"/>
        <v>0</v>
      </c>
      <c r="I46" s="543"/>
      <c r="J46" s="543"/>
      <c r="K46" s="543"/>
      <c r="L46" s="543"/>
      <c r="M46" s="617">
        <f t="shared" si="10"/>
        <v>0</v>
      </c>
      <c r="N46" s="542"/>
      <c r="O46" s="541"/>
      <c r="P46" s="540"/>
      <c r="Q46" s="540"/>
      <c r="R46" s="539"/>
    </row>
    <row r="47" spans="1:18" ht="16.149999999999999" customHeight="1" x14ac:dyDescent="0.35">
      <c r="A47" s="693">
        <f t="shared" si="0"/>
        <v>4</v>
      </c>
      <c r="B47" s="691">
        <f t="shared" si="8"/>
        <v>40</v>
      </c>
      <c r="C47" s="616">
        <f>'CAPEX Schedule'!$AP$8/1000</f>
        <v>0</v>
      </c>
      <c r="D47" s="616">
        <f>'CAPEX Schedule'!$AP$9/1000</f>
        <v>0</v>
      </c>
      <c r="E47" s="616">
        <f>'CAPEX Schedule'!$AP$10/1000</f>
        <v>0</v>
      </c>
      <c r="F47" s="616">
        <f>'CAPEX Schedule'!$AP$11/1000</f>
        <v>0</v>
      </c>
      <c r="G47" s="616">
        <f>'CAPEX Schedule'!$AP$12/1000</f>
        <v>0</v>
      </c>
      <c r="H47" s="617">
        <f t="shared" si="1"/>
        <v>0</v>
      </c>
      <c r="I47" s="543"/>
      <c r="J47" s="543"/>
      <c r="K47" s="543"/>
      <c r="L47" s="543"/>
      <c r="M47" s="617">
        <f t="shared" si="10"/>
        <v>0</v>
      </c>
      <c r="N47" s="542"/>
      <c r="O47" s="541"/>
      <c r="P47" s="540"/>
      <c r="Q47" s="540"/>
      <c r="R47" s="539"/>
    </row>
    <row r="48" spans="1:18" ht="16.149999999999999" customHeight="1" x14ac:dyDescent="0.35">
      <c r="A48" s="693">
        <f t="shared" si="0"/>
        <v>4</v>
      </c>
      <c r="B48" s="691">
        <f t="shared" si="8"/>
        <v>41</v>
      </c>
      <c r="C48" s="616">
        <f>'CAPEX Schedule'!$AQ$8/1000</f>
        <v>0</v>
      </c>
      <c r="D48" s="616">
        <f>'CAPEX Schedule'!$AQ$9/1000</f>
        <v>0</v>
      </c>
      <c r="E48" s="616">
        <f>'CAPEX Schedule'!$AQ$10/1000</f>
        <v>0</v>
      </c>
      <c r="F48" s="616">
        <f>'CAPEX Schedule'!$AQ$11/1000</f>
        <v>0</v>
      </c>
      <c r="G48" s="616">
        <f>'CAPEX Schedule'!$AQ$12/1000</f>
        <v>0</v>
      </c>
      <c r="H48" s="617">
        <f t="shared" si="1"/>
        <v>0</v>
      </c>
      <c r="I48" s="543"/>
      <c r="J48" s="543"/>
      <c r="K48" s="543"/>
      <c r="L48" s="543"/>
      <c r="M48" s="617">
        <f t="shared" si="10"/>
        <v>0</v>
      </c>
      <c r="N48" s="542"/>
      <c r="O48" s="541"/>
      <c r="P48" s="540"/>
      <c r="Q48" s="540"/>
      <c r="R48" s="539"/>
    </row>
    <row r="49" spans="1:18" ht="16.149999999999999" customHeight="1" x14ac:dyDescent="0.35">
      <c r="A49" s="693">
        <f t="shared" si="0"/>
        <v>4</v>
      </c>
      <c r="B49" s="691">
        <f t="shared" si="8"/>
        <v>42</v>
      </c>
      <c r="C49" s="616">
        <f>'CAPEX Schedule'!$AR$8/1000</f>
        <v>0</v>
      </c>
      <c r="D49" s="616">
        <f>'CAPEX Schedule'!$AR$9/1000</f>
        <v>0</v>
      </c>
      <c r="E49" s="616">
        <f>'CAPEX Schedule'!$AR$10/1000</f>
        <v>0</v>
      </c>
      <c r="F49" s="616">
        <f>'CAPEX Schedule'!$AR$11/1000</f>
        <v>0</v>
      </c>
      <c r="G49" s="616">
        <f>'CAPEX Schedule'!$AR$12/1000</f>
        <v>0</v>
      </c>
      <c r="H49" s="617">
        <f t="shared" si="1"/>
        <v>0</v>
      </c>
      <c r="I49" s="543"/>
      <c r="J49" s="543"/>
      <c r="K49" s="543"/>
      <c r="L49" s="543"/>
      <c r="M49" s="617">
        <f t="shared" si="10"/>
        <v>0</v>
      </c>
      <c r="N49" s="542"/>
      <c r="O49" s="541"/>
      <c r="P49" s="540"/>
      <c r="Q49" s="540"/>
      <c r="R49" s="539"/>
    </row>
    <row r="50" spans="1:18" ht="16.149999999999999" customHeight="1" x14ac:dyDescent="0.35">
      <c r="A50" s="693">
        <f t="shared" si="0"/>
        <v>4</v>
      </c>
      <c r="B50" s="691">
        <f t="shared" si="8"/>
        <v>43</v>
      </c>
      <c r="C50" s="616">
        <f>'CAPEX Schedule'!$AS$8/1000</f>
        <v>0</v>
      </c>
      <c r="D50" s="616">
        <f>'CAPEX Schedule'!$AS$9/1000</f>
        <v>0</v>
      </c>
      <c r="E50" s="616">
        <f>'CAPEX Schedule'!$AS$10/1000</f>
        <v>0</v>
      </c>
      <c r="F50" s="616">
        <f>'CAPEX Schedule'!$AS$11/1000</f>
        <v>0</v>
      </c>
      <c r="G50" s="616">
        <f>'CAPEX Schedule'!$AS$12/1000</f>
        <v>0</v>
      </c>
      <c r="H50" s="617">
        <f t="shared" si="1"/>
        <v>0</v>
      </c>
      <c r="I50" s="543"/>
      <c r="J50" s="543"/>
      <c r="K50" s="543"/>
      <c r="L50" s="543"/>
      <c r="M50" s="617">
        <f t="shared" si="10"/>
        <v>0</v>
      </c>
      <c r="N50" s="542"/>
      <c r="O50" s="541"/>
      <c r="P50" s="540"/>
      <c r="Q50" s="540"/>
      <c r="R50" s="539"/>
    </row>
    <row r="51" spans="1:18" ht="16.149999999999999" customHeight="1" x14ac:dyDescent="0.35">
      <c r="A51" s="693">
        <f t="shared" si="0"/>
        <v>4</v>
      </c>
      <c r="B51" s="691">
        <f t="shared" si="8"/>
        <v>44</v>
      </c>
      <c r="C51" s="616">
        <f>'CAPEX Schedule'!$AT$8/1000</f>
        <v>0</v>
      </c>
      <c r="D51" s="616">
        <f>'CAPEX Schedule'!$AT$9/1000</f>
        <v>0</v>
      </c>
      <c r="E51" s="616">
        <f>'CAPEX Schedule'!$AT$10/1000</f>
        <v>0</v>
      </c>
      <c r="F51" s="616">
        <f>'CAPEX Schedule'!$AT$11/1000</f>
        <v>0</v>
      </c>
      <c r="G51" s="616">
        <f>'CAPEX Schedule'!$AT$12/1000</f>
        <v>0</v>
      </c>
      <c r="H51" s="617">
        <f t="shared" si="1"/>
        <v>0</v>
      </c>
      <c r="I51" s="543"/>
      <c r="J51" s="543"/>
      <c r="K51" s="543"/>
      <c r="L51" s="543"/>
      <c r="M51" s="617">
        <f t="shared" si="10"/>
        <v>0</v>
      </c>
      <c r="N51" s="542"/>
      <c r="O51" s="541"/>
      <c r="P51" s="540"/>
      <c r="Q51" s="540"/>
      <c r="R51" s="539"/>
    </row>
    <row r="52" spans="1:18" ht="16.149999999999999" customHeight="1" x14ac:dyDescent="0.35">
      <c r="A52" s="693">
        <f t="shared" si="0"/>
        <v>4</v>
      </c>
      <c r="B52" s="691">
        <f t="shared" si="8"/>
        <v>45</v>
      </c>
      <c r="C52" s="616">
        <f>'CAPEX Schedule'!$AU$8/1000</f>
        <v>0</v>
      </c>
      <c r="D52" s="616">
        <f>'CAPEX Schedule'!$AU$9/1000</f>
        <v>0</v>
      </c>
      <c r="E52" s="616">
        <f>'CAPEX Schedule'!$AU$10/1000</f>
        <v>0</v>
      </c>
      <c r="F52" s="616">
        <f>'CAPEX Schedule'!$AU$11/1000</f>
        <v>0</v>
      </c>
      <c r="G52" s="616">
        <f>'CAPEX Schedule'!$AU$12/1000</f>
        <v>0</v>
      </c>
      <c r="H52" s="617">
        <f t="shared" si="1"/>
        <v>0</v>
      </c>
      <c r="I52" s="543"/>
      <c r="J52" s="543"/>
      <c r="K52" s="543"/>
      <c r="L52" s="543"/>
      <c r="M52" s="617">
        <f t="shared" si="10"/>
        <v>0</v>
      </c>
      <c r="N52" s="542"/>
      <c r="O52" s="541"/>
      <c r="P52" s="540"/>
      <c r="Q52" s="540"/>
      <c r="R52" s="539"/>
    </row>
    <row r="53" spans="1:18" ht="16.149999999999999" customHeight="1" x14ac:dyDescent="0.35">
      <c r="A53" s="693">
        <f t="shared" si="0"/>
        <v>4</v>
      </c>
      <c r="B53" s="691">
        <f t="shared" si="8"/>
        <v>46</v>
      </c>
      <c r="C53" s="616">
        <f>'CAPEX Schedule'!$AV$8/1000</f>
        <v>0</v>
      </c>
      <c r="D53" s="616">
        <f>'CAPEX Schedule'!$AV$9/1000</f>
        <v>0</v>
      </c>
      <c r="E53" s="616">
        <f>'CAPEX Schedule'!$AV$10/1000</f>
        <v>0</v>
      </c>
      <c r="F53" s="616">
        <f>'CAPEX Schedule'!$AV$11/1000</f>
        <v>0</v>
      </c>
      <c r="G53" s="616">
        <f>'CAPEX Schedule'!$AV$12/1000</f>
        <v>0</v>
      </c>
      <c r="H53" s="617">
        <f t="shared" si="1"/>
        <v>0</v>
      </c>
      <c r="I53" s="543"/>
      <c r="J53" s="543"/>
      <c r="K53" s="543"/>
      <c r="L53" s="543"/>
      <c r="M53" s="617">
        <f t="shared" si="10"/>
        <v>0</v>
      </c>
      <c r="N53" s="542"/>
      <c r="O53" s="541"/>
      <c r="P53" s="540"/>
      <c r="Q53" s="540"/>
      <c r="R53" s="539"/>
    </row>
    <row r="54" spans="1:18" ht="16.149999999999999" customHeight="1" x14ac:dyDescent="0.35">
      <c r="A54" s="693">
        <f t="shared" si="0"/>
        <v>4</v>
      </c>
      <c r="B54" s="691">
        <f t="shared" si="8"/>
        <v>47</v>
      </c>
      <c r="C54" s="616">
        <f>'CAPEX Schedule'!$AW$8/1000</f>
        <v>0</v>
      </c>
      <c r="D54" s="616">
        <f>'CAPEX Schedule'!$AW$9/1000</f>
        <v>0</v>
      </c>
      <c r="E54" s="616">
        <f>'CAPEX Schedule'!$AW$10/1000</f>
        <v>0</v>
      </c>
      <c r="F54" s="616">
        <f>'CAPEX Schedule'!$AW$11/1000</f>
        <v>0</v>
      </c>
      <c r="G54" s="616">
        <f>'CAPEX Schedule'!$AW$12/1000</f>
        <v>0</v>
      </c>
      <c r="H54" s="617">
        <f t="shared" si="1"/>
        <v>0</v>
      </c>
      <c r="I54" s="543"/>
      <c r="J54" s="543"/>
      <c r="K54" s="543"/>
      <c r="L54" s="543"/>
      <c r="M54" s="617">
        <f t="shared" si="10"/>
        <v>0</v>
      </c>
      <c r="N54" s="542"/>
      <c r="O54" s="541"/>
      <c r="P54" s="540"/>
      <c r="Q54" s="540"/>
      <c r="R54" s="539"/>
    </row>
    <row r="55" spans="1:18" ht="16.149999999999999" customHeight="1" x14ac:dyDescent="0.35">
      <c r="A55" s="693">
        <f t="shared" si="0"/>
        <v>4</v>
      </c>
      <c r="B55" s="691">
        <f t="shared" si="8"/>
        <v>48</v>
      </c>
      <c r="C55" s="616">
        <f>'CAPEX Schedule'!$AX$8/1000</f>
        <v>0</v>
      </c>
      <c r="D55" s="616">
        <f>'CAPEX Schedule'!$AX$9/1000</f>
        <v>0</v>
      </c>
      <c r="E55" s="616">
        <f>'CAPEX Schedule'!$AX$10/1000</f>
        <v>0</v>
      </c>
      <c r="F55" s="616">
        <f>'CAPEX Schedule'!$AX$11/1000</f>
        <v>0</v>
      </c>
      <c r="G55" s="616">
        <f>'CAPEX Schedule'!$AX$12/1000</f>
        <v>0</v>
      </c>
      <c r="H55" s="617">
        <f t="shared" si="1"/>
        <v>0</v>
      </c>
      <c r="I55" s="543"/>
      <c r="J55" s="543"/>
      <c r="K55" s="543"/>
      <c r="L55" s="543"/>
      <c r="M55" s="617">
        <f t="shared" si="10"/>
        <v>0</v>
      </c>
      <c r="N55" s="542"/>
      <c r="O55" s="541"/>
      <c r="P55" s="540"/>
      <c r="Q55" s="540"/>
      <c r="R55" s="539"/>
    </row>
    <row r="56" spans="1:18" ht="16.149999999999999" customHeight="1" x14ac:dyDescent="0.35">
      <c r="A56" s="693">
        <f t="shared" si="0"/>
        <v>5</v>
      </c>
      <c r="B56" s="691">
        <f t="shared" si="8"/>
        <v>49</v>
      </c>
      <c r="C56" s="616">
        <f>'CAPEX Schedule'!$AY$8/1000</f>
        <v>0</v>
      </c>
      <c r="D56" s="616">
        <f>'CAPEX Schedule'!$AY$9/1000</f>
        <v>0</v>
      </c>
      <c r="E56" s="616">
        <f>'CAPEX Schedule'!$AY$10/1000</f>
        <v>0</v>
      </c>
      <c r="F56" s="616">
        <f>'CAPEX Schedule'!$AY$11/1000</f>
        <v>0</v>
      </c>
      <c r="G56" s="616">
        <f>'CAPEX Schedule'!$AY$12/1000</f>
        <v>0</v>
      </c>
      <c r="H56" s="617">
        <f t="shared" si="1"/>
        <v>0</v>
      </c>
      <c r="I56" s="543"/>
      <c r="J56" s="543"/>
      <c r="K56" s="543"/>
      <c r="L56" s="543"/>
      <c r="M56" s="617">
        <f t="shared" si="10"/>
        <v>0</v>
      </c>
      <c r="N56" s="542"/>
      <c r="O56" s="541"/>
      <c r="P56" s="540"/>
      <c r="Q56" s="540"/>
      <c r="R56" s="539"/>
    </row>
    <row r="57" spans="1:18" ht="16.149999999999999" customHeight="1" x14ac:dyDescent="0.35">
      <c r="A57" s="693">
        <f t="shared" si="0"/>
        <v>5</v>
      </c>
      <c r="B57" s="691">
        <f t="shared" si="8"/>
        <v>50</v>
      </c>
      <c r="C57" s="616">
        <f>'CAPEX Schedule'!$AZ$8/1000</f>
        <v>0</v>
      </c>
      <c r="D57" s="616">
        <f>'CAPEX Schedule'!$AZ$9/1000</f>
        <v>0</v>
      </c>
      <c r="E57" s="616">
        <f>'CAPEX Schedule'!$AZ$10/1000</f>
        <v>0</v>
      </c>
      <c r="F57" s="616">
        <f>'CAPEX Schedule'!$AZ$11/1000</f>
        <v>0</v>
      </c>
      <c r="G57" s="616">
        <f>'CAPEX Schedule'!$AZ$12/1000</f>
        <v>0</v>
      </c>
      <c r="H57" s="617">
        <f t="shared" si="1"/>
        <v>0</v>
      </c>
      <c r="I57" s="543"/>
      <c r="J57" s="543"/>
      <c r="K57" s="543"/>
      <c r="L57" s="543"/>
      <c r="M57" s="617">
        <f t="shared" si="10"/>
        <v>0</v>
      </c>
      <c r="N57" s="542"/>
      <c r="O57" s="541"/>
      <c r="P57" s="540"/>
      <c r="Q57" s="540"/>
      <c r="R57" s="539"/>
    </row>
    <row r="58" spans="1:18" ht="16.149999999999999" customHeight="1" x14ac:dyDescent="0.35">
      <c r="A58" s="693">
        <f t="shared" si="0"/>
        <v>5</v>
      </c>
      <c r="B58" s="691">
        <f t="shared" si="8"/>
        <v>51</v>
      </c>
      <c r="C58" s="616">
        <f>'CAPEX Schedule'!$BA$8/1000</f>
        <v>0</v>
      </c>
      <c r="D58" s="616">
        <f>'CAPEX Schedule'!$BA$9/1000</f>
        <v>0</v>
      </c>
      <c r="E58" s="616">
        <f>'CAPEX Schedule'!$BA$10/1000</f>
        <v>0</v>
      </c>
      <c r="F58" s="616">
        <f>'CAPEX Schedule'!$BA$11/1000</f>
        <v>0</v>
      </c>
      <c r="G58" s="616">
        <f>'CAPEX Schedule'!$BA$12/1000</f>
        <v>0</v>
      </c>
      <c r="H58" s="617">
        <f t="shared" si="1"/>
        <v>0</v>
      </c>
      <c r="I58" s="543"/>
      <c r="J58" s="543"/>
      <c r="K58" s="543"/>
      <c r="L58" s="543"/>
      <c r="M58" s="617">
        <f t="shared" si="10"/>
        <v>0</v>
      </c>
      <c r="N58" s="542"/>
      <c r="O58" s="541"/>
      <c r="P58" s="540"/>
      <c r="Q58" s="540"/>
      <c r="R58" s="539"/>
    </row>
    <row r="59" spans="1:18" ht="16.149999999999999" customHeight="1" x14ac:dyDescent="0.35">
      <c r="A59" s="693">
        <f t="shared" si="0"/>
        <v>5</v>
      </c>
      <c r="B59" s="691">
        <f t="shared" si="8"/>
        <v>52</v>
      </c>
      <c r="C59" s="616">
        <f>'CAPEX Schedule'!$BB$8/1000</f>
        <v>0</v>
      </c>
      <c r="D59" s="616">
        <f>'CAPEX Schedule'!$BB$9/1000</f>
        <v>0</v>
      </c>
      <c r="E59" s="616">
        <f>'CAPEX Schedule'!$BB$10/1000</f>
        <v>0</v>
      </c>
      <c r="F59" s="616">
        <f>'CAPEX Schedule'!$BB$11/1000</f>
        <v>0</v>
      </c>
      <c r="G59" s="616">
        <f>'CAPEX Schedule'!$BB$12/1000</f>
        <v>0</v>
      </c>
      <c r="H59" s="617">
        <f t="shared" si="1"/>
        <v>0</v>
      </c>
      <c r="I59" s="543"/>
      <c r="J59" s="543"/>
      <c r="K59" s="543"/>
      <c r="L59" s="543"/>
      <c r="M59" s="617">
        <f t="shared" si="10"/>
        <v>0</v>
      </c>
      <c r="N59" s="542"/>
      <c r="O59" s="541"/>
      <c r="P59" s="540"/>
      <c r="Q59" s="540"/>
      <c r="R59" s="539"/>
    </row>
    <row r="60" spans="1:18" ht="16.149999999999999" customHeight="1" x14ac:dyDescent="0.35">
      <c r="A60" s="693">
        <f t="shared" si="0"/>
        <v>5</v>
      </c>
      <c r="B60" s="691">
        <f t="shared" si="8"/>
        <v>53</v>
      </c>
      <c r="C60" s="616">
        <f>'CAPEX Schedule'!$BC$8/1000</f>
        <v>0</v>
      </c>
      <c r="D60" s="616">
        <f>'CAPEX Schedule'!$BC$9/1000</f>
        <v>0</v>
      </c>
      <c r="E60" s="616">
        <f>'CAPEX Schedule'!$BC$10/1000</f>
        <v>0</v>
      </c>
      <c r="F60" s="616">
        <f>'CAPEX Schedule'!$BC$11/1000</f>
        <v>0</v>
      </c>
      <c r="G60" s="616">
        <f>'CAPEX Schedule'!$BC$12/1000</f>
        <v>0</v>
      </c>
      <c r="H60" s="617">
        <f t="shared" si="1"/>
        <v>0</v>
      </c>
      <c r="I60" s="543"/>
      <c r="J60" s="543"/>
      <c r="K60" s="543"/>
      <c r="L60" s="543"/>
      <c r="M60" s="617">
        <f t="shared" si="10"/>
        <v>0</v>
      </c>
      <c r="N60" s="542"/>
      <c r="O60" s="541"/>
      <c r="P60" s="540"/>
      <c r="Q60" s="540"/>
      <c r="R60" s="539"/>
    </row>
    <row r="61" spans="1:18" ht="16.149999999999999" customHeight="1" x14ac:dyDescent="0.35">
      <c r="A61" s="693">
        <f t="shared" si="0"/>
        <v>5</v>
      </c>
      <c r="B61" s="691">
        <f t="shared" si="8"/>
        <v>54</v>
      </c>
      <c r="C61" s="616">
        <f>'CAPEX Schedule'!$BD$8/1000</f>
        <v>0</v>
      </c>
      <c r="D61" s="616">
        <f>'CAPEX Schedule'!$BD$9/1000</f>
        <v>0</v>
      </c>
      <c r="E61" s="616">
        <f>'CAPEX Schedule'!$BD$10/1000</f>
        <v>0</v>
      </c>
      <c r="F61" s="616">
        <f>'CAPEX Schedule'!$BD$11/1000</f>
        <v>0</v>
      </c>
      <c r="G61" s="616">
        <f>'CAPEX Schedule'!$BD$12/1000</f>
        <v>0</v>
      </c>
      <c r="H61" s="617">
        <f t="shared" si="1"/>
        <v>0</v>
      </c>
      <c r="I61" s="543"/>
      <c r="J61" s="543"/>
      <c r="K61" s="543"/>
      <c r="L61" s="543"/>
      <c r="M61" s="617">
        <f t="shared" si="10"/>
        <v>0</v>
      </c>
      <c r="N61" s="542"/>
      <c r="O61" s="541"/>
      <c r="P61" s="540"/>
      <c r="Q61" s="540"/>
      <c r="R61" s="539"/>
    </row>
    <row r="62" spans="1:18" ht="16.149999999999999" customHeight="1" x14ac:dyDescent="0.35">
      <c r="A62" s="693">
        <f t="shared" si="0"/>
        <v>5</v>
      </c>
      <c r="B62" s="691">
        <f t="shared" si="8"/>
        <v>55</v>
      </c>
      <c r="C62" s="616">
        <f>'CAPEX Schedule'!$BE$8/1000</f>
        <v>0</v>
      </c>
      <c r="D62" s="616">
        <f>'CAPEX Schedule'!$BE$9/1000</f>
        <v>0</v>
      </c>
      <c r="E62" s="616">
        <f>'CAPEX Schedule'!$BE$10/1000</f>
        <v>0</v>
      </c>
      <c r="F62" s="616">
        <f>'CAPEX Schedule'!$BE$11/1000</f>
        <v>0</v>
      </c>
      <c r="G62" s="616">
        <f>'CAPEX Schedule'!$BE$12/1000</f>
        <v>0</v>
      </c>
      <c r="H62" s="617">
        <f t="shared" si="1"/>
        <v>0</v>
      </c>
      <c r="I62" s="543"/>
      <c r="J62" s="543"/>
      <c r="K62" s="543"/>
      <c r="L62" s="543"/>
      <c r="M62" s="617">
        <f t="shared" si="10"/>
        <v>0</v>
      </c>
      <c r="N62" s="542"/>
      <c r="O62" s="541"/>
      <c r="P62" s="540"/>
      <c r="Q62" s="540"/>
      <c r="R62" s="539"/>
    </row>
    <row r="63" spans="1:18" ht="16.149999999999999" customHeight="1" x14ac:dyDescent="0.35">
      <c r="A63" s="693">
        <f t="shared" si="0"/>
        <v>5</v>
      </c>
      <c r="B63" s="691">
        <f t="shared" si="8"/>
        <v>56</v>
      </c>
      <c r="C63" s="616">
        <f>'CAPEX Schedule'!$BF$8/1000</f>
        <v>0</v>
      </c>
      <c r="D63" s="616">
        <f>'CAPEX Schedule'!$BF$9/1000</f>
        <v>0</v>
      </c>
      <c r="E63" s="616">
        <f>'CAPEX Schedule'!$BF$10/1000</f>
        <v>0</v>
      </c>
      <c r="F63" s="616">
        <f>'CAPEX Schedule'!$BF$11/1000</f>
        <v>0</v>
      </c>
      <c r="G63" s="616">
        <f>'CAPEX Schedule'!$BF$12/1000</f>
        <v>0</v>
      </c>
      <c r="H63" s="617">
        <f t="shared" si="1"/>
        <v>0</v>
      </c>
      <c r="I63" s="543"/>
      <c r="J63" s="543"/>
      <c r="K63" s="543"/>
      <c r="L63" s="543"/>
      <c r="M63" s="617">
        <f t="shared" si="10"/>
        <v>0</v>
      </c>
      <c r="N63" s="542"/>
      <c r="O63" s="541"/>
      <c r="P63" s="540"/>
      <c r="Q63" s="540"/>
      <c r="R63" s="539"/>
    </row>
    <row r="64" spans="1:18" ht="16.149999999999999" customHeight="1" x14ac:dyDescent="0.35">
      <c r="A64" s="693">
        <f t="shared" si="0"/>
        <v>5</v>
      </c>
      <c r="B64" s="691">
        <f t="shared" si="8"/>
        <v>57</v>
      </c>
      <c r="C64" s="616">
        <f>'CAPEX Schedule'!$BG$8/1000</f>
        <v>0</v>
      </c>
      <c r="D64" s="616">
        <f>'CAPEX Schedule'!$BG$9/1000</f>
        <v>0</v>
      </c>
      <c r="E64" s="616">
        <f>'CAPEX Schedule'!$BG$10/1000</f>
        <v>0</v>
      </c>
      <c r="F64" s="616">
        <f>'CAPEX Schedule'!$BG$11/1000</f>
        <v>0</v>
      </c>
      <c r="G64" s="616">
        <f>'CAPEX Schedule'!$BG$12/1000</f>
        <v>0</v>
      </c>
      <c r="H64" s="617">
        <f t="shared" si="1"/>
        <v>0</v>
      </c>
      <c r="I64" s="543"/>
      <c r="J64" s="543"/>
      <c r="K64" s="543"/>
      <c r="L64" s="543"/>
      <c r="M64" s="617">
        <f t="shared" si="10"/>
        <v>0</v>
      </c>
      <c r="N64" s="542"/>
      <c r="O64" s="541"/>
      <c r="P64" s="540"/>
      <c r="Q64" s="540"/>
      <c r="R64" s="539"/>
    </row>
    <row r="65" spans="1:18" ht="16.149999999999999" customHeight="1" x14ac:dyDescent="0.35">
      <c r="A65" s="693">
        <f t="shared" si="0"/>
        <v>5</v>
      </c>
      <c r="B65" s="691">
        <f t="shared" si="8"/>
        <v>58</v>
      </c>
      <c r="C65" s="616">
        <f>'CAPEX Schedule'!$BH$8/1000</f>
        <v>0</v>
      </c>
      <c r="D65" s="616">
        <f>'CAPEX Schedule'!$BH$9/1000</f>
        <v>0</v>
      </c>
      <c r="E65" s="616">
        <f>'CAPEX Schedule'!$BH$10/1000</f>
        <v>0</v>
      </c>
      <c r="F65" s="616">
        <f>'CAPEX Schedule'!$BH$11/1000</f>
        <v>0</v>
      </c>
      <c r="G65" s="616">
        <f>'CAPEX Schedule'!$BH$12/1000</f>
        <v>0</v>
      </c>
      <c r="H65" s="617">
        <f t="shared" si="1"/>
        <v>0</v>
      </c>
      <c r="I65" s="543"/>
      <c r="J65" s="543"/>
      <c r="K65" s="543"/>
      <c r="L65" s="543"/>
      <c r="M65" s="617">
        <f t="shared" si="10"/>
        <v>0</v>
      </c>
      <c r="N65" s="542"/>
      <c r="O65" s="541"/>
      <c r="P65" s="540"/>
      <c r="Q65" s="540"/>
      <c r="R65" s="539"/>
    </row>
    <row r="66" spans="1:18" ht="16.149999999999999" customHeight="1" x14ac:dyDescent="0.35">
      <c r="A66" s="693">
        <f t="shared" si="0"/>
        <v>5</v>
      </c>
      <c r="B66" s="691">
        <f t="shared" si="8"/>
        <v>59</v>
      </c>
      <c r="C66" s="616">
        <f>'CAPEX Schedule'!$BI$8/1000</f>
        <v>0</v>
      </c>
      <c r="D66" s="616">
        <f>'CAPEX Schedule'!$BI$9/1000</f>
        <v>0</v>
      </c>
      <c r="E66" s="616">
        <f>'CAPEX Schedule'!$BI$10/1000</f>
        <v>0</v>
      </c>
      <c r="F66" s="616">
        <f>'CAPEX Schedule'!$BI$11/1000</f>
        <v>0</v>
      </c>
      <c r="G66" s="616">
        <f>'CAPEX Schedule'!$BI$12/1000</f>
        <v>0</v>
      </c>
      <c r="H66" s="617">
        <f t="shared" si="1"/>
        <v>0</v>
      </c>
      <c r="I66" s="543"/>
      <c r="J66" s="543"/>
      <c r="K66" s="543"/>
      <c r="L66" s="543"/>
      <c r="M66" s="617">
        <f t="shared" si="10"/>
        <v>0</v>
      </c>
      <c r="N66" s="542"/>
      <c r="O66" s="541"/>
      <c r="P66" s="540"/>
      <c r="Q66" s="540"/>
      <c r="R66" s="539"/>
    </row>
    <row r="67" spans="1:18" ht="16.149999999999999" customHeight="1" x14ac:dyDescent="0.35">
      <c r="A67" s="693">
        <f t="shared" si="0"/>
        <v>5</v>
      </c>
      <c r="B67" s="691">
        <f t="shared" si="8"/>
        <v>60</v>
      </c>
      <c r="C67" s="616">
        <f>'CAPEX Schedule'!$BJ$8/1000</f>
        <v>0</v>
      </c>
      <c r="D67" s="616">
        <f>'CAPEX Schedule'!$BJ$9/1000</f>
        <v>0</v>
      </c>
      <c r="E67" s="616">
        <f>'CAPEX Schedule'!$BJ$10/1000</f>
        <v>0</v>
      </c>
      <c r="F67" s="616">
        <f>'CAPEX Schedule'!$BJ$11/1000</f>
        <v>0</v>
      </c>
      <c r="G67" s="616">
        <f>'CAPEX Schedule'!$BJ$12/1000</f>
        <v>0</v>
      </c>
      <c r="H67" s="617">
        <f t="shared" si="1"/>
        <v>0</v>
      </c>
      <c r="I67" s="543"/>
      <c r="J67" s="543"/>
      <c r="K67" s="543"/>
      <c r="L67" s="543"/>
      <c r="M67" s="617">
        <f t="shared" si="10"/>
        <v>0</v>
      </c>
      <c r="N67" s="542"/>
      <c r="O67" s="541"/>
      <c r="P67" s="540"/>
      <c r="Q67" s="540"/>
      <c r="R67" s="539"/>
    </row>
    <row r="68" spans="1:18" ht="16.149999999999999" customHeight="1" x14ac:dyDescent="0.35">
      <c r="A68" s="693">
        <f t="shared" si="0"/>
        <v>6</v>
      </c>
      <c r="B68" s="691">
        <f t="shared" si="8"/>
        <v>61</v>
      </c>
      <c r="C68" s="616">
        <f>'CAPEX Schedule'!$BK$8/1000</f>
        <v>0</v>
      </c>
      <c r="D68" s="616">
        <f>'CAPEX Schedule'!$BK$9/1000</f>
        <v>0</v>
      </c>
      <c r="E68" s="616">
        <f>'CAPEX Schedule'!$BK$10/1000</f>
        <v>5000</v>
      </c>
      <c r="F68" s="616">
        <f>'CAPEX Schedule'!$BK$11/1000</f>
        <v>5000</v>
      </c>
      <c r="G68" s="616">
        <f>'CAPEX Schedule'!$BK$12/1000</f>
        <v>0</v>
      </c>
      <c r="H68" s="617">
        <f t="shared" si="1"/>
        <v>10000</v>
      </c>
      <c r="I68" s="543"/>
      <c r="J68" s="543"/>
      <c r="K68" s="543"/>
      <c r="L68" s="543"/>
      <c r="M68" s="617">
        <f t="shared" si="10"/>
        <v>10000</v>
      </c>
      <c r="N68" s="542"/>
      <c r="O68" s="541"/>
      <c r="P68" s="540"/>
      <c r="Q68" s="540"/>
      <c r="R68" s="539"/>
    </row>
    <row r="69" spans="1:18" ht="16.149999999999999" customHeight="1" x14ac:dyDescent="0.35">
      <c r="A69" s="693">
        <f t="shared" si="0"/>
        <v>6</v>
      </c>
      <c r="B69" s="691">
        <f t="shared" si="8"/>
        <v>62</v>
      </c>
      <c r="C69" s="616">
        <f>'CAPEX Schedule'!$BL$8/1000</f>
        <v>0</v>
      </c>
      <c r="D69" s="616">
        <f>'CAPEX Schedule'!$BL$9/1000</f>
        <v>0</v>
      </c>
      <c r="E69" s="616">
        <f>'CAPEX Schedule'!$BL$10/1000</f>
        <v>0</v>
      </c>
      <c r="F69" s="616">
        <f>'CAPEX Schedule'!$BL$11/1000</f>
        <v>0</v>
      </c>
      <c r="G69" s="616">
        <f>'CAPEX Schedule'!$BL$12/1000</f>
        <v>0</v>
      </c>
      <c r="H69" s="617">
        <f t="shared" si="1"/>
        <v>0</v>
      </c>
      <c r="I69" s="543"/>
      <c r="J69" s="543"/>
      <c r="K69" s="543"/>
      <c r="L69" s="543"/>
      <c r="M69" s="617">
        <f t="shared" si="10"/>
        <v>0</v>
      </c>
      <c r="N69" s="542"/>
      <c r="O69" s="541"/>
      <c r="P69" s="540"/>
      <c r="Q69" s="540"/>
      <c r="R69" s="539"/>
    </row>
    <row r="70" spans="1:18" ht="16.149999999999999" customHeight="1" x14ac:dyDescent="0.35">
      <c r="A70" s="693">
        <f t="shared" si="0"/>
        <v>6</v>
      </c>
      <c r="B70" s="691">
        <f t="shared" si="8"/>
        <v>63</v>
      </c>
      <c r="C70" s="616">
        <f>'CAPEX Schedule'!$BM$8/1000</f>
        <v>0</v>
      </c>
      <c r="D70" s="616">
        <f>'CAPEX Schedule'!$BM$9/1000</f>
        <v>0</v>
      </c>
      <c r="E70" s="616">
        <f>'CAPEX Schedule'!$BM$10/1000</f>
        <v>0</v>
      </c>
      <c r="F70" s="616">
        <f>'CAPEX Schedule'!$BM$11/1000</f>
        <v>0</v>
      </c>
      <c r="G70" s="616">
        <f>'CAPEX Schedule'!$BM$12/1000</f>
        <v>0</v>
      </c>
      <c r="H70" s="617">
        <f t="shared" si="1"/>
        <v>0</v>
      </c>
      <c r="I70" s="543"/>
      <c r="J70" s="543"/>
      <c r="K70" s="543"/>
      <c r="L70" s="543"/>
      <c r="M70" s="617">
        <f t="shared" si="10"/>
        <v>0</v>
      </c>
      <c r="N70" s="542"/>
      <c r="O70" s="541"/>
      <c r="P70" s="540"/>
      <c r="Q70" s="540"/>
      <c r="R70" s="539"/>
    </row>
    <row r="71" spans="1:18" ht="16.149999999999999" customHeight="1" x14ac:dyDescent="0.35">
      <c r="A71" s="693">
        <f t="shared" si="0"/>
        <v>6</v>
      </c>
      <c r="B71" s="691">
        <f t="shared" si="8"/>
        <v>64</v>
      </c>
      <c r="C71" s="616">
        <f>'CAPEX Schedule'!$BN$8/1000</f>
        <v>0</v>
      </c>
      <c r="D71" s="616">
        <f>'CAPEX Schedule'!$BN$9/1000</f>
        <v>0</v>
      </c>
      <c r="E71" s="616">
        <f>'CAPEX Schedule'!$BN$10/1000</f>
        <v>3000</v>
      </c>
      <c r="F71" s="616">
        <f>'CAPEX Schedule'!$BN$11/1000</f>
        <v>3000</v>
      </c>
      <c r="G71" s="616">
        <f>'CAPEX Schedule'!$BN$12/1000</f>
        <v>0</v>
      </c>
      <c r="H71" s="617">
        <f t="shared" si="1"/>
        <v>6000</v>
      </c>
      <c r="I71" s="543"/>
      <c r="J71" s="543"/>
      <c r="K71" s="543"/>
      <c r="L71" s="543"/>
      <c r="M71" s="617">
        <f t="shared" si="10"/>
        <v>6000</v>
      </c>
      <c r="N71" s="542"/>
      <c r="O71" s="541"/>
      <c r="P71" s="540"/>
      <c r="Q71" s="540"/>
      <c r="R71" s="539"/>
    </row>
    <row r="72" spans="1:18" ht="16.149999999999999" customHeight="1" x14ac:dyDescent="0.35">
      <c r="A72" s="693">
        <f t="shared" ref="A72:A135" si="11">ROUNDUP(B72/12,0)</f>
        <v>6</v>
      </c>
      <c r="B72" s="691">
        <f t="shared" si="8"/>
        <v>65</v>
      </c>
      <c r="C72" s="616">
        <f>'CAPEX Schedule'!$BO$8/1000</f>
        <v>0</v>
      </c>
      <c r="D72" s="616">
        <f>'CAPEX Schedule'!$BO$9/1000</f>
        <v>0</v>
      </c>
      <c r="E72" s="616">
        <f>'CAPEX Schedule'!$BO$10/1000</f>
        <v>0</v>
      </c>
      <c r="F72" s="616">
        <f>'CAPEX Schedule'!$BO$11/1000</f>
        <v>0</v>
      </c>
      <c r="G72" s="616">
        <f>'CAPEX Schedule'!$BO$12/1000</f>
        <v>0</v>
      </c>
      <c r="H72" s="617">
        <f t="shared" ref="H72:H135" si="12">SUM(C72:G72)</f>
        <v>0</v>
      </c>
      <c r="I72" s="543"/>
      <c r="J72" s="543"/>
      <c r="K72" s="543"/>
      <c r="L72" s="543"/>
      <c r="M72" s="617">
        <f t="shared" si="10"/>
        <v>0</v>
      </c>
      <c r="N72" s="542"/>
      <c r="O72" s="541"/>
      <c r="P72" s="540"/>
      <c r="Q72" s="540"/>
      <c r="R72" s="539"/>
    </row>
    <row r="73" spans="1:18" ht="16.149999999999999" customHeight="1" x14ac:dyDescent="0.35">
      <c r="A73" s="693">
        <f t="shared" si="11"/>
        <v>6</v>
      </c>
      <c r="B73" s="691">
        <f t="shared" ref="B73:B136" si="13">B72+1</f>
        <v>66</v>
      </c>
      <c r="C73" s="616">
        <f>'CAPEX Schedule'!$BP$8/1000</f>
        <v>0</v>
      </c>
      <c r="D73" s="616">
        <f>'CAPEX Schedule'!$BP$9/1000</f>
        <v>0</v>
      </c>
      <c r="E73" s="616">
        <f>'CAPEX Schedule'!$BP$10/1000</f>
        <v>0</v>
      </c>
      <c r="F73" s="616">
        <f>'CAPEX Schedule'!$BP$11/1000</f>
        <v>0</v>
      </c>
      <c r="G73" s="616">
        <f>'CAPEX Schedule'!$BP$12/1000</f>
        <v>0</v>
      </c>
      <c r="H73" s="617">
        <f t="shared" si="12"/>
        <v>0</v>
      </c>
      <c r="I73" s="543"/>
      <c r="J73" s="543"/>
      <c r="K73" s="543"/>
      <c r="L73" s="543"/>
      <c r="M73" s="617">
        <f t="shared" si="10"/>
        <v>0</v>
      </c>
      <c r="N73" s="542"/>
      <c r="O73" s="541"/>
      <c r="P73" s="540"/>
      <c r="Q73" s="540"/>
      <c r="R73" s="539"/>
    </row>
    <row r="74" spans="1:18" ht="16.149999999999999" customHeight="1" x14ac:dyDescent="0.35">
      <c r="A74" s="693">
        <f t="shared" si="11"/>
        <v>6</v>
      </c>
      <c r="B74" s="691">
        <f t="shared" si="13"/>
        <v>67</v>
      </c>
      <c r="C74" s="616">
        <f>'CAPEX Schedule'!$BQ$8/1000</f>
        <v>0</v>
      </c>
      <c r="D74" s="616">
        <f>'CAPEX Schedule'!$BQ$9/1000</f>
        <v>0</v>
      </c>
      <c r="E74" s="616">
        <f>'CAPEX Schedule'!$BQ$10/1000</f>
        <v>2000</v>
      </c>
      <c r="F74" s="616">
        <f>'CAPEX Schedule'!$BQ$11/1000</f>
        <v>2000</v>
      </c>
      <c r="G74" s="616">
        <f>'CAPEX Schedule'!$BQ$12/1000</f>
        <v>0</v>
      </c>
      <c r="H74" s="617">
        <f t="shared" si="12"/>
        <v>4000</v>
      </c>
      <c r="I74" s="543"/>
      <c r="J74" s="543"/>
      <c r="K74" s="543"/>
      <c r="L74" s="543"/>
      <c r="M74" s="617">
        <f t="shared" si="10"/>
        <v>4000</v>
      </c>
      <c r="N74" s="542"/>
      <c r="O74" s="541"/>
      <c r="P74" s="540"/>
      <c r="Q74" s="540"/>
      <c r="R74" s="539"/>
    </row>
    <row r="75" spans="1:18" ht="16.149999999999999" customHeight="1" x14ac:dyDescent="0.35">
      <c r="A75" s="693">
        <f t="shared" si="11"/>
        <v>6</v>
      </c>
      <c r="B75" s="691">
        <f t="shared" si="13"/>
        <v>68</v>
      </c>
      <c r="C75" s="616">
        <f>'CAPEX Schedule'!$BR$8/1000</f>
        <v>0</v>
      </c>
      <c r="D75" s="616">
        <f>'CAPEX Schedule'!$BR$9/1000</f>
        <v>0</v>
      </c>
      <c r="E75" s="616">
        <f>'CAPEX Schedule'!$BR$10/1000</f>
        <v>0</v>
      </c>
      <c r="F75" s="616">
        <f>'CAPEX Schedule'!$BR$11/1000</f>
        <v>0</v>
      </c>
      <c r="G75" s="616">
        <f>'CAPEX Schedule'!$BR$12/1000</f>
        <v>0</v>
      </c>
      <c r="H75" s="617">
        <f t="shared" si="12"/>
        <v>0</v>
      </c>
      <c r="I75" s="543"/>
      <c r="J75" s="543"/>
      <c r="K75" s="543"/>
      <c r="L75" s="543"/>
      <c r="M75" s="617">
        <f t="shared" si="10"/>
        <v>0</v>
      </c>
      <c r="N75" s="542"/>
      <c r="O75" s="541"/>
      <c r="P75" s="540"/>
      <c r="Q75" s="540"/>
      <c r="R75" s="539"/>
    </row>
    <row r="76" spans="1:18" ht="16.149999999999999" customHeight="1" x14ac:dyDescent="0.35">
      <c r="A76" s="693">
        <f t="shared" si="11"/>
        <v>6</v>
      </c>
      <c r="B76" s="691">
        <f t="shared" si="13"/>
        <v>69</v>
      </c>
      <c r="C76" s="616">
        <f>'CAPEX Schedule'!$BS$8/1000</f>
        <v>0</v>
      </c>
      <c r="D76" s="616">
        <f>'CAPEX Schedule'!$BS$9/1000</f>
        <v>0</v>
      </c>
      <c r="E76" s="616">
        <f>'CAPEX Schedule'!$BS$10/1000</f>
        <v>0</v>
      </c>
      <c r="F76" s="616">
        <f>'CAPEX Schedule'!$BS$11/1000</f>
        <v>0</v>
      </c>
      <c r="G76" s="616">
        <f>'CAPEX Schedule'!$BS$12/1000</f>
        <v>0</v>
      </c>
      <c r="H76" s="617">
        <f t="shared" si="12"/>
        <v>0</v>
      </c>
      <c r="I76" s="543"/>
      <c r="J76" s="543"/>
      <c r="K76" s="543"/>
      <c r="L76" s="543"/>
      <c r="M76" s="617">
        <f t="shared" si="10"/>
        <v>0</v>
      </c>
      <c r="N76" s="542"/>
      <c r="O76" s="541"/>
      <c r="P76" s="540"/>
      <c r="Q76" s="540"/>
      <c r="R76" s="539"/>
    </row>
    <row r="77" spans="1:18" ht="16.149999999999999" customHeight="1" x14ac:dyDescent="0.35">
      <c r="A77" s="693">
        <f t="shared" si="11"/>
        <v>6</v>
      </c>
      <c r="B77" s="691">
        <f t="shared" si="13"/>
        <v>70</v>
      </c>
      <c r="C77" s="616">
        <f>'CAPEX Schedule'!$BT$8/1000</f>
        <v>0</v>
      </c>
      <c r="D77" s="616">
        <f>'CAPEX Schedule'!$BT$9/1000</f>
        <v>0</v>
      </c>
      <c r="E77" s="616">
        <f>'CAPEX Schedule'!$BT$10/1000</f>
        <v>0</v>
      </c>
      <c r="F77" s="616">
        <f>'CAPEX Schedule'!$BT$11/1000</f>
        <v>0</v>
      </c>
      <c r="G77" s="616">
        <f>'CAPEX Schedule'!$BT$12/1000</f>
        <v>0</v>
      </c>
      <c r="H77" s="617">
        <f t="shared" si="12"/>
        <v>0</v>
      </c>
      <c r="I77" s="543"/>
      <c r="J77" s="543"/>
      <c r="K77" s="543"/>
      <c r="L77" s="543"/>
      <c r="M77" s="617">
        <f t="shared" si="10"/>
        <v>0</v>
      </c>
      <c r="N77" s="542"/>
      <c r="O77" s="541"/>
      <c r="P77" s="540"/>
      <c r="Q77" s="540"/>
      <c r="R77" s="539"/>
    </row>
    <row r="78" spans="1:18" ht="16.149999999999999" customHeight="1" x14ac:dyDescent="0.35">
      <c r="A78" s="693">
        <f t="shared" si="11"/>
        <v>6</v>
      </c>
      <c r="B78" s="691">
        <f t="shared" si="13"/>
        <v>71</v>
      </c>
      <c r="C78" s="616">
        <f>'CAPEX Schedule'!$BU$8/1000</f>
        <v>0</v>
      </c>
      <c r="D78" s="616">
        <f>'CAPEX Schedule'!$BU$9/1000</f>
        <v>0</v>
      </c>
      <c r="E78" s="616">
        <f>'CAPEX Schedule'!$BU$10/1000</f>
        <v>0</v>
      </c>
      <c r="F78" s="616">
        <f>'CAPEX Schedule'!$BU$11/1000</f>
        <v>0</v>
      </c>
      <c r="G78" s="616">
        <f>'CAPEX Schedule'!$BU$12/1000</f>
        <v>0</v>
      </c>
      <c r="H78" s="617">
        <f t="shared" si="12"/>
        <v>0</v>
      </c>
      <c r="I78" s="543"/>
      <c r="J78" s="543"/>
      <c r="K78" s="543"/>
      <c r="L78" s="543"/>
      <c r="M78" s="617">
        <f t="shared" si="10"/>
        <v>0</v>
      </c>
      <c r="N78" s="542"/>
      <c r="O78" s="541"/>
      <c r="P78" s="540"/>
      <c r="Q78" s="540"/>
      <c r="R78" s="539"/>
    </row>
    <row r="79" spans="1:18" ht="16.149999999999999" customHeight="1" x14ac:dyDescent="0.35">
      <c r="A79" s="693">
        <f t="shared" si="11"/>
        <v>6</v>
      </c>
      <c r="B79" s="691">
        <f t="shared" si="13"/>
        <v>72</v>
      </c>
      <c r="C79" s="616">
        <f>'CAPEX Schedule'!$BV$8/1000</f>
        <v>0</v>
      </c>
      <c r="D79" s="616">
        <f>'CAPEX Schedule'!$BV$9/1000</f>
        <v>0</v>
      </c>
      <c r="E79" s="616">
        <f>'CAPEX Schedule'!$BV$10/1000</f>
        <v>0</v>
      </c>
      <c r="F79" s="616">
        <f>'CAPEX Schedule'!$BV$11/1000</f>
        <v>0</v>
      </c>
      <c r="G79" s="616">
        <f>'CAPEX Schedule'!$BV$12/1000</f>
        <v>0</v>
      </c>
      <c r="H79" s="617">
        <f t="shared" si="12"/>
        <v>0</v>
      </c>
      <c r="I79" s="543"/>
      <c r="J79" s="543"/>
      <c r="K79" s="543"/>
      <c r="L79" s="543"/>
      <c r="M79" s="617">
        <f t="shared" si="10"/>
        <v>0</v>
      </c>
      <c r="N79" s="542"/>
      <c r="O79" s="541"/>
      <c r="P79" s="540"/>
      <c r="Q79" s="540"/>
      <c r="R79" s="539"/>
    </row>
    <row r="80" spans="1:18" ht="16.149999999999999" customHeight="1" x14ac:dyDescent="0.35">
      <c r="A80" s="693">
        <f t="shared" si="11"/>
        <v>7</v>
      </c>
      <c r="B80" s="691">
        <f t="shared" si="13"/>
        <v>73</v>
      </c>
      <c r="C80" s="616">
        <f>'CAPEX Schedule'!$BW$8/1000</f>
        <v>0</v>
      </c>
      <c r="D80" s="616">
        <f>'CAPEX Schedule'!$BW$9/1000</f>
        <v>0</v>
      </c>
      <c r="E80" s="616">
        <f>'CAPEX Schedule'!$BW$10/1000</f>
        <v>0</v>
      </c>
      <c r="F80" s="616">
        <f>'CAPEX Schedule'!$BW$11/1000</f>
        <v>0</v>
      </c>
      <c r="G80" s="616">
        <f>'CAPEX Schedule'!$BW$12/1000</f>
        <v>0</v>
      </c>
      <c r="H80" s="617">
        <f t="shared" si="12"/>
        <v>0</v>
      </c>
      <c r="I80" s="543"/>
      <c r="J80" s="543"/>
      <c r="K80" s="543"/>
      <c r="L80" s="543"/>
      <c r="M80" s="617">
        <f t="shared" si="10"/>
        <v>0</v>
      </c>
      <c r="N80" s="542"/>
      <c r="O80" s="541"/>
      <c r="P80" s="540"/>
      <c r="Q80" s="540"/>
      <c r="R80" s="539"/>
    </row>
    <row r="81" spans="1:18" ht="16.149999999999999" customHeight="1" x14ac:dyDescent="0.35">
      <c r="A81" s="693">
        <f t="shared" si="11"/>
        <v>7</v>
      </c>
      <c r="B81" s="691">
        <f t="shared" si="13"/>
        <v>74</v>
      </c>
      <c r="C81" s="616">
        <f>'CAPEX Schedule'!$BX$8/1000</f>
        <v>0</v>
      </c>
      <c r="D81" s="616">
        <f>'CAPEX Schedule'!$BX$9/1000</f>
        <v>0</v>
      </c>
      <c r="E81" s="616">
        <f>'CAPEX Schedule'!$BX$10/1000</f>
        <v>0</v>
      </c>
      <c r="F81" s="616">
        <f>'CAPEX Schedule'!$BX$11/1000</f>
        <v>0</v>
      </c>
      <c r="G81" s="616">
        <f>'CAPEX Schedule'!$BX$12/1000</f>
        <v>0</v>
      </c>
      <c r="H81" s="617">
        <f t="shared" si="12"/>
        <v>0</v>
      </c>
      <c r="I81" s="543"/>
      <c r="J81" s="543"/>
      <c r="K81" s="543"/>
      <c r="L81" s="543"/>
      <c r="M81" s="617">
        <f t="shared" si="10"/>
        <v>0</v>
      </c>
      <c r="N81" s="542"/>
      <c r="O81" s="541"/>
      <c r="P81" s="540"/>
      <c r="Q81" s="540"/>
      <c r="R81" s="539"/>
    </row>
    <row r="82" spans="1:18" ht="16.149999999999999" customHeight="1" x14ac:dyDescent="0.35">
      <c r="A82" s="693">
        <f t="shared" si="11"/>
        <v>7</v>
      </c>
      <c r="B82" s="691">
        <f t="shared" si="13"/>
        <v>75</v>
      </c>
      <c r="C82" s="616">
        <f>'CAPEX Schedule'!$BY$8/1000</f>
        <v>0</v>
      </c>
      <c r="D82" s="616">
        <f>'CAPEX Schedule'!$BY$9/1000</f>
        <v>0</v>
      </c>
      <c r="E82" s="616">
        <f>'CAPEX Schedule'!$BY$10/1000</f>
        <v>0</v>
      </c>
      <c r="F82" s="616">
        <f>'CAPEX Schedule'!$BY$11/1000</f>
        <v>0</v>
      </c>
      <c r="G82" s="616">
        <f>'CAPEX Schedule'!$BY$12/1000</f>
        <v>0</v>
      </c>
      <c r="H82" s="617">
        <f t="shared" si="12"/>
        <v>0</v>
      </c>
      <c r="I82" s="543"/>
      <c r="J82" s="543"/>
      <c r="K82" s="543"/>
      <c r="L82" s="543"/>
      <c r="M82" s="617">
        <f t="shared" si="10"/>
        <v>0</v>
      </c>
      <c r="N82" s="542"/>
      <c r="O82" s="541"/>
      <c r="P82" s="540"/>
      <c r="Q82" s="540"/>
      <c r="R82" s="539"/>
    </row>
    <row r="83" spans="1:18" ht="16.149999999999999" customHeight="1" x14ac:dyDescent="0.35">
      <c r="A83" s="693">
        <f t="shared" si="11"/>
        <v>7</v>
      </c>
      <c r="B83" s="691">
        <f t="shared" si="13"/>
        <v>76</v>
      </c>
      <c r="C83" s="616">
        <f>'CAPEX Schedule'!$BZ$8/1000</f>
        <v>0</v>
      </c>
      <c r="D83" s="616">
        <f>'CAPEX Schedule'!$BZ$9/1000</f>
        <v>0</v>
      </c>
      <c r="E83" s="616">
        <f>'CAPEX Schedule'!$BZ$10/1000</f>
        <v>0</v>
      </c>
      <c r="F83" s="616">
        <f>'CAPEX Schedule'!$BZ$11/1000</f>
        <v>0</v>
      </c>
      <c r="G83" s="616">
        <f>'CAPEX Schedule'!$BZ$12/1000</f>
        <v>0</v>
      </c>
      <c r="H83" s="617">
        <f t="shared" si="12"/>
        <v>0</v>
      </c>
      <c r="I83" s="543"/>
      <c r="J83" s="543"/>
      <c r="K83" s="543"/>
      <c r="L83" s="543"/>
      <c r="M83" s="617">
        <f t="shared" si="10"/>
        <v>0</v>
      </c>
      <c r="N83" s="542"/>
      <c r="O83" s="541"/>
      <c r="P83" s="540"/>
      <c r="Q83" s="540"/>
      <c r="R83" s="539"/>
    </row>
    <row r="84" spans="1:18" ht="16.149999999999999" customHeight="1" x14ac:dyDescent="0.35">
      <c r="A84" s="693">
        <f t="shared" si="11"/>
        <v>7</v>
      </c>
      <c r="B84" s="691">
        <f t="shared" si="13"/>
        <v>77</v>
      </c>
      <c r="C84" s="616">
        <f>'CAPEX Schedule'!$CA$8/1000</f>
        <v>0</v>
      </c>
      <c r="D84" s="616">
        <f>'CAPEX Schedule'!$CA$9/1000</f>
        <v>0</v>
      </c>
      <c r="E84" s="616">
        <f>'CAPEX Schedule'!$CA$10/1000</f>
        <v>0</v>
      </c>
      <c r="F84" s="616">
        <f>'CAPEX Schedule'!$CA$11/1000</f>
        <v>0</v>
      </c>
      <c r="G84" s="616">
        <f>'CAPEX Schedule'!$CA$12/1000</f>
        <v>0</v>
      </c>
      <c r="H84" s="617">
        <f t="shared" si="12"/>
        <v>0</v>
      </c>
      <c r="I84" s="543"/>
      <c r="J84" s="543"/>
      <c r="K84" s="543"/>
      <c r="L84" s="543"/>
      <c r="M84" s="617">
        <f t="shared" si="10"/>
        <v>0</v>
      </c>
      <c r="N84" s="542"/>
      <c r="O84" s="541"/>
      <c r="P84" s="540"/>
      <c r="Q84" s="540"/>
      <c r="R84" s="539"/>
    </row>
    <row r="85" spans="1:18" ht="16.149999999999999" customHeight="1" x14ac:dyDescent="0.35">
      <c r="A85" s="693">
        <f t="shared" si="11"/>
        <v>7</v>
      </c>
      <c r="B85" s="691">
        <f t="shared" si="13"/>
        <v>78</v>
      </c>
      <c r="C85" s="616">
        <f>'CAPEX Schedule'!$CB$8/1000</f>
        <v>0</v>
      </c>
      <c r="D85" s="616">
        <f>'CAPEX Schedule'!$CB$9/1000</f>
        <v>0</v>
      </c>
      <c r="E85" s="616">
        <f>'CAPEX Schedule'!$CB$10/1000</f>
        <v>0</v>
      </c>
      <c r="F85" s="616">
        <f>'CAPEX Schedule'!$CB$11/1000</f>
        <v>0</v>
      </c>
      <c r="G85" s="616">
        <f>'CAPEX Schedule'!$CB$12/1000</f>
        <v>0</v>
      </c>
      <c r="H85" s="617">
        <f t="shared" si="12"/>
        <v>0</v>
      </c>
      <c r="I85" s="543"/>
      <c r="J85" s="543"/>
      <c r="K85" s="543"/>
      <c r="L85" s="543"/>
      <c r="M85" s="617">
        <f t="shared" si="10"/>
        <v>0</v>
      </c>
      <c r="N85" s="542"/>
      <c r="O85" s="541"/>
      <c r="P85" s="540"/>
      <c r="Q85" s="540"/>
      <c r="R85" s="539"/>
    </row>
    <row r="86" spans="1:18" ht="16.149999999999999" customHeight="1" x14ac:dyDescent="0.35">
      <c r="A86" s="693">
        <f t="shared" si="11"/>
        <v>7</v>
      </c>
      <c r="B86" s="691">
        <f t="shared" si="13"/>
        <v>79</v>
      </c>
      <c r="C86" s="616">
        <f>'CAPEX Schedule'!$CC$8/1000</f>
        <v>0</v>
      </c>
      <c r="D86" s="616">
        <f>'CAPEX Schedule'!$CC$9/1000</f>
        <v>0</v>
      </c>
      <c r="E86" s="616">
        <f>'CAPEX Schedule'!$CC$10/1000</f>
        <v>0</v>
      </c>
      <c r="F86" s="616">
        <f>'CAPEX Schedule'!$CC$11/1000</f>
        <v>0</v>
      </c>
      <c r="G86" s="616">
        <f>'CAPEX Schedule'!$CC$12/1000</f>
        <v>0</v>
      </c>
      <c r="H86" s="617">
        <f t="shared" si="12"/>
        <v>0</v>
      </c>
      <c r="I86" s="543"/>
      <c r="J86" s="543"/>
      <c r="K86" s="543"/>
      <c r="L86" s="543"/>
      <c r="M86" s="617">
        <f t="shared" si="10"/>
        <v>0</v>
      </c>
      <c r="N86" s="542"/>
      <c r="O86" s="541"/>
      <c r="P86" s="540"/>
      <c r="Q86" s="540"/>
      <c r="R86" s="539"/>
    </row>
    <row r="87" spans="1:18" ht="16.149999999999999" customHeight="1" x14ac:dyDescent="0.35">
      <c r="A87" s="693">
        <f t="shared" si="11"/>
        <v>7</v>
      </c>
      <c r="B87" s="691">
        <f t="shared" si="13"/>
        <v>80</v>
      </c>
      <c r="C87" s="616">
        <f>'CAPEX Schedule'!$CD$8/1000</f>
        <v>0</v>
      </c>
      <c r="D87" s="616">
        <f>'CAPEX Schedule'!$CD$9/1000</f>
        <v>0</v>
      </c>
      <c r="E87" s="616">
        <f>'CAPEX Schedule'!$CD$10/1000</f>
        <v>0</v>
      </c>
      <c r="F87" s="616">
        <f>'CAPEX Schedule'!$CD$11/1000</f>
        <v>0</v>
      </c>
      <c r="G87" s="616">
        <f>'CAPEX Schedule'!$CD$12/1000</f>
        <v>0</v>
      </c>
      <c r="H87" s="617">
        <f t="shared" si="12"/>
        <v>0</v>
      </c>
      <c r="I87" s="543"/>
      <c r="J87" s="543"/>
      <c r="K87" s="543"/>
      <c r="L87" s="543"/>
      <c r="M87" s="617">
        <f t="shared" si="10"/>
        <v>0</v>
      </c>
      <c r="N87" s="542"/>
      <c r="O87" s="541"/>
      <c r="P87" s="540"/>
      <c r="Q87" s="540"/>
      <c r="R87" s="539"/>
    </row>
    <row r="88" spans="1:18" ht="16.149999999999999" customHeight="1" x14ac:dyDescent="0.35">
      <c r="A88" s="693">
        <f t="shared" si="11"/>
        <v>7</v>
      </c>
      <c r="B88" s="691">
        <f t="shared" si="13"/>
        <v>81</v>
      </c>
      <c r="C88" s="616">
        <f>'CAPEX Schedule'!$CE$8/1000</f>
        <v>0</v>
      </c>
      <c r="D88" s="616">
        <f>'CAPEX Schedule'!$CE$9/1000</f>
        <v>0</v>
      </c>
      <c r="E88" s="616">
        <f>'CAPEX Schedule'!$CE$10/1000</f>
        <v>0</v>
      </c>
      <c r="F88" s="616">
        <f>'CAPEX Schedule'!$CE$11/1000</f>
        <v>0</v>
      </c>
      <c r="G88" s="616">
        <f>'CAPEX Schedule'!$CE$12/1000</f>
        <v>0</v>
      </c>
      <c r="H88" s="617">
        <f t="shared" si="12"/>
        <v>0</v>
      </c>
      <c r="I88" s="543"/>
      <c r="J88" s="543"/>
      <c r="K88" s="543"/>
      <c r="L88" s="543"/>
      <c r="M88" s="617">
        <f t="shared" si="10"/>
        <v>0</v>
      </c>
      <c r="N88" s="542"/>
      <c r="O88" s="541"/>
      <c r="P88" s="540"/>
      <c r="Q88" s="540"/>
      <c r="R88" s="539"/>
    </row>
    <row r="89" spans="1:18" ht="16.149999999999999" customHeight="1" x14ac:dyDescent="0.35">
      <c r="A89" s="693">
        <f t="shared" si="11"/>
        <v>7</v>
      </c>
      <c r="B89" s="691">
        <f t="shared" si="13"/>
        <v>82</v>
      </c>
      <c r="C89" s="616">
        <f>'CAPEX Schedule'!$CF$8/1000</f>
        <v>0</v>
      </c>
      <c r="D89" s="616">
        <f>'CAPEX Schedule'!$CF$9/1000</f>
        <v>0</v>
      </c>
      <c r="E89" s="616">
        <f>'CAPEX Schedule'!$CF$10/1000</f>
        <v>0</v>
      </c>
      <c r="F89" s="616">
        <f>'CAPEX Schedule'!$CF$11/1000</f>
        <v>0</v>
      </c>
      <c r="G89" s="616">
        <f>'CAPEX Schedule'!$CF$12/1000</f>
        <v>0</v>
      </c>
      <c r="H89" s="617">
        <f t="shared" si="12"/>
        <v>0</v>
      </c>
      <c r="I89" s="543"/>
      <c r="J89" s="543"/>
      <c r="K89" s="543"/>
      <c r="L89" s="543"/>
      <c r="M89" s="617">
        <f t="shared" si="10"/>
        <v>0</v>
      </c>
      <c r="N89" s="542"/>
      <c r="O89" s="541"/>
      <c r="P89" s="540"/>
      <c r="Q89" s="540"/>
      <c r="R89" s="539"/>
    </row>
    <row r="90" spans="1:18" ht="16.149999999999999" customHeight="1" x14ac:dyDescent="0.35">
      <c r="A90" s="693">
        <f t="shared" si="11"/>
        <v>7</v>
      </c>
      <c r="B90" s="691">
        <f t="shared" si="13"/>
        <v>83</v>
      </c>
      <c r="C90" s="616">
        <f>'CAPEX Schedule'!$CG$8/1000</f>
        <v>0</v>
      </c>
      <c r="D90" s="616">
        <f>'CAPEX Schedule'!$CG$9/1000</f>
        <v>0</v>
      </c>
      <c r="E90" s="616">
        <f>'CAPEX Schedule'!$CG$10/1000</f>
        <v>0</v>
      </c>
      <c r="F90" s="616">
        <f>'CAPEX Schedule'!$CG$11/1000</f>
        <v>0</v>
      </c>
      <c r="G90" s="616">
        <f>'CAPEX Schedule'!$CG$12/1000</f>
        <v>0</v>
      </c>
      <c r="H90" s="617">
        <f t="shared" si="12"/>
        <v>0</v>
      </c>
      <c r="I90" s="543"/>
      <c r="J90" s="543"/>
      <c r="K90" s="543"/>
      <c r="L90" s="543"/>
      <c r="M90" s="617">
        <f t="shared" si="10"/>
        <v>0</v>
      </c>
      <c r="N90" s="542"/>
      <c r="O90" s="541"/>
      <c r="P90" s="540"/>
      <c r="Q90" s="540"/>
      <c r="R90" s="539"/>
    </row>
    <row r="91" spans="1:18" ht="16.149999999999999" customHeight="1" x14ac:dyDescent="0.35">
      <c r="A91" s="693">
        <f t="shared" si="11"/>
        <v>7</v>
      </c>
      <c r="B91" s="691">
        <f t="shared" si="13"/>
        <v>84</v>
      </c>
      <c r="C91" s="616">
        <f>'CAPEX Schedule'!$CH$8/1000</f>
        <v>0</v>
      </c>
      <c r="D91" s="616">
        <f>'CAPEX Schedule'!$CH$9/1000</f>
        <v>0</v>
      </c>
      <c r="E91" s="616">
        <f>'CAPEX Schedule'!$CH$10/1000</f>
        <v>0</v>
      </c>
      <c r="F91" s="616">
        <f>'CAPEX Schedule'!$CH$11/1000</f>
        <v>0</v>
      </c>
      <c r="G91" s="616">
        <f>'CAPEX Schedule'!$CH$12/1000</f>
        <v>0</v>
      </c>
      <c r="H91" s="617">
        <f t="shared" si="12"/>
        <v>0</v>
      </c>
      <c r="I91" s="543"/>
      <c r="J91" s="543"/>
      <c r="K91" s="543"/>
      <c r="L91" s="543"/>
      <c r="M91" s="617">
        <f t="shared" si="10"/>
        <v>0</v>
      </c>
      <c r="N91" s="542"/>
      <c r="O91" s="541"/>
      <c r="P91" s="540"/>
      <c r="Q91" s="540"/>
      <c r="R91" s="539"/>
    </row>
    <row r="92" spans="1:18" ht="16.149999999999999" customHeight="1" x14ac:dyDescent="0.35">
      <c r="A92" s="693">
        <f t="shared" si="11"/>
        <v>8</v>
      </c>
      <c r="B92" s="691">
        <f t="shared" si="13"/>
        <v>85</v>
      </c>
      <c r="C92" s="616">
        <f>'CAPEX Schedule'!$CI$8/1000</f>
        <v>0</v>
      </c>
      <c r="D92" s="616">
        <f>'CAPEX Schedule'!$CI$9/1000</f>
        <v>0</v>
      </c>
      <c r="E92" s="616">
        <f>'CAPEX Schedule'!$CI$10/1000</f>
        <v>0</v>
      </c>
      <c r="F92" s="616">
        <f>'CAPEX Schedule'!$CI$11/1000</f>
        <v>0</v>
      </c>
      <c r="G92" s="616">
        <f>'CAPEX Schedule'!$CI$12/1000</f>
        <v>0</v>
      </c>
      <c r="H92" s="617">
        <f t="shared" si="12"/>
        <v>0</v>
      </c>
      <c r="I92" s="543"/>
      <c r="J92" s="543"/>
      <c r="K92" s="543"/>
      <c r="L92" s="543"/>
      <c r="M92" s="617">
        <f t="shared" si="10"/>
        <v>0</v>
      </c>
      <c r="N92" s="542"/>
      <c r="O92" s="541"/>
      <c r="P92" s="540"/>
      <c r="Q92" s="540"/>
      <c r="R92" s="539"/>
    </row>
    <row r="93" spans="1:18" ht="16.149999999999999" customHeight="1" x14ac:dyDescent="0.35">
      <c r="A93" s="693">
        <f t="shared" si="11"/>
        <v>8</v>
      </c>
      <c r="B93" s="691">
        <f t="shared" si="13"/>
        <v>86</v>
      </c>
      <c r="C93" s="616">
        <f>'CAPEX Schedule'!$CJ$8/1000</f>
        <v>0</v>
      </c>
      <c r="D93" s="616">
        <f>'CAPEX Schedule'!$CJ$9/1000</f>
        <v>0</v>
      </c>
      <c r="E93" s="616">
        <f>'CAPEX Schedule'!$CJ$10/1000</f>
        <v>0</v>
      </c>
      <c r="F93" s="616">
        <f>'CAPEX Schedule'!$CJ$11/1000</f>
        <v>0</v>
      </c>
      <c r="G93" s="616">
        <f>'CAPEX Schedule'!$CJ$12/1000</f>
        <v>0</v>
      </c>
      <c r="H93" s="617">
        <f t="shared" si="12"/>
        <v>0</v>
      </c>
      <c r="I93" s="543"/>
      <c r="J93" s="543"/>
      <c r="K93" s="543"/>
      <c r="L93" s="543"/>
      <c r="M93" s="617">
        <f t="shared" si="10"/>
        <v>0</v>
      </c>
      <c r="N93" s="542"/>
      <c r="O93" s="541"/>
      <c r="P93" s="540"/>
      <c r="Q93" s="540"/>
      <c r="R93" s="539"/>
    </row>
    <row r="94" spans="1:18" ht="16.149999999999999" customHeight="1" x14ac:dyDescent="0.35">
      <c r="A94" s="693">
        <f t="shared" si="11"/>
        <v>8</v>
      </c>
      <c r="B94" s="691">
        <f t="shared" si="13"/>
        <v>87</v>
      </c>
      <c r="C94" s="616">
        <f>'CAPEX Schedule'!$CK$8/1000</f>
        <v>0</v>
      </c>
      <c r="D94" s="616">
        <f>'CAPEX Schedule'!$CK$9/1000</f>
        <v>0</v>
      </c>
      <c r="E94" s="616">
        <f>'CAPEX Schedule'!$CK$10/1000</f>
        <v>0</v>
      </c>
      <c r="F94" s="616">
        <f>'CAPEX Schedule'!$CK$11/1000</f>
        <v>0</v>
      </c>
      <c r="G94" s="616">
        <f>'CAPEX Schedule'!$CK$12/1000</f>
        <v>0</v>
      </c>
      <c r="H94" s="617">
        <f t="shared" si="12"/>
        <v>0</v>
      </c>
      <c r="I94" s="543"/>
      <c r="J94" s="543"/>
      <c r="K94" s="543"/>
      <c r="L94" s="543"/>
      <c r="M94" s="617">
        <f t="shared" si="10"/>
        <v>0</v>
      </c>
      <c r="N94" s="542"/>
      <c r="O94" s="541"/>
      <c r="P94" s="540"/>
      <c r="Q94" s="540"/>
      <c r="R94" s="539"/>
    </row>
    <row r="95" spans="1:18" ht="16.149999999999999" customHeight="1" x14ac:dyDescent="0.35">
      <c r="A95" s="693">
        <f t="shared" si="11"/>
        <v>8</v>
      </c>
      <c r="B95" s="691">
        <f t="shared" si="13"/>
        <v>88</v>
      </c>
      <c r="C95" s="616">
        <f>'CAPEX Schedule'!$CL$8/1000</f>
        <v>0</v>
      </c>
      <c r="D95" s="616">
        <f>'CAPEX Schedule'!$CL$9/1000</f>
        <v>0</v>
      </c>
      <c r="E95" s="616">
        <f>'CAPEX Schedule'!$CL$10/1000</f>
        <v>0</v>
      </c>
      <c r="F95" s="616">
        <f>'CAPEX Schedule'!$CL$11/1000</f>
        <v>0</v>
      </c>
      <c r="G95" s="616">
        <f>'CAPEX Schedule'!$CL$12/1000</f>
        <v>0</v>
      </c>
      <c r="H95" s="617">
        <f t="shared" si="12"/>
        <v>0</v>
      </c>
      <c r="I95" s="543"/>
      <c r="J95" s="543"/>
      <c r="K95" s="543"/>
      <c r="L95" s="543"/>
      <c r="M95" s="617">
        <f t="shared" si="10"/>
        <v>0</v>
      </c>
      <c r="N95" s="542"/>
      <c r="O95" s="541"/>
      <c r="P95" s="540"/>
      <c r="Q95" s="540"/>
      <c r="R95" s="539"/>
    </row>
    <row r="96" spans="1:18" ht="16.149999999999999" customHeight="1" x14ac:dyDescent="0.35">
      <c r="A96" s="693">
        <f t="shared" si="11"/>
        <v>8</v>
      </c>
      <c r="B96" s="691">
        <f t="shared" si="13"/>
        <v>89</v>
      </c>
      <c r="C96" s="616">
        <f>'CAPEX Schedule'!$CM$8/1000</f>
        <v>0</v>
      </c>
      <c r="D96" s="616">
        <f>'CAPEX Schedule'!$CM$9/1000</f>
        <v>0</v>
      </c>
      <c r="E96" s="616">
        <f>'CAPEX Schedule'!$CM$10/1000</f>
        <v>0</v>
      </c>
      <c r="F96" s="616">
        <f>'CAPEX Schedule'!$CM$11/1000</f>
        <v>0</v>
      </c>
      <c r="G96" s="616">
        <f>'CAPEX Schedule'!$CM$12/1000</f>
        <v>0</v>
      </c>
      <c r="H96" s="617">
        <f t="shared" si="12"/>
        <v>0</v>
      </c>
      <c r="I96" s="543"/>
      <c r="J96" s="543"/>
      <c r="K96" s="543"/>
      <c r="L96" s="543"/>
      <c r="M96" s="617">
        <f t="shared" ref="M96:M159" si="14">SUM(C96:G96)</f>
        <v>0</v>
      </c>
      <c r="N96" s="542"/>
      <c r="O96" s="541"/>
      <c r="P96" s="540"/>
      <c r="Q96" s="540"/>
      <c r="R96" s="539"/>
    </row>
    <row r="97" spans="1:18" ht="16.149999999999999" customHeight="1" x14ac:dyDescent="0.35">
      <c r="A97" s="693">
        <f t="shared" si="11"/>
        <v>8</v>
      </c>
      <c r="B97" s="691">
        <f t="shared" si="13"/>
        <v>90</v>
      </c>
      <c r="C97" s="616">
        <f>'CAPEX Schedule'!$CN$8/1000</f>
        <v>0</v>
      </c>
      <c r="D97" s="616">
        <f>'CAPEX Schedule'!$CN$9/1000</f>
        <v>0</v>
      </c>
      <c r="E97" s="616">
        <f>'CAPEX Schedule'!$CN$10/1000</f>
        <v>0</v>
      </c>
      <c r="F97" s="616">
        <f>'CAPEX Schedule'!$CN$11/1000</f>
        <v>0</v>
      </c>
      <c r="G97" s="616">
        <f>'CAPEX Schedule'!$CN$12/1000</f>
        <v>0</v>
      </c>
      <c r="H97" s="617">
        <f t="shared" si="12"/>
        <v>0</v>
      </c>
      <c r="I97" s="543"/>
      <c r="J97" s="543"/>
      <c r="K97" s="543"/>
      <c r="L97" s="543"/>
      <c r="M97" s="617">
        <f t="shared" si="14"/>
        <v>0</v>
      </c>
      <c r="N97" s="542"/>
      <c r="O97" s="541"/>
      <c r="P97" s="540"/>
      <c r="Q97" s="540"/>
      <c r="R97" s="539"/>
    </row>
    <row r="98" spans="1:18" ht="16.149999999999999" customHeight="1" x14ac:dyDescent="0.35">
      <c r="A98" s="693">
        <f t="shared" si="11"/>
        <v>8</v>
      </c>
      <c r="B98" s="691">
        <f t="shared" si="13"/>
        <v>91</v>
      </c>
      <c r="C98" s="616">
        <f>'CAPEX Schedule'!$CO$8/1000</f>
        <v>0</v>
      </c>
      <c r="D98" s="616">
        <f>'CAPEX Schedule'!$CO$9/1000</f>
        <v>0</v>
      </c>
      <c r="E98" s="616">
        <f>'CAPEX Schedule'!$CO$10/1000</f>
        <v>0</v>
      </c>
      <c r="F98" s="616">
        <f>'CAPEX Schedule'!$CO$11/1000</f>
        <v>0</v>
      </c>
      <c r="G98" s="616">
        <f>'CAPEX Schedule'!$CO$12/1000</f>
        <v>0</v>
      </c>
      <c r="H98" s="617">
        <f t="shared" si="12"/>
        <v>0</v>
      </c>
      <c r="I98" s="543"/>
      <c r="J98" s="543"/>
      <c r="K98" s="543"/>
      <c r="L98" s="543"/>
      <c r="M98" s="617">
        <f t="shared" si="14"/>
        <v>0</v>
      </c>
      <c r="N98" s="542"/>
      <c r="O98" s="541"/>
      <c r="P98" s="540"/>
      <c r="Q98" s="540"/>
      <c r="R98" s="539"/>
    </row>
    <row r="99" spans="1:18" ht="16.149999999999999" customHeight="1" x14ac:dyDescent="0.35">
      <c r="A99" s="693">
        <f t="shared" si="11"/>
        <v>8</v>
      </c>
      <c r="B99" s="691">
        <f t="shared" si="13"/>
        <v>92</v>
      </c>
      <c r="C99" s="616">
        <f>'CAPEX Schedule'!$CP$8/1000</f>
        <v>0</v>
      </c>
      <c r="D99" s="616">
        <f>'CAPEX Schedule'!$CP$9/1000</f>
        <v>0</v>
      </c>
      <c r="E99" s="616">
        <f>'CAPEX Schedule'!$CP$10/1000</f>
        <v>0</v>
      </c>
      <c r="F99" s="616">
        <f>'CAPEX Schedule'!$CP$11/1000</f>
        <v>0</v>
      </c>
      <c r="G99" s="616">
        <f>'CAPEX Schedule'!$CP$12/1000</f>
        <v>0</v>
      </c>
      <c r="H99" s="617">
        <f t="shared" si="12"/>
        <v>0</v>
      </c>
      <c r="I99" s="543"/>
      <c r="J99" s="543"/>
      <c r="K99" s="543"/>
      <c r="L99" s="543"/>
      <c r="M99" s="617">
        <f t="shared" si="14"/>
        <v>0</v>
      </c>
      <c r="N99" s="542"/>
      <c r="O99" s="541"/>
      <c r="P99" s="540"/>
      <c r="Q99" s="540"/>
      <c r="R99" s="539"/>
    </row>
    <row r="100" spans="1:18" ht="16.149999999999999" customHeight="1" x14ac:dyDescent="0.35">
      <c r="A100" s="693">
        <f t="shared" si="11"/>
        <v>8</v>
      </c>
      <c r="B100" s="691">
        <f t="shared" si="13"/>
        <v>93</v>
      </c>
      <c r="C100" s="616">
        <f>'CAPEX Schedule'!$CQ$8/1000</f>
        <v>0</v>
      </c>
      <c r="D100" s="616">
        <f>'CAPEX Schedule'!$CQ$9/1000</f>
        <v>0</v>
      </c>
      <c r="E100" s="616">
        <f>'CAPEX Schedule'!$CQ$10/1000</f>
        <v>0</v>
      </c>
      <c r="F100" s="616">
        <f>'CAPEX Schedule'!$CQ$11/1000</f>
        <v>0</v>
      </c>
      <c r="G100" s="616">
        <f>'CAPEX Schedule'!$CQ$12/1000</f>
        <v>0</v>
      </c>
      <c r="H100" s="617">
        <f t="shared" si="12"/>
        <v>0</v>
      </c>
      <c r="I100" s="543"/>
      <c r="J100" s="543"/>
      <c r="K100" s="543"/>
      <c r="L100" s="543"/>
      <c r="M100" s="617">
        <f t="shared" si="14"/>
        <v>0</v>
      </c>
      <c r="N100" s="542"/>
      <c r="O100" s="541"/>
      <c r="P100" s="540"/>
      <c r="Q100" s="540"/>
      <c r="R100" s="539"/>
    </row>
    <row r="101" spans="1:18" ht="16.149999999999999" customHeight="1" x14ac:dyDescent="0.35">
      <c r="A101" s="693">
        <f t="shared" si="11"/>
        <v>8</v>
      </c>
      <c r="B101" s="691">
        <f t="shared" si="13"/>
        <v>94</v>
      </c>
      <c r="C101" s="616">
        <f>'CAPEX Schedule'!$CR$8/1000</f>
        <v>0</v>
      </c>
      <c r="D101" s="616">
        <f>'CAPEX Schedule'!$CR$9/1000</f>
        <v>0</v>
      </c>
      <c r="E101" s="616">
        <f>'CAPEX Schedule'!$CR$10/1000</f>
        <v>0</v>
      </c>
      <c r="F101" s="616">
        <f>'CAPEX Schedule'!$CR$11/1000</f>
        <v>0</v>
      </c>
      <c r="G101" s="616">
        <f>'CAPEX Schedule'!$CR$12/1000</f>
        <v>0</v>
      </c>
      <c r="H101" s="617">
        <f t="shared" si="12"/>
        <v>0</v>
      </c>
      <c r="I101" s="543"/>
      <c r="J101" s="543"/>
      <c r="K101" s="543"/>
      <c r="L101" s="543"/>
      <c r="M101" s="617">
        <f t="shared" si="14"/>
        <v>0</v>
      </c>
      <c r="N101" s="542"/>
      <c r="O101" s="541"/>
      <c r="P101" s="540"/>
      <c r="Q101" s="540"/>
      <c r="R101" s="539"/>
    </row>
    <row r="102" spans="1:18" ht="16.149999999999999" customHeight="1" x14ac:dyDescent="0.35">
      <c r="A102" s="693">
        <f t="shared" si="11"/>
        <v>8</v>
      </c>
      <c r="B102" s="691">
        <f t="shared" si="13"/>
        <v>95</v>
      </c>
      <c r="C102" s="616">
        <f>'CAPEX Schedule'!$CS$8/1000</f>
        <v>0</v>
      </c>
      <c r="D102" s="616">
        <f>'CAPEX Schedule'!$CS$9/1000</f>
        <v>0</v>
      </c>
      <c r="E102" s="616">
        <f>'CAPEX Schedule'!$CS$10/1000</f>
        <v>0</v>
      </c>
      <c r="F102" s="616">
        <f>'CAPEX Schedule'!$CS$11/1000</f>
        <v>0</v>
      </c>
      <c r="G102" s="616">
        <f>'CAPEX Schedule'!$CS$12/1000</f>
        <v>0</v>
      </c>
      <c r="H102" s="617">
        <f t="shared" si="12"/>
        <v>0</v>
      </c>
      <c r="I102" s="543"/>
      <c r="J102" s="543"/>
      <c r="K102" s="543"/>
      <c r="L102" s="543"/>
      <c r="M102" s="617">
        <f t="shared" si="14"/>
        <v>0</v>
      </c>
      <c r="N102" s="542"/>
      <c r="O102" s="541"/>
      <c r="P102" s="540"/>
      <c r="Q102" s="540"/>
      <c r="R102" s="539"/>
    </row>
    <row r="103" spans="1:18" ht="16.149999999999999" customHeight="1" x14ac:dyDescent="0.35">
      <c r="A103" s="693">
        <f t="shared" si="11"/>
        <v>8</v>
      </c>
      <c r="B103" s="691">
        <f t="shared" si="13"/>
        <v>96</v>
      </c>
      <c r="C103" s="616">
        <f>'CAPEX Schedule'!$CT$8/1000</f>
        <v>0</v>
      </c>
      <c r="D103" s="616">
        <f>'CAPEX Schedule'!$CT$9/1000</f>
        <v>0</v>
      </c>
      <c r="E103" s="616">
        <f>'CAPEX Schedule'!$CT$10/1000</f>
        <v>0</v>
      </c>
      <c r="F103" s="616">
        <f>'CAPEX Schedule'!$CT$11/1000</f>
        <v>0</v>
      </c>
      <c r="G103" s="616">
        <f>'CAPEX Schedule'!$CT$12/1000</f>
        <v>0</v>
      </c>
      <c r="H103" s="617">
        <f t="shared" si="12"/>
        <v>0</v>
      </c>
      <c r="I103" s="543"/>
      <c r="J103" s="543"/>
      <c r="K103" s="543"/>
      <c r="L103" s="543"/>
      <c r="M103" s="617">
        <f t="shared" si="14"/>
        <v>0</v>
      </c>
      <c r="N103" s="542"/>
      <c r="O103" s="541"/>
      <c r="P103" s="540"/>
      <c r="Q103" s="540"/>
      <c r="R103" s="539"/>
    </row>
    <row r="104" spans="1:18" ht="16.149999999999999" customHeight="1" x14ac:dyDescent="0.35">
      <c r="A104" s="693">
        <f t="shared" si="11"/>
        <v>9</v>
      </c>
      <c r="B104" s="691">
        <f t="shared" si="13"/>
        <v>97</v>
      </c>
      <c r="C104" s="616">
        <f>'CAPEX Schedule'!$CU$8/1000</f>
        <v>0</v>
      </c>
      <c r="D104" s="616">
        <f>'CAPEX Schedule'!$CU$9/1000</f>
        <v>0</v>
      </c>
      <c r="E104" s="616">
        <f>'CAPEX Schedule'!$CU$10/1000</f>
        <v>0</v>
      </c>
      <c r="F104" s="616">
        <f>'CAPEX Schedule'!$CU$11/1000</f>
        <v>0</v>
      </c>
      <c r="G104" s="616">
        <f>'CAPEX Schedule'!$CU$12/1000</f>
        <v>0</v>
      </c>
      <c r="H104" s="617">
        <f t="shared" si="12"/>
        <v>0</v>
      </c>
      <c r="I104" s="543"/>
      <c r="J104" s="543"/>
      <c r="K104" s="543"/>
      <c r="L104" s="543"/>
      <c r="M104" s="617">
        <f t="shared" si="14"/>
        <v>0</v>
      </c>
      <c r="N104" s="542"/>
      <c r="O104" s="541"/>
      <c r="P104" s="540"/>
      <c r="Q104" s="540"/>
      <c r="R104" s="539"/>
    </row>
    <row r="105" spans="1:18" ht="16.149999999999999" customHeight="1" x14ac:dyDescent="0.35">
      <c r="A105" s="693">
        <f t="shared" si="11"/>
        <v>9</v>
      </c>
      <c r="B105" s="691">
        <f t="shared" si="13"/>
        <v>98</v>
      </c>
      <c r="C105" s="616">
        <f>'CAPEX Schedule'!$CV$8/1000</f>
        <v>0</v>
      </c>
      <c r="D105" s="616">
        <f>'CAPEX Schedule'!$CV$9/1000</f>
        <v>0</v>
      </c>
      <c r="E105" s="616">
        <f>'CAPEX Schedule'!$CV$10/1000</f>
        <v>0</v>
      </c>
      <c r="F105" s="616">
        <f>'CAPEX Schedule'!$CV$11/1000</f>
        <v>0</v>
      </c>
      <c r="G105" s="616">
        <f>'CAPEX Schedule'!$CV$12/1000</f>
        <v>0</v>
      </c>
      <c r="H105" s="617">
        <f t="shared" si="12"/>
        <v>0</v>
      </c>
      <c r="I105" s="543"/>
      <c r="J105" s="543"/>
      <c r="K105" s="543"/>
      <c r="L105" s="543"/>
      <c r="M105" s="617">
        <f t="shared" si="14"/>
        <v>0</v>
      </c>
      <c r="N105" s="542"/>
      <c r="O105" s="541"/>
      <c r="P105" s="540"/>
      <c r="Q105" s="540"/>
      <c r="R105" s="539"/>
    </row>
    <row r="106" spans="1:18" ht="16.149999999999999" customHeight="1" x14ac:dyDescent="0.35">
      <c r="A106" s="693">
        <f t="shared" si="11"/>
        <v>9</v>
      </c>
      <c r="B106" s="691">
        <f t="shared" si="13"/>
        <v>99</v>
      </c>
      <c r="C106" s="616">
        <f>'CAPEX Schedule'!$CW$8/1000</f>
        <v>0</v>
      </c>
      <c r="D106" s="616">
        <f>'CAPEX Schedule'!$CW$9/1000</f>
        <v>0</v>
      </c>
      <c r="E106" s="616">
        <f>'CAPEX Schedule'!$CW$10/1000</f>
        <v>0</v>
      </c>
      <c r="F106" s="616">
        <f>'CAPEX Schedule'!$CW$11/1000</f>
        <v>0</v>
      </c>
      <c r="G106" s="616">
        <f>'CAPEX Schedule'!$CW$12/1000</f>
        <v>0</v>
      </c>
      <c r="H106" s="617">
        <f t="shared" si="12"/>
        <v>0</v>
      </c>
      <c r="I106" s="543"/>
      <c r="J106" s="543"/>
      <c r="K106" s="543"/>
      <c r="L106" s="543"/>
      <c r="M106" s="617">
        <f t="shared" si="14"/>
        <v>0</v>
      </c>
      <c r="N106" s="542"/>
      <c r="O106" s="541"/>
      <c r="P106" s="540"/>
      <c r="Q106" s="540"/>
      <c r="R106" s="539"/>
    </row>
    <row r="107" spans="1:18" ht="16.149999999999999" customHeight="1" x14ac:dyDescent="0.35">
      <c r="A107" s="693">
        <f t="shared" si="11"/>
        <v>9</v>
      </c>
      <c r="B107" s="691">
        <f t="shared" si="13"/>
        <v>100</v>
      </c>
      <c r="C107" s="616">
        <f>'CAPEX Schedule'!$CX$8/1000</f>
        <v>0</v>
      </c>
      <c r="D107" s="616">
        <f>'CAPEX Schedule'!$CX$9/1000</f>
        <v>0</v>
      </c>
      <c r="E107" s="616">
        <f>'CAPEX Schedule'!$CX$10/1000</f>
        <v>0</v>
      </c>
      <c r="F107" s="616">
        <f>'CAPEX Schedule'!$CX$11/1000</f>
        <v>0</v>
      </c>
      <c r="G107" s="616">
        <f>'CAPEX Schedule'!$CX$12/1000</f>
        <v>0</v>
      </c>
      <c r="H107" s="617">
        <f t="shared" si="12"/>
        <v>0</v>
      </c>
      <c r="I107" s="543"/>
      <c r="J107" s="543"/>
      <c r="K107" s="543"/>
      <c r="L107" s="543"/>
      <c r="M107" s="617">
        <f t="shared" si="14"/>
        <v>0</v>
      </c>
      <c r="N107" s="542"/>
      <c r="O107" s="541"/>
      <c r="P107" s="540"/>
      <c r="Q107" s="540"/>
      <c r="R107" s="539"/>
    </row>
    <row r="108" spans="1:18" ht="16.149999999999999" customHeight="1" x14ac:dyDescent="0.35">
      <c r="A108" s="693">
        <f t="shared" si="11"/>
        <v>9</v>
      </c>
      <c r="B108" s="691">
        <f t="shared" si="13"/>
        <v>101</v>
      </c>
      <c r="C108" s="616">
        <f>'CAPEX Schedule'!$CY$8/1000</f>
        <v>0</v>
      </c>
      <c r="D108" s="616">
        <f>'CAPEX Schedule'!$CY$9/1000</f>
        <v>0</v>
      </c>
      <c r="E108" s="616">
        <f>'CAPEX Schedule'!$CY$10/1000</f>
        <v>0</v>
      </c>
      <c r="F108" s="616">
        <f>'CAPEX Schedule'!$CY$11/1000</f>
        <v>0</v>
      </c>
      <c r="G108" s="616">
        <f>'CAPEX Schedule'!$CY$12/1000</f>
        <v>0</v>
      </c>
      <c r="H108" s="617">
        <f t="shared" si="12"/>
        <v>0</v>
      </c>
      <c r="I108" s="543"/>
      <c r="J108" s="543"/>
      <c r="K108" s="543"/>
      <c r="L108" s="543"/>
      <c r="M108" s="617">
        <f t="shared" si="14"/>
        <v>0</v>
      </c>
      <c r="N108" s="542"/>
      <c r="O108" s="541"/>
      <c r="P108" s="540"/>
      <c r="Q108" s="540"/>
      <c r="R108" s="539"/>
    </row>
    <row r="109" spans="1:18" ht="16.149999999999999" customHeight="1" x14ac:dyDescent="0.35">
      <c r="A109" s="693">
        <f t="shared" si="11"/>
        <v>9</v>
      </c>
      <c r="B109" s="691">
        <f t="shared" si="13"/>
        <v>102</v>
      </c>
      <c r="C109" s="616">
        <f>'CAPEX Schedule'!$CZ$8/1000</f>
        <v>0</v>
      </c>
      <c r="D109" s="616">
        <f>'CAPEX Schedule'!$CZ$9/1000</f>
        <v>0</v>
      </c>
      <c r="E109" s="616">
        <f>'CAPEX Schedule'!$CZ$10/1000</f>
        <v>0</v>
      </c>
      <c r="F109" s="616">
        <f>'CAPEX Schedule'!$CZ$11/1000</f>
        <v>0</v>
      </c>
      <c r="G109" s="616">
        <f>'CAPEX Schedule'!$CZ$12/1000</f>
        <v>0</v>
      </c>
      <c r="H109" s="617">
        <f t="shared" si="12"/>
        <v>0</v>
      </c>
      <c r="I109" s="543"/>
      <c r="J109" s="543"/>
      <c r="K109" s="543"/>
      <c r="L109" s="543"/>
      <c r="M109" s="617">
        <f t="shared" si="14"/>
        <v>0</v>
      </c>
      <c r="N109" s="542"/>
      <c r="O109" s="541"/>
      <c r="P109" s="540"/>
      <c r="Q109" s="540"/>
      <c r="R109" s="539"/>
    </row>
    <row r="110" spans="1:18" ht="16.149999999999999" customHeight="1" x14ac:dyDescent="0.35">
      <c r="A110" s="693">
        <f t="shared" si="11"/>
        <v>9</v>
      </c>
      <c r="B110" s="691">
        <f t="shared" si="13"/>
        <v>103</v>
      </c>
      <c r="C110" s="616">
        <f>'CAPEX Schedule'!$DA$8/1000</f>
        <v>0</v>
      </c>
      <c r="D110" s="616">
        <f>'CAPEX Schedule'!$DA$9/1000</f>
        <v>0</v>
      </c>
      <c r="E110" s="616">
        <f>'CAPEX Schedule'!$DA$10/1000</f>
        <v>0</v>
      </c>
      <c r="F110" s="616">
        <f>'CAPEX Schedule'!$DA$11/1000</f>
        <v>0</v>
      </c>
      <c r="G110" s="616">
        <f>'CAPEX Schedule'!$DA$12/1000</f>
        <v>0</v>
      </c>
      <c r="H110" s="617">
        <f t="shared" si="12"/>
        <v>0</v>
      </c>
      <c r="I110" s="543"/>
      <c r="J110" s="543"/>
      <c r="K110" s="543"/>
      <c r="L110" s="543"/>
      <c r="M110" s="617">
        <f t="shared" si="14"/>
        <v>0</v>
      </c>
      <c r="N110" s="542"/>
      <c r="O110" s="541"/>
      <c r="P110" s="540"/>
      <c r="Q110" s="540"/>
      <c r="R110" s="539"/>
    </row>
    <row r="111" spans="1:18" ht="16.149999999999999" customHeight="1" x14ac:dyDescent="0.35">
      <c r="A111" s="693">
        <f t="shared" si="11"/>
        <v>9</v>
      </c>
      <c r="B111" s="691">
        <f t="shared" si="13"/>
        <v>104</v>
      </c>
      <c r="C111" s="616">
        <f>'CAPEX Schedule'!$DB$8/1000</f>
        <v>0</v>
      </c>
      <c r="D111" s="616">
        <f>'CAPEX Schedule'!$DB$9/1000</f>
        <v>0</v>
      </c>
      <c r="E111" s="616">
        <f>'CAPEX Schedule'!$DB$10/1000</f>
        <v>0</v>
      </c>
      <c r="F111" s="616">
        <f>'CAPEX Schedule'!$DB$11/1000</f>
        <v>0</v>
      </c>
      <c r="G111" s="616">
        <f>'CAPEX Schedule'!$DB$12/1000</f>
        <v>0</v>
      </c>
      <c r="H111" s="617">
        <f t="shared" si="12"/>
        <v>0</v>
      </c>
      <c r="I111" s="543"/>
      <c r="J111" s="543"/>
      <c r="K111" s="543"/>
      <c r="L111" s="543"/>
      <c r="M111" s="617">
        <f t="shared" si="14"/>
        <v>0</v>
      </c>
      <c r="N111" s="542"/>
      <c r="O111" s="541"/>
      <c r="P111" s="540"/>
      <c r="Q111" s="540"/>
      <c r="R111" s="539"/>
    </row>
    <row r="112" spans="1:18" ht="16.149999999999999" customHeight="1" x14ac:dyDescent="0.35">
      <c r="A112" s="693">
        <f t="shared" si="11"/>
        <v>9</v>
      </c>
      <c r="B112" s="691">
        <f t="shared" si="13"/>
        <v>105</v>
      </c>
      <c r="C112" s="616">
        <f>'CAPEX Schedule'!$DC$8/1000</f>
        <v>0</v>
      </c>
      <c r="D112" s="616">
        <f>'CAPEX Schedule'!$DC$9/1000</f>
        <v>0</v>
      </c>
      <c r="E112" s="616">
        <f>'CAPEX Schedule'!$DC$10/1000</f>
        <v>0</v>
      </c>
      <c r="F112" s="616">
        <f>'CAPEX Schedule'!$DC$11/1000</f>
        <v>0</v>
      </c>
      <c r="G112" s="616">
        <f>'CAPEX Schedule'!$DC$12/1000</f>
        <v>0</v>
      </c>
      <c r="H112" s="617">
        <f t="shared" si="12"/>
        <v>0</v>
      </c>
      <c r="I112" s="543"/>
      <c r="J112" s="543"/>
      <c r="K112" s="543"/>
      <c r="L112" s="543"/>
      <c r="M112" s="617">
        <f t="shared" si="14"/>
        <v>0</v>
      </c>
      <c r="N112" s="542"/>
      <c r="O112" s="541"/>
      <c r="P112" s="540"/>
      <c r="Q112" s="540"/>
      <c r="R112" s="539"/>
    </row>
    <row r="113" spans="1:18" ht="16.149999999999999" customHeight="1" x14ac:dyDescent="0.35">
      <c r="A113" s="693">
        <f t="shared" si="11"/>
        <v>9</v>
      </c>
      <c r="B113" s="691">
        <f t="shared" si="13"/>
        <v>106</v>
      </c>
      <c r="C113" s="616">
        <f>'CAPEX Schedule'!$DD$8/1000</f>
        <v>0</v>
      </c>
      <c r="D113" s="616">
        <f>'CAPEX Schedule'!$DD$9/1000</f>
        <v>0</v>
      </c>
      <c r="E113" s="616">
        <f>'CAPEX Schedule'!$DD$10/1000</f>
        <v>0</v>
      </c>
      <c r="F113" s="616">
        <f>'CAPEX Schedule'!$DD$11/1000</f>
        <v>0</v>
      </c>
      <c r="G113" s="616">
        <f>'CAPEX Schedule'!$DD$12/1000</f>
        <v>0</v>
      </c>
      <c r="H113" s="617">
        <f t="shared" si="12"/>
        <v>0</v>
      </c>
      <c r="I113" s="543"/>
      <c r="J113" s="543"/>
      <c r="K113" s="543"/>
      <c r="L113" s="543"/>
      <c r="M113" s="617">
        <f t="shared" si="14"/>
        <v>0</v>
      </c>
      <c r="N113" s="542"/>
      <c r="O113" s="541"/>
      <c r="P113" s="540"/>
      <c r="Q113" s="540"/>
      <c r="R113" s="539"/>
    </row>
    <row r="114" spans="1:18" ht="16.149999999999999" customHeight="1" x14ac:dyDescent="0.35">
      <c r="A114" s="693">
        <f t="shared" si="11"/>
        <v>9</v>
      </c>
      <c r="B114" s="691">
        <f t="shared" si="13"/>
        <v>107</v>
      </c>
      <c r="C114" s="616">
        <f>'CAPEX Schedule'!$DE$8/1000</f>
        <v>0</v>
      </c>
      <c r="D114" s="616">
        <f>'CAPEX Schedule'!$DE$9/1000</f>
        <v>0</v>
      </c>
      <c r="E114" s="616">
        <f>'CAPEX Schedule'!$DE$10/1000</f>
        <v>0</v>
      </c>
      <c r="F114" s="616">
        <f>'CAPEX Schedule'!$DE$11/1000</f>
        <v>0</v>
      </c>
      <c r="G114" s="616">
        <f>'CAPEX Schedule'!$DE$12/1000</f>
        <v>0</v>
      </c>
      <c r="H114" s="617">
        <f t="shared" si="12"/>
        <v>0</v>
      </c>
      <c r="I114" s="543"/>
      <c r="J114" s="543"/>
      <c r="K114" s="543"/>
      <c r="L114" s="543"/>
      <c r="M114" s="617">
        <f t="shared" si="14"/>
        <v>0</v>
      </c>
      <c r="N114" s="542"/>
      <c r="O114" s="541"/>
      <c r="P114" s="540"/>
      <c r="Q114" s="540"/>
      <c r="R114" s="539"/>
    </row>
    <row r="115" spans="1:18" ht="16.149999999999999" customHeight="1" x14ac:dyDescent="0.35">
      <c r="A115" s="693">
        <f t="shared" si="11"/>
        <v>9</v>
      </c>
      <c r="B115" s="691">
        <f t="shared" si="13"/>
        <v>108</v>
      </c>
      <c r="C115" s="616">
        <f>'CAPEX Schedule'!$DF$8/1000</f>
        <v>0</v>
      </c>
      <c r="D115" s="616">
        <f>'CAPEX Schedule'!$DF$9/1000</f>
        <v>0</v>
      </c>
      <c r="E115" s="616">
        <f>'CAPEX Schedule'!$DF$10/1000</f>
        <v>0</v>
      </c>
      <c r="F115" s="616">
        <f>'CAPEX Schedule'!$DF$11/1000</f>
        <v>0</v>
      </c>
      <c r="G115" s="616">
        <f>'CAPEX Schedule'!$DF$12/1000</f>
        <v>0</v>
      </c>
      <c r="H115" s="617">
        <f t="shared" si="12"/>
        <v>0</v>
      </c>
      <c r="I115" s="543"/>
      <c r="J115" s="543"/>
      <c r="K115" s="543"/>
      <c r="L115" s="543"/>
      <c r="M115" s="617">
        <f t="shared" si="14"/>
        <v>0</v>
      </c>
      <c r="N115" s="542"/>
      <c r="O115" s="541"/>
      <c r="P115" s="540"/>
      <c r="Q115" s="540"/>
      <c r="R115" s="539"/>
    </row>
    <row r="116" spans="1:18" ht="16.149999999999999" customHeight="1" x14ac:dyDescent="0.35">
      <c r="A116" s="693">
        <f t="shared" si="11"/>
        <v>10</v>
      </c>
      <c r="B116" s="691">
        <f t="shared" si="13"/>
        <v>109</v>
      </c>
      <c r="C116" s="616">
        <f>'CAPEX Schedule'!$DG$8/1000</f>
        <v>0</v>
      </c>
      <c r="D116" s="616">
        <f>'CAPEX Schedule'!$DG$9/1000</f>
        <v>0</v>
      </c>
      <c r="E116" s="616">
        <f>'CAPEX Schedule'!$DG$10/1000</f>
        <v>0</v>
      </c>
      <c r="F116" s="616">
        <f>'CAPEX Schedule'!$DG$11/1000</f>
        <v>0</v>
      </c>
      <c r="G116" s="616">
        <f>'CAPEX Schedule'!$DG$12/1000</f>
        <v>0</v>
      </c>
      <c r="H116" s="617">
        <f t="shared" si="12"/>
        <v>0</v>
      </c>
      <c r="I116" s="543"/>
      <c r="J116" s="543"/>
      <c r="K116" s="543"/>
      <c r="L116" s="543"/>
      <c r="M116" s="617">
        <f t="shared" si="14"/>
        <v>0</v>
      </c>
      <c r="N116" s="542"/>
      <c r="O116" s="541"/>
      <c r="P116" s="540"/>
      <c r="Q116" s="540"/>
      <c r="R116" s="539"/>
    </row>
    <row r="117" spans="1:18" ht="16.149999999999999" customHeight="1" x14ac:dyDescent="0.35">
      <c r="A117" s="693">
        <f t="shared" si="11"/>
        <v>10</v>
      </c>
      <c r="B117" s="691">
        <f t="shared" si="13"/>
        <v>110</v>
      </c>
      <c r="C117" s="616">
        <f>'CAPEX Schedule'!$DH$8/1000</f>
        <v>0</v>
      </c>
      <c r="D117" s="616">
        <f>'CAPEX Schedule'!$DH$9/1000</f>
        <v>0</v>
      </c>
      <c r="E117" s="616">
        <f>'CAPEX Schedule'!$DH$10/1000</f>
        <v>0</v>
      </c>
      <c r="F117" s="616">
        <f>'CAPEX Schedule'!$DH$11/1000</f>
        <v>0</v>
      </c>
      <c r="G117" s="616">
        <f>'CAPEX Schedule'!$DH$12/1000</f>
        <v>0</v>
      </c>
      <c r="H117" s="617">
        <f t="shared" si="12"/>
        <v>0</v>
      </c>
      <c r="I117" s="543"/>
      <c r="J117" s="543"/>
      <c r="K117" s="543"/>
      <c r="L117" s="543"/>
      <c r="M117" s="617">
        <f t="shared" si="14"/>
        <v>0</v>
      </c>
      <c r="N117" s="542"/>
      <c r="O117" s="541"/>
      <c r="P117" s="540"/>
      <c r="Q117" s="540"/>
      <c r="R117" s="539"/>
    </row>
    <row r="118" spans="1:18" ht="16.149999999999999" customHeight="1" x14ac:dyDescent="0.35">
      <c r="A118" s="693">
        <f t="shared" si="11"/>
        <v>10</v>
      </c>
      <c r="B118" s="691">
        <f t="shared" si="13"/>
        <v>111</v>
      </c>
      <c r="C118" s="616">
        <f>'CAPEX Schedule'!$DI$8/1000</f>
        <v>0</v>
      </c>
      <c r="D118" s="616">
        <f>'CAPEX Schedule'!$DI$9/1000</f>
        <v>0</v>
      </c>
      <c r="E118" s="616">
        <f>'CAPEX Schedule'!$DI$10/1000</f>
        <v>0</v>
      </c>
      <c r="F118" s="616">
        <f>'CAPEX Schedule'!$DI$11/1000</f>
        <v>0</v>
      </c>
      <c r="G118" s="616">
        <f>'CAPEX Schedule'!$DI$12/1000</f>
        <v>0</v>
      </c>
      <c r="H118" s="617">
        <f t="shared" si="12"/>
        <v>0</v>
      </c>
      <c r="I118" s="543"/>
      <c r="J118" s="543"/>
      <c r="K118" s="543"/>
      <c r="L118" s="543"/>
      <c r="M118" s="617">
        <f t="shared" si="14"/>
        <v>0</v>
      </c>
      <c r="N118" s="542"/>
      <c r="O118" s="541"/>
      <c r="P118" s="540"/>
      <c r="Q118" s="540"/>
      <c r="R118" s="539"/>
    </row>
    <row r="119" spans="1:18" ht="16.149999999999999" customHeight="1" x14ac:dyDescent="0.35">
      <c r="A119" s="693">
        <f t="shared" si="11"/>
        <v>10</v>
      </c>
      <c r="B119" s="691">
        <f t="shared" si="13"/>
        <v>112</v>
      </c>
      <c r="C119" s="616">
        <f>'CAPEX Schedule'!$DJ$8/1000</f>
        <v>0</v>
      </c>
      <c r="D119" s="616">
        <f>'CAPEX Schedule'!$DJ$9/1000</f>
        <v>0</v>
      </c>
      <c r="E119" s="616">
        <f>'CAPEX Schedule'!$DJ$10/1000</f>
        <v>0</v>
      </c>
      <c r="F119" s="616">
        <f>'CAPEX Schedule'!$DJ$11/1000</f>
        <v>0</v>
      </c>
      <c r="G119" s="616">
        <f>'CAPEX Schedule'!$DJ$12/1000</f>
        <v>0</v>
      </c>
      <c r="H119" s="617">
        <f t="shared" si="12"/>
        <v>0</v>
      </c>
      <c r="I119" s="543"/>
      <c r="J119" s="543"/>
      <c r="K119" s="543"/>
      <c r="L119" s="543"/>
      <c r="M119" s="617">
        <f t="shared" si="14"/>
        <v>0</v>
      </c>
      <c r="N119" s="542"/>
      <c r="O119" s="541"/>
      <c r="P119" s="540"/>
      <c r="Q119" s="540"/>
      <c r="R119" s="539"/>
    </row>
    <row r="120" spans="1:18" ht="16.149999999999999" customHeight="1" x14ac:dyDescent="0.35">
      <c r="A120" s="693">
        <f t="shared" si="11"/>
        <v>10</v>
      </c>
      <c r="B120" s="691">
        <f t="shared" si="13"/>
        <v>113</v>
      </c>
      <c r="C120" s="616">
        <f>'CAPEX Schedule'!$DK$8/1000</f>
        <v>0</v>
      </c>
      <c r="D120" s="616">
        <f>'CAPEX Schedule'!$DK$9/1000</f>
        <v>0</v>
      </c>
      <c r="E120" s="616">
        <f>'CAPEX Schedule'!$DK$10/1000</f>
        <v>0</v>
      </c>
      <c r="F120" s="616">
        <f>'CAPEX Schedule'!$DK$11/1000</f>
        <v>0</v>
      </c>
      <c r="G120" s="616">
        <f>'CAPEX Schedule'!$DK$12/1000</f>
        <v>0</v>
      </c>
      <c r="H120" s="617">
        <f t="shared" si="12"/>
        <v>0</v>
      </c>
      <c r="I120" s="543"/>
      <c r="J120" s="543"/>
      <c r="K120" s="543"/>
      <c r="L120" s="543"/>
      <c r="M120" s="617">
        <f t="shared" si="14"/>
        <v>0</v>
      </c>
      <c r="N120" s="542"/>
      <c r="O120" s="541"/>
      <c r="P120" s="540"/>
      <c r="Q120" s="540"/>
      <c r="R120" s="539"/>
    </row>
    <row r="121" spans="1:18" ht="16.149999999999999" customHeight="1" x14ac:dyDescent="0.35">
      <c r="A121" s="693">
        <f t="shared" si="11"/>
        <v>10</v>
      </c>
      <c r="B121" s="691">
        <f t="shared" si="13"/>
        <v>114</v>
      </c>
      <c r="C121" s="616">
        <f>'CAPEX Schedule'!$DL$8/1000</f>
        <v>0</v>
      </c>
      <c r="D121" s="616">
        <f>'CAPEX Schedule'!$DL$9/1000</f>
        <v>0</v>
      </c>
      <c r="E121" s="616">
        <f>'CAPEX Schedule'!$DL$10/1000</f>
        <v>0</v>
      </c>
      <c r="F121" s="616">
        <f>'CAPEX Schedule'!$DL$11/1000</f>
        <v>0</v>
      </c>
      <c r="G121" s="616">
        <f>'CAPEX Schedule'!$DL$12/1000</f>
        <v>0</v>
      </c>
      <c r="H121" s="617">
        <f t="shared" si="12"/>
        <v>0</v>
      </c>
      <c r="I121" s="543"/>
      <c r="J121" s="543"/>
      <c r="K121" s="543"/>
      <c r="L121" s="543"/>
      <c r="M121" s="617">
        <f t="shared" si="14"/>
        <v>0</v>
      </c>
      <c r="N121" s="542"/>
      <c r="O121" s="541"/>
      <c r="P121" s="540"/>
      <c r="Q121" s="540"/>
      <c r="R121" s="539"/>
    </row>
    <row r="122" spans="1:18" ht="16.149999999999999" customHeight="1" x14ac:dyDescent="0.35">
      <c r="A122" s="693">
        <f t="shared" si="11"/>
        <v>10</v>
      </c>
      <c r="B122" s="691">
        <f t="shared" si="13"/>
        <v>115</v>
      </c>
      <c r="C122" s="616">
        <f>'CAPEX Schedule'!$DM$8/1000</f>
        <v>0</v>
      </c>
      <c r="D122" s="616">
        <f>'CAPEX Schedule'!$DM$9/1000</f>
        <v>0</v>
      </c>
      <c r="E122" s="616">
        <f>'CAPEX Schedule'!$DM$10/1000</f>
        <v>0</v>
      </c>
      <c r="F122" s="616">
        <f>'CAPEX Schedule'!$DM$11/1000</f>
        <v>0</v>
      </c>
      <c r="G122" s="616">
        <f>'CAPEX Schedule'!$DM$12/1000</f>
        <v>0</v>
      </c>
      <c r="H122" s="617">
        <f t="shared" si="12"/>
        <v>0</v>
      </c>
      <c r="I122" s="543"/>
      <c r="J122" s="543"/>
      <c r="K122" s="543"/>
      <c r="L122" s="543"/>
      <c r="M122" s="617">
        <f t="shared" si="14"/>
        <v>0</v>
      </c>
      <c r="N122" s="542"/>
      <c r="O122" s="541"/>
      <c r="P122" s="540"/>
      <c r="Q122" s="540"/>
      <c r="R122" s="539"/>
    </row>
    <row r="123" spans="1:18" ht="16.149999999999999" customHeight="1" x14ac:dyDescent="0.35">
      <c r="A123" s="693">
        <f t="shared" si="11"/>
        <v>10</v>
      </c>
      <c r="B123" s="691">
        <f t="shared" si="13"/>
        <v>116</v>
      </c>
      <c r="C123" s="616">
        <f>'CAPEX Schedule'!$DN$8/1000</f>
        <v>0</v>
      </c>
      <c r="D123" s="616">
        <f>'CAPEX Schedule'!$DN$9/1000</f>
        <v>0</v>
      </c>
      <c r="E123" s="616">
        <f>'CAPEX Schedule'!$DN$10/1000</f>
        <v>0</v>
      </c>
      <c r="F123" s="616">
        <f>'CAPEX Schedule'!$DN$11/1000</f>
        <v>0</v>
      </c>
      <c r="G123" s="616">
        <f>'CAPEX Schedule'!$DN$12/1000</f>
        <v>0</v>
      </c>
      <c r="H123" s="617">
        <f t="shared" si="12"/>
        <v>0</v>
      </c>
      <c r="I123" s="543"/>
      <c r="J123" s="543"/>
      <c r="K123" s="543"/>
      <c r="L123" s="543"/>
      <c r="M123" s="617">
        <f t="shared" si="14"/>
        <v>0</v>
      </c>
      <c r="N123" s="542"/>
      <c r="O123" s="541"/>
      <c r="P123" s="540"/>
      <c r="Q123" s="540"/>
      <c r="R123" s="539"/>
    </row>
    <row r="124" spans="1:18" ht="16.149999999999999" customHeight="1" x14ac:dyDescent="0.35">
      <c r="A124" s="693">
        <f t="shared" si="11"/>
        <v>10</v>
      </c>
      <c r="B124" s="691">
        <f t="shared" si="13"/>
        <v>117</v>
      </c>
      <c r="C124" s="616">
        <f>'CAPEX Schedule'!$DO$8/1000</f>
        <v>0</v>
      </c>
      <c r="D124" s="616">
        <f>'CAPEX Schedule'!$DO$9/1000</f>
        <v>0</v>
      </c>
      <c r="E124" s="616">
        <f>'CAPEX Schedule'!$DO$10/1000</f>
        <v>0</v>
      </c>
      <c r="F124" s="616">
        <f>'CAPEX Schedule'!$DO$11/1000</f>
        <v>0</v>
      </c>
      <c r="G124" s="616">
        <f>'CAPEX Schedule'!$DO$12/1000</f>
        <v>0</v>
      </c>
      <c r="H124" s="617">
        <f t="shared" si="12"/>
        <v>0</v>
      </c>
      <c r="I124" s="543"/>
      <c r="J124" s="543"/>
      <c r="K124" s="543"/>
      <c r="L124" s="543"/>
      <c r="M124" s="617">
        <f t="shared" si="14"/>
        <v>0</v>
      </c>
      <c r="N124" s="542"/>
      <c r="O124" s="541"/>
      <c r="P124" s="540"/>
      <c r="Q124" s="540"/>
      <c r="R124" s="539"/>
    </row>
    <row r="125" spans="1:18" ht="16.149999999999999" customHeight="1" x14ac:dyDescent="0.35">
      <c r="A125" s="693">
        <f t="shared" si="11"/>
        <v>10</v>
      </c>
      <c r="B125" s="691">
        <f t="shared" si="13"/>
        <v>118</v>
      </c>
      <c r="C125" s="616">
        <f>'CAPEX Schedule'!$DP$8/1000</f>
        <v>0</v>
      </c>
      <c r="D125" s="616">
        <f>'CAPEX Schedule'!$DP$9/1000</f>
        <v>0</v>
      </c>
      <c r="E125" s="616">
        <f>'CAPEX Schedule'!$DP$10/1000</f>
        <v>0</v>
      </c>
      <c r="F125" s="616">
        <f>'CAPEX Schedule'!$DP$11/1000</f>
        <v>0</v>
      </c>
      <c r="G125" s="616">
        <f>'CAPEX Schedule'!$DP$12/1000</f>
        <v>0</v>
      </c>
      <c r="H125" s="617">
        <f t="shared" si="12"/>
        <v>0</v>
      </c>
      <c r="I125" s="543"/>
      <c r="J125" s="543"/>
      <c r="K125" s="543"/>
      <c r="L125" s="543"/>
      <c r="M125" s="617">
        <f t="shared" si="14"/>
        <v>0</v>
      </c>
      <c r="N125" s="542"/>
      <c r="O125" s="541"/>
      <c r="P125" s="540"/>
      <c r="Q125" s="540"/>
      <c r="R125" s="539"/>
    </row>
    <row r="126" spans="1:18" ht="16.149999999999999" customHeight="1" x14ac:dyDescent="0.35">
      <c r="A126" s="693">
        <f t="shared" si="11"/>
        <v>10</v>
      </c>
      <c r="B126" s="691">
        <f t="shared" si="13"/>
        <v>119</v>
      </c>
      <c r="C126" s="616">
        <f>'CAPEX Schedule'!$DQ$8/1000</f>
        <v>0</v>
      </c>
      <c r="D126" s="616">
        <f>'CAPEX Schedule'!$DQ$9/1000</f>
        <v>0</v>
      </c>
      <c r="E126" s="616">
        <f>'CAPEX Schedule'!$DQ$10/1000</f>
        <v>0</v>
      </c>
      <c r="F126" s="616">
        <f>'CAPEX Schedule'!$DQ$11/1000</f>
        <v>0</v>
      </c>
      <c r="G126" s="616">
        <f>'CAPEX Schedule'!$DQ$12/1000</f>
        <v>0</v>
      </c>
      <c r="H126" s="617">
        <f t="shared" si="12"/>
        <v>0</v>
      </c>
      <c r="I126" s="543"/>
      <c r="J126" s="543"/>
      <c r="K126" s="543"/>
      <c r="L126" s="543"/>
      <c r="M126" s="617">
        <f t="shared" si="14"/>
        <v>0</v>
      </c>
      <c r="N126" s="542"/>
      <c r="O126" s="541"/>
      <c r="P126" s="540"/>
      <c r="Q126" s="540"/>
      <c r="R126" s="539"/>
    </row>
    <row r="127" spans="1:18" ht="16.149999999999999" customHeight="1" x14ac:dyDescent="0.35">
      <c r="A127" s="693">
        <f t="shared" si="11"/>
        <v>10</v>
      </c>
      <c r="B127" s="691">
        <f t="shared" si="13"/>
        <v>120</v>
      </c>
      <c r="C127" s="616">
        <f>'CAPEX Schedule'!$DR$8/1000</f>
        <v>0</v>
      </c>
      <c r="D127" s="616">
        <f>'CAPEX Schedule'!$DR$9/1000</f>
        <v>0</v>
      </c>
      <c r="E127" s="616">
        <f>'CAPEX Schedule'!$DR$10/1000</f>
        <v>0</v>
      </c>
      <c r="F127" s="616">
        <f>'CAPEX Schedule'!$DR$11/1000</f>
        <v>0</v>
      </c>
      <c r="G127" s="616">
        <f>'CAPEX Schedule'!$DR$12/1000</f>
        <v>0</v>
      </c>
      <c r="H127" s="617">
        <f t="shared" si="12"/>
        <v>0</v>
      </c>
      <c r="I127" s="543"/>
      <c r="J127" s="543"/>
      <c r="K127" s="543"/>
      <c r="L127" s="543"/>
      <c r="M127" s="617">
        <f t="shared" si="14"/>
        <v>0</v>
      </c>
      <c r="N127" s="542"/>
      <c r="O127" s="541"/>
      <c r="P127" s="540"/>
      <c r="Q127" s="540"/>
      <c r="R127" s="539"/>
    </row>
    <row r="128" spans="1:18" ht="16.149999999999999" customHeight="1" x14ac:dyDescent="0.35">
      <c r="A128" s="693">
        <f t="shared" si="11"/>
        <v>11</v>
      </c>
      <c r="B128" s="691">
        <f t="shared" si="13"/>
        <v>121</v>
      </c>
      <c r="C128" s="616">
        <f>'CAPEX Schedule'!$DS$8/1000</f>
        <v>0</v>
      </c>
      <c r="D128" s="616">
        <f>'CAPEX Schedule'!$DS$9/1000</f>
        <v>5000</v>
      </c>
      <c r="E128" s="616">
        <f>'CAPEX Schedule'!$DS$10/1000</f>
        <v>5000</v>
      </c>
      <c r="F128" s="616">
        <f>'CAPEX Schedule'!$DS$11/1000</f>
        <v>5000</v>
      </c>
      <c r="G128" s="616">
        <f>'CAPEX Schedule'!$DS$12/1000</f>
        <v>0</v>
      </c>
      <c r="H128" s="617">
        <f t="shared" si="12"/>
        <v>15000</v>
      </c>
      <c r="I128" s="543"/>
      <c r="J128" s="543"/>
      <c r="K128" s="543"/>
      <c r="L128" s="543"/>
      <c r="M128" s="617">
        <f t="shared" si="14"/>
        <v>15000</v>
      </c>
      <c r="N128" s="542"/>
      <c r="O128" s="541"/>
      <c r="P128" s="540"/>
      <c r="Q128" s="540"/>
      <c r="R128" s="539"/>
    </row>
    <row r="129" spans="1:18" ht="16.149999999999999" customHeight="1" x14ac:dyDescent="0.35">
      <c r="A129" s="693">
        <f t="shared" si="11"/>
        <v>11</v>
      </c>
      <c r="B129" s="691">
        <f t="shared" si="13"/>
        <v>122</v>
      </c>
      <c r="C129" s="616">
        <f>'CAPEX Schedule'!$DT$8/1000</f>
        <v>0</v>
      </c>
      <c r="D129" s="616">
        <f>'CAPEX Schedule'!$DT$9/1000</f>
        <v>0</v>
      </c>
      <c r="E129" s="616">
        <f>'CAPEX Schedule'!$DT$10/1000</f>
        <v>0</v>
      </c>
      <c r="F129" s="616">
        <f>'CAPEX Schedule'!$DT$11/1000</f>
        <v>0</v>
      </c>
      <c r="G129" s="616">
        <f>'CAPEX Schedule'!$DT$12/1000</f>
        <v>0</v>
      </c>
      <c r="H129" s="617">
        <f t="shared" si="12"/>
        <v>0</v>
      </c>
      <c r="I129" s="543"/>
      <c r="J129" s="543"/>
      <c r="K129" s="543"/>
      <c r="L129" s="543"/>
      <c r="M129" s="617">
        <f t="shared" si="14"/>
        <v>0</v>
      </c>
      <c r="N129" s="542"/>
      <c r="O129" s="541"/>
      <c r="P129" s="540"/>
      <c r="Q129" s="540"/>
      <c r="R129" s="539"/>
    </row>
    <row r="130" spans="1:18" ht="16.149999999999999" customHeight="1" x14ac:dyDescent="0.35">
      <c r="A130" s="693">
        <f t="shared" si="11"/>
        <v>11</v>
      </c>
      <c r="B130" s="691">
        <f t="shared" si="13"/>
        <v>123</v>
      </c>
      <c r="C130" s="616">
        <f>'CAPEX Schedule'!$DU$8/1000</f>
        <v>0</v>
      </c>
      <c r="D130" s="616">
        <f>'CAPEX Schedule'!$DU$9/1000</f>
        <v>0</v>
      </c>
      <c r="E130" s="616">
        <f>'CAPEX Schedule'!$DU$10/1000</f>
        <v>0</v>
      </c>
      <c r="F130" s="616">
        <f>'CAPEX Schedule'!$DU$11/1000</f>
        <v>0</v>
      </c>
      <c r="G130" s="616">
        <f>'CAPEX Schedule'!$DU$12/1000</f>
        <v>0</v>
      </c>
      <c r="H130" s="617">
        <f t="shared" si="12"/>
        <v>0</v>
      </c>
      <c r="I130" s="543"/>
      <c r="J130" s="543"/>
      <c r="K130" s="543"/>
      <c r="L130" s="543"/>
      <c r="M130" s="617">
        <f t="shared" si="14"/>
        <v>0</v>
      </c>
      <c r="N130" s="542"/>
      <c r="O130" s="541"/>
      <c r="P130" s="540"/>
      <c r="Q130" s="540"/>
      <c r="R130" s="539"/>
    </row>
    <row r="131" spans="1:18" ht="16.149999999999999" customHeight="1" x14ac:dyDescent="0.35">
      <c r="A131" s="693">
        <f t="shared" si="11"/>
        <v>11</v>
      </c>
      <c r="B131" s="691">
        <f t="shared" si="13"/>
        <v>124</v>
      </c>
      <c r="C131" s="616">
        <f>'CAPEX Schedule'!$DV$8/1000</f>
        <v>0</v>
      </c>
      <c r="D131" s="616">
        <f>'CAPEX Schedule'!$DV$9/1000</f>
        <v>5000</v>
      </c>
      <c r="E131" s="616">
        <f>'CAPEX Schedule'!$DV$10/1000</f>
        <v>3000</v>
      </c>
      <c r="F131" s="616">
        <f>'CAPEX Schedule'!$DV$11/1000</f>
        <v>3000</v>
      </c>
      <c r="G131" s="616">
        <f>'CAPEX Schedule'!$DV$12/1000</f>
        <v>0</v>
      </c>
      <c r="H131" s="617">
        <f t="shared" si="12"/>
        <v>11000</v>
      </c>
      <c r="I131" s="543"/>
      <c r="J131" s="543"/>
      <c r="K131" s="543"/>
      <c r="L131" s="543"/>
      <c r="M131" s="617">
        <f t="shared" si="14"/>
        <v>11000</v>
      </c>
      <c r="N131" s="542"/>
      <c r="O131" s="541"/>
      <c r="P131" s="540"/>
      <c r="Q131" s="540"/>
      <c r="R131" s="539"/>
    </row>
    <row r="132" spans="1:18" ht="16.149999999999999" customHeight="1" x14ac:dyDescent="0.35">
      <c r="A132" s="693">
        <f t="shared" si="11"/>
        <v>11</v>
      </c>
      <c r="B132" s="691">
        <f t="shared" si="13"/>
        <v>125</v>
      </c>
      <c r="C132" s="616">
        <f>'CAPEX Schedule'!$DW$8/1000</f>
        <v>0</v>
      </c>
      <c r="D132" s="616">
        <f>'CAPEX Schedule'!$DW$9/1000</f>
        <v>0</v>
      </c>
      <c r="E132" s="616">
        <f>'CAPEX Schedule'!$DW$10/1000</f>
        <v>0</v>
      </c>
      <c r="F132" s="616">
        <f>'CAPEX Schedule'!$DW$11/1000</f>
        <v>0</v>
      </c>
      <c r="G132" s="616">
        <f>'CAPEX Schedule'!$DW$12/1000</f>
        <v>0</v>
      </c>
      <c r="H132" s="617">
        <f t="shared" si="12"/>
        <v>0</v>
      </c>
      <c r="I132" s="543"/>
      <c r="J132" s="543"/>
      <c r="K132" s="543"/>
      <c r="L132" s="543"/>
      <c r="M132" s="617">
        <f t="shared" si="14"/>
        <v>0</v>
      </c>
      <c r="N132" s="542"/>
      <c r="O132" s="541"/>
      <c r="P132" s="540"/>
      <c r="Q132" s="540"/>
      <c r="R132" s="539"/>
    </row>
    <row r="133" spans="1:18" ht="16.149999999999999" customHeight="1" x14ac:dyDescent="0.35">
      <c r="A133" s="693">
        <f t="shared" si="11"/>
        <v>11</v>
      </c>
      <c r="B133" s="691">
        <f t="shared" si="13"/>
        <v>126</v>
      </c>
      <c r="C133" s="616">
        <f>'CAPEX Schedule'!$DX$8/1000</f>
        <v>0</v>
      </c>
      <c r="D133" s="616">
        <f>'CAPEX Schedule'!$DX$9/1000</f>
        <v>0</v>
      </c>
      <c r="E133" s="616">
        <f>'CAPEX Schedule'!$DX$10/1000</f>
        <v>0</v>
      </c>
      <c r="F133" s="616">
        <f>'CAPEX Schedule'!$DX$11/1000</f>
        <v>0</v>
      </c>
      <c r="G133" s="616">
        <f>'CAPEX Schedule'!$DX$12/1000</f>
        <v>0</v>
      </c>
      <c r="H133" s="617">
        <f t="shared" si="12"/>
        <v>0</v>
      </c>
      <c r="I133" s="543"/>
      <c r="J133" s="543"/>
      <c r="K133" s="543"/>
      <c r="L133" s="543"/>
      <c r="M133" s="617">
        <f t="shared" si="14"/>
        <v>0</v>
      </c>
      <c r="N133" s="542"/>
      <c r="O133" s="541"/>
      <c r="P133" s="540"/>
      <c r="Q133" s="540"/>
      <c r="R133" s="539"/>
    </row>
    <row r="134" spans="1:18" ht="16.149999999999999" customHeight="1" x14ac:dyDescent="0.35">
      <c r="A134" s="693">
        <f t="shared" si="11"/>
        <v>11</v>
      </c>
      <c r="B134" s="691">
        <f t="shared" si="13"/>
        <v>127</v>
      </c>
      <c r="C134" s="616">
        <f>'CAPEX Schedule'!$DY$8/1000</f>
        <v>0</v>
      </c>
      <c r="D134" s="616">
        <f>'CAPEX Schedule'!$DY$9/1000</f>
        <v>5000</v>
      </c>
      <c r="E134" s="616">
        <f>'CAPEX Schedule'!$DY$10/1000</f>
        <v>2000</v>
      </c>
      <c r="F134" s="616">
        <f>'CAPEX Schedule'!$DY$11/1000</f>
        <v>2000</v>
      </c>
      <c r="G134" s="616">
        <f>'CAPEX Schedule'!$DY$12/1000</f>
        <v>0</v>
      </c>
      <c r="H134" s="617">
        <f t="shared" si="12"/>
        <v>9000</v>
      </c>
      <c r="I134" s="543"/>
      <c r="J134" s="543"/>
      <c r="K134" s="543"/>
      <c r="L134" s="543"/>
      <c r="M134" s="617">
        <f t="shared" si="14"/>
        <v>9000</v>
      </c>
      <c r="N134" s="542"/>
      <c r="O134" s="541"/>
      <c r="P134" s="540"/>
      <c r="Q134" s="540"/>
      <c r="R134" s="539"/>
    </row>
    <row r="135" spans="1:18" ht="16.149999999999999" customHeight="1" x14ac:dyDescent="0.35">
      <c r="A135" s="693">
        <f t="shared" si="11"/>
        <v>11</v>
      </c>
      <c r="B135" s="691">
        <f t="shared" si="13"/>
        <v>128</v>
      </c>
      <c r="C135" s="616">
        <f>'CAPEX Schedule'!$DZ$8/1000</f>
        <v>0</v>
      </c>
      <c r="D135" s="616">
        <f>'CAPEX Schedule'!$DZ$9/1000</f>
        <v>0</v>
      </c>
      <c r="E135" s="616">
        <f>'CAPEX Schedule'!$DZ$10/1000</f>
        <v>0</v>
      </c>
      <c r="F135" s="616">
        <f>'CAPEX Schedule'!$DZ$11/1000</f>
        <v>0</v>
      </c>
      <c r="G135" s="616">
        <f>'CAPEX Schedule'!$DZ$12/1000</f>
        <v>0</v>
      </c>
      <c r="H135" s="617">
        <f t="shared" si="12"/>
        <v>0</v>
      </c>
      <c r="I135" s="543"/>
      <c r="J135" s="543"/>
      <c r="K135" s="543"/>
      <c r="L135" s="543"/>
      <c r="M135" s="617">
        <f t="shared" si="14"/>
        <v>0</v>
      </c>
      <c r="N135" s="542"/>
      <c r="O135" s="541"/>
      <c r="P135" s="540"/>
      <c r="Q135" s="540"/>
      <c r="R135" s="539"/>
    </row>
    <row r="136" spans="1:18" ht="16.149999999999999" customHeight="1" x14ac:dyDescent="0.35">
      <c r="A136" s="693">
        <f t="shared" ref="A136:A199" si="15">ROUNDUP(B136/12,0)</f>
        <v>11</v>
      </c>
      <c r="B136" s="691">
        <f t="shared" si="13"/>
        <v>129</v>
      </c>
      <c r="C136" s="616">
        <f>'CAPEX Schedule'!$EA$8/1000</f>
        <v>0</v>
      </c>
      <c r="D136" s="616">
        <f>'CAPEX Schedule'!$EA$9/1000</f>
        <v>0</v>
      </c>
      <c r="E136" s="616">
        <f>'CAPEX Schedule'!$EA$10/1000</f>
        <v>0</v>
      </c>
      <c r="F136" s="616">
        <f>'CAPEX Schedule'!$EA$11/1000</f>
        <v>0</v>
      </c>
      <c r="G136" s="616">
        <f>'CAPEX Schedule'!$EA$12/1000</f>
        <v>0</v>
      </c>
      <c r="H136" s="617">
        <f t="shared" ref="H136:H199" si="16">SUM(C136:G136)</f>
        <v>0</v>
      </c>
      <c r="I136" s="543"/>
      <c r="J136" s="543"/>
      <c r="K136" s="543"/>
      <c r="L136" s="543"/>
      <c r="M136" s="617">
        <f t="shared" si="14"/>
        <v>0</v>
      </c>
      <c r="N136" s="542"/>
      <c r="O136" s="541"/>
      <c r="P136" s="540"/>
      <c r="Q136" s="540"/>
      <c r="R136" s="539"/>
    </row>
    <row r="137" spans="1:18" ht="16.149999999999999" customHeight="1" x14ac:dyDescent="0.35">
      <c r="A137" s="693">
        <f t="shared" si="15"/>
        <v>11</v>
      </c>
      <c r="B137" s="691">
        <f t="shared" ref="B137:B200" si="17">B136+1</f>
        <v>130</v>
      </c>
      <c r="C137" s="616">
        <f>'CAPEX Schedule'!$EB$8/1000</f>
        <v>0</v>
      </c>
      <c r="D137" s="616">
        <f>'CAPEX Schedule'!$EB$9/1000</f>
        <v>0</v>
      </c>
      <c r="E137" s="616">
        <f>'CAPEX Schedule'!$EB$10/1000</f>
        <v>0</v>
      </c>
      <c r="F137" s="616">
        <f>'CAPEX Schedule'!$EB$11/1000</f>
        <v>0</v>
      </c>
      <c r="G137" s="616">
        <f>'CAPEX Schedule'!$EB$12/1000</f>
        <v>0</v>
      </c>
      <c r="H137" s="617">
        <f t="shared" si="16"/>
        <v>0</v>
      </c>
      <c r="I137" s="543"/>
      <c r="J137" s="543"/>
      <c r="K137" s="543"/>
      <c r="L137" s="543"/>
      <c r="M137" s="617">
        <f t="shared" si="14"/>
        <v>0</v>
      </c>
      <c r="N137" s="542"/>
      <c r="O137" s="541"/>
      <c r="P137" s="540"/>
      <c r="Q137" s="540"/>
      <c r="R137" s="539"/>
    </row>
    <row r="138" spans="1:18" ht="16.149999999999999" customHeight="1" x14ac:dyDescent="0.35">
      <c r="A138" s="693">
        <f t="shared" si="15"/>
        <v>11</v>
      </c>
      <c r="B138" s="691">
        <f t="shared" si="17"/>
        <v>131</v>
      </c>
      <c r="C138" s="616">
        <f>'CAPEX Schedule'!$EC$8/1000</f>
        <v>0</v>
      </c>
      <c r="D138" s="616">
        <f>'CAPEX Schedule'!$EC$9/1000</f>
        <v>0</v>
      </c>
      <c r="E138" s="616">
        <f>'CAPEX Schedule'!$EC$10/1000</f>
        <v>0</v>
      </c>
      <c r="F138" s="616">
        <f>'CAPEX Schedule'!$EC$11/1000</f>
        <v>0</v>
      </c>
      <c r="G138" s="616">
        <f>'CAPEX Schedule'!$EC$12/1000</f>
        <v>0</v>
      </c>
      <c r="H138" s="617">
        <f t="shared" si="16"/>
        <v>0</v>
      </c>
      <c r="I138" s="543"/>
      <c r="J138" s="543"/>
      <c r="K138" s="543"/>
      <c r="L138" s="543"/>
      <c r="M138" s="617">
        <f t="shared" si="14"/>
        <v>0</v>
      </c>
      <c r="N138" s="542"/>
      <c r="O138" s="541"/>
      <c r="P138" s="540"/>
      <c r="Q138" s="540"/>
      <c r="R138" s="539"/>
    </row>
    <row r="139" spans="1:18" ht="16.149999999999999" customHeight="1" x14ac:dyDescent="0.35">
      <c r="A139" s="693">
        <f t="shared" si="15"/>
        <v>11</v>
      </c>
      <c r="B139" s="691">
        <f t="shared" si="17"/>
        <v>132</v>
      </c>
      <c r="C139" s="616">
        <f>'CAPEX Schedule'!$ED$8/1000</f>
        <v>0</v>
      </c>
      <c r="D139" s="616">
        <f>'CAPEX Schedule'!$ED$9/1000</f>
        <v>0</v>
      </c>
      <c r="E139" s="616">
        <f>'CAPEX Schedule'!$ED$10/1000</f>
        <v>0</v>
      </c>
      <c r="F139" s="616">
        <f>'CAPEX Schedule'!$ED$11/1000</f>
        <v>0</v>
      </c>
      <c r="G139" s="616">
        <f>'CAPEX Schedule'!$ED$12/1000</f>
        <v>0</v>
      </c>
      <c r="H139" s="617">
        <f t="shared" si="16"/>
        <v>0</v>
      </c>
      <c r="I139" s="543"/>
      <c r="J139" s="543"/>
      <c r="K139" s="543"/>
      <c r="L139" s="543"/>
      <c r="M139" s="617">
        <f t="shared" si="14"/>
        <v>0</v>
      </c>
      <c r="N139" s="542"/>
      <c r="O139" s="541"/>
      <c r="P139" s="540"/>
      <c r="Q139" s="540"/>
      <c r="R139" s="539"/>
    </row>
    <row r="140" spans="1:18" ht="16.149999999999999" customHeight="1" x14ac:dyDescent="0.35">
      <c r="A140" s="693">
        <f t="shared" si="15"/>
        <v>12</v>
      </c>
      <c r="B140" s="691">
        <f t="shared" si="17"/>
        <v>133</v>
      </c>
      <c r="C140" s="616">
        <f>'CAPEX Schedule'!$EE$8/1000</f>
        <v>0</v>
      </c>
      <c r="D140" s="616">
        <f>'CAPEX Schedule'!$EE$9/1000</f>
        <v>0</v>
      </c>
      <c r="E140" s="616">
        <f>'CAPEX Schedule'!$EE$10/1000</f>
        <v>0</v>
      </c>
      <c r="F140" s="616">
        <f>'CAPEX Schedule'!$EE$11/1000</f>
        <v>0</v>
      </c>
      <c r="G140" s="616">
        <f>'CAPEX Schedule'!$EE$12/1000</f>
        <v>0</v>
      </c>
      <c r="H140" s="617">
        <f t="shared" si="16"/>
        <v>0</v>
      </c>
      <c r="I140" s="543"/>
      <c r="J140" s="543"/>
      <c r="K140" s="543"/>
      <c r="L140" s="543"/>
      <c r="M140" s="617">
        <f t="shared" si="14"/>
        <v>0</v>
      </c>
      <c r="N140" s="542"/>
      <c r="O140" s="541"/>
      <c r="P140" s="540"/>
      <c r="Q140" s="540"/>
      <c r="R140" s="539"/>
    </row>
    <row r="141" spans="1:18" ht="16.149999999999999" customHeight="1" x14ac:dyDescent="0.35">
      <c r="A141" s="693">
        <f t="shared" si="15"/>
        <v>12</v>
      </c>
      <c r="B141" s="691">
        <f t="shared" si="17"/>
        <v>134</v>
      </c>
      <c r="C141" s="616">
        <f>'CAPEX Schedule'!$EF$8/1000</f>
        <v>0</v>
      </c>
      <c r="D141" s="616">
        <f>'CAPEX Schedule'!$EF$9/1000</f>
        <v>0</v>
      </c>
      <c r="E141" s="616">
        <f>'CAPEX Schedule'!$EF$10/1000</f>
        <v>0</v>
      </c>
      <c r="F141" s="616">
        <f>'CAPEX Schedule'!$EF$11/1000</f>
        <v>0</v>
      </c>
      <c r="G141" s="616">
        <f>'CAPEX Schedule'!$EF$12/1000</f>
        <v>0</v>
      </c>
      <c r="H141" s="617">
        <f t="shared" si="16"/>
        <v>0</v>
      </c>
      <c r="I141" s="543"/>
      <c r="J141" s="543"/>
      <c r="K141" s="543"/>
      <c r="L141" s="543"/>
      <c r="M141" s="617">
        <f t="shared" si="14"/>
        <v>0</v>
      </c>
      <c r="N141" s="542"/>
      <c r="O141" s="541"/>
      <c r="P141" s="540"/>
      <c r="Q141" s="540"/>
      <c r="R141" s="539"/>
    </row>
    <row r="142" spans="1:18" ht="16.149999999999999" customHeight="1" x14ac:dyDescent="0.35">
      <c r="A142" s="693">
        <f t="shared" si="15"/>
        <v>12</v>
      </c>
      <c r="B142" s="691">
        <f t="shared" si="17"/>
        <v>135</v>
      </c>
      <c r="C142" s="616">
        <f>'CAPEX Schedule'!$EG$8/1000</f>
        <v>0</v>
      </c>
      <c r="D142" s="616">
        <f>'CAPEX Schedule'!$EG$9/1000</f>
        <v>0</v>
      </c>
      <c r="E142" s="616">
        <f>'CAPEX Schedule'!$EG$10/1000</f>
        <v>0</v>
      </c>
      <c r="F142" s="616">
        <f>'CAPEX Schedule'!$EG$11/1000</f>
        <v>0</v>
      </c>
      <c r="G142" s="616">
        <f>'CAPEX Schedule'!$EG$12/1000</f>
        <v>0</v>
      </c>
      <c r="H142" s="617">
        <f t="shared" si="16"/>
        <v>0</v>
      </c>
      <c r="I142" s="543"/>
      <c r="J142" s="543"/>
      <c r="K142" s="543"/>
      <c r="L142" s="543"/>
      <c r="M142" s="617">
        <f t="shared" si="14"/>
        <v>0</v>
      </c>
      <c r="N142" s="542"/>
      <c r="O142" s="541"/>
      <c r="P142" s="540"/>
      <c r="Q142" s="540"/>
      <c r="R142" s="539"/>
    </row>
    <row r="143" spans="1:18" ht="16.149999999999999" customHeight="1" x14ac:dyDescent="0.35">
      <c r="A143" s="693">
        <f t="shared" si="15"/>
        <v>12</v>
      </c>
      <c r="B143" s="691">
        <f t="shared" si="17"/>
        <v>136</v>
      </c>
      <c r="C143" s="616">
        <f>'CAPEX Schedule'!$EH$8/1000</f>
        <v>0</v>
      </c>
      <c r="D143" s="616">
        <f>'CAPEX Schedule'!$EH$9/1000</f>
        <v>0</v>
      </c>
      <c r="E143" s="616">
        <f>'CAPEX Schedule'!$EH$10/1000</f>
        <v>0</v>
      </c>
      <c r="F143" s="616">
        <f>'CAPEX Schedule'!$EH$11/1000</f>
        <v>0</v>
      </c>
      <c r="G143" s="616">
        <f>'CAPEX Schedule'!$EH$12/1000</f>
        <v>0</v>
      </c>
      <c r="H143" s="617">
        <f t="shared" si="16"/>
        <v>0</v>
      </c>
      <c r="I143" s="543"/>
      <c r="J143" s="543"/>
      <c r="K143" s="543"/>
      <c r="L143" s="543"/>
      <c r="M143" s="617">
        <f t="shared" si="14"/>
        <v>0</v>
      </c>
      <c r="N143" s="542"/>
      <c r="O143" s="541"/>
      <c r="P143" s="540"/>
      <c r="Q143" s="540"/>
      <c r="R143" s="539"/>
    </row>
    <row r="144" spans="1:18" ht="16.149999999999999" customHeight="1" x14ac:dyDescent="0.35">
      <c r="A144" s="693">
        <f t="shared" si="15"/>
        <v>12</v>
      </c>
      <c r="B144" s="691">
        <f t="shared" si="17"/>
        <v>137</v>
      </c>
      <c r="C144" s="616">
        <f>'CAPEX Schedule'!$EI$8/1000</f>
        <v>0</v>
      </c>
      <c r="D144" s="616">
        <f>'CAPEX Schedule'!$EI$9/1000</f>
        <v>0</v>
      </c>
      <c r="E144" s="616">
        <f>'CAPEX Schedule'!$EI$10/1000</f>
        <v>0</v>
      </c>
      <c r="F144" s="616">
        <f>'CAPEX Schedule'!$EI$11/1000</f>
        <v>0</v>
      </c>
      <c r="G144" s="616">
        <f>'CAPEX Schedule'!$EI$12/1000</f>
        <v>0</v>
      </c>
      <c r="H144" s="617">
        <f t="shared" si="16"/>
        <v>0</v>
      </c>
      <c r="I144" s="543"/>
      <c r="J144" s="543"/>
      <c r="K144" s="543"/>
      <c r="L144" s="543"/>
      <c r="M144" s="617">
        <f t="shared" si="14"/>
        <v>0</v>
      </c>
      <c r="N144" s="542"/>
      <c r="O144" s="541"/>
      <c r="P144" s="540"/>
      <c r="Q144" s="540"/>
      <c r="R144" s="539"/>
    </row>
    <row r="145" spans="1:18" ht="16.149999999999999" customHeight="1" x14ac:dyDescent="0.35">
      <c r="A145" s="693">
        <f t="shared" si="15"/>
        <v>12</v>
      </c>
      <c r="B145" s="691">
        <f t="shared" si="17"/>
        <v>138</v>
      </c>
      <c r="C145" s="616">
        <f>'CAPEX Schedule'!$EJ$8/1000</f>
        <v>0</v>
      </c>
      <c r="D145" s="616">
        <f>'CAPEX Schedule'!$EJ$9/1000</f>
        <v>0</v>
      </c>
      <c r="E145" s="616">
        <f>'CAPEX Schedule'!$EJ$10/1000</f>
        <v>0</v>
      </c>
      <c r="F145" s="616">
        <f>'CAPEX Schedule'!$EJ$11/1000</f>
        <v>0</v>
      </c>
      <c r="G145" s="616">
        <f>'CAPEX Schedule'!$EJ$12/1000</f>
        <v>0</v>
      </c>
      <c r="H145" s="617">
        <f t="shared" si="16"/>
        <v>0</v>
      </c>
      <c r="I145" s="543"/>
      <c r="J145" s="543"/>
      <c r="K145" s="543"/>
      <c r="L145" s="543"/>
      <c r="M145" s="617">
        <f t="shared" si="14"/>
        <v>0</v>
      </c>
      <c r="N145" s="542"/>
      <c r="O145" s="541"/>
      <c r="P145" s="540"/>
      <c r="Q145" s="540"/>
      <c r="R145" s="539"/>
    </row>
    <row r="146" spans="1:18" ht="16.149999999999999" customHeight="1" x14ac:dyDescent="0.35">
      <c r="A146" s="693">
        <f t="shared" si="15"/>
        <v>12</v>
      </c>
      <c r="B146" s="691">
        <f t="shared" si="17"/>
        <v>139</v>
      </c>
      <c r="C146" s="616">
        <f>'CAPEX Schedule'!$EK$8/1000</f>
        <v>0</v>
      </c>
      <c r="D146" s="616">
        <f>'CAPEX Schedule'!$EK$9/1000</f>
        <v>5000</v>
      </c>
      <c r="E146" s="616">
        <f>'CAPEX Schedule'!$EK$10/1000</f>
        <v>0</v>
      </c>
      <c r="F146" s="616">
        <f>'CAPEX Schedule'!$EK$11/1000</f>
        <v>0</v>
      </c>
      <c r="G146" s="616">
        <f>'CAPEX Schedule'!$EK$12/1000</f>
        <v>0</v>
      </c>
      <c r="H146" s="617">
        <f t="shared" si="16"/>
        <v>5000</v>
      </c>
      <c r="I146" s="543"/>
      <c r="J146" s="543"/>
      <c r="K146" s="543"/>
      <c r="L146" s="543"/>
      <c r="M146" s="617">
        <f t="shared" si="14"/>
        <v>5000</v>
      </c>
      <c r="N146" s="542"/>
      <c r="O146" s="541"/>
      <c r="P146" s="540"/>
      <c r="Q146" s="540"/>
      <c r="R146" s="539"/>
    </row>
    <row r="147" spans="1:18" ht="16.149999999999999" customHeight="1" x14ac:dyDescent="0.35">
      <c r="A147" s="693">
        <f t="shared" si="15"/>
        <v>12</v>
      </c>
      <c r="B147" s="691">
        <f t="shared" si="17"/>
        <v>140</v>
      </c>
      <c r="C147" s="616">
        <f>'CAPEX Schedule'!$EL$8/1000</f>
        <v>0</v>
      </c>
      <c r="D147" s="616">
        <f>'CAPEX Schedule'!$EL$9/1000</f>
        <v>0</v>
      </c>
      <c r="E147" s="616">
        <f>'CAPEX Schedule'!$EL$10/1000</f>
        <v>0</v>
      </c>
      <c r="F147" s="616">
        <f>'CAPEX Schedule'!$EL$11/1000</f>
        <v>0</v>
      </c>
      <c r="G147" s="616">
        <f>'CAPEX Schedule'!$EL$12/1000</f>
        <v>0</v>
      </c>
      <c r="H147" s="617">
        <f t="shared" si="16"/>
        <v>0</v>
      </c>
      <c r="I147" s="543"/>
      <c r="J147" s="543"/>
      <c r="K147" s="543"/>
      <c r="L147" s="543"/>
      <c r="M147" s="617">
        <f t="shared" si="14"/>
        <v>0</v>
      </c>
      <c r="N147" s="542"/>
      <c r="O147" s="541"/>
      <c r="P147" s="540"/>
      <c r="Q147" s="540"/>
      <c r="R147" s="539"/>
    </row>
    <row r="148" spans="1:18" ht="16.149999999999999" customHeight="1" x14ac:dyDescent="0.35">
      <c r="A148" s="693">
        <f t="shared" si="15"/>
        <v>12</v>
      </c>
      <c r="B148" s="691">
        <f t="shared" si="17"/>
        <v>141</v>
      </c>
      <c r="C148" s="616">
        <f>'CAPEX Schedule'!$EM$8/1000</f>
        <v>0</v>
      </c>
      <c r="D148" s="616">
        <f>'CAPEX Schedule'!$EM$9/1000</f>
        <v>0</v>
      </c>
      <c r="E148" s="616">
        <f>'CAPEX Schedule'!$EM$10/1000</f>
        <v>0</v>
      </c>
      <c r="F148" s="616">
        <f>'CAPEX Schedule'!$EM$11/1000</f>
        <v>0</v>
      </c>
      <c r="G148" s="616">
        <f>'CAPEX Schedule'!$EM$12/1000</f>
        <v>0</v>
      </c>
      <c r="H148" s="617">
        <f t="shared" si="16"/>
        <v>0</v>
      </c>
      <c r="I148" s="543"/>
      <c r="J148" s="543"/>
      <c r="K148" s="543"/>
      <c r="L148" s="543"/>
      <c r="M148" s="617">
        <f t="shared" si="14"/>
        <v>0</v>
      </c>
      <c r="N148" s="542"/>
      <c r="O148" s="541"/>
      <c r="P148" s="540"/>
      <c r="Q148" s="540"/>
      <c r="R148" s="539"/>
    </row>
    <row r="149" spans="1:18" ht="16.149999999999999" customHeight="1" x14ac:dyDescent="0.35">
      <c r="A149" s="693">
        <f t="shared" si="15"/>
        <v>12</v>
      </c>
      <c r="B149" s="691">
        <f t="shared" si="17"/>
        <v>142</v>
      </c>
      <c r="C149" s="616">
        <f>'CAPEX Schedule'!$EN$8/1000</f>
        <v>0</v>
      </c>
      <c r="D149" s="616">
        <f>'CAPEX Schedule'!$EN$9/1000</f>
        <v>0</v>
      </c>
      <c r="E149" s="616">
        <f>'CAPEX Schedule'!$EN$10/1000</f>
        <v>0</v>
      </c>
      <c r="F149" s="616">
        <f>'CAPEX Schedule'!$EN$11/1000</f>
        <v>0</v>
      </c>
      <c r="G149" s="616">
        <f>'CAPEX Schedule'!$EN$12/1000</f>
        <v>0</v>
      </c>
      <c r="H149" s="617">
        <f t="shared" si="16"/>
        <v>0</v>
      </c>
      <c r="I149" s="543"/>
      <c r="J149" s="543"/>
      <c r="K149" s="543"/>
      <c r="L149" s="543"/>
      <c r="M149" s="617">
        <f t="shared" si="14"/>
        <v>0</v>
      </c>
      <c r="N149" s="542"/>
      <c r="O149" s="541"/>
      <c r="P149" s="540"/>
      <c r="Q149" s="540"/>
      <c r="R149" s="539"/>
    </row>
    <row r="150" spans="1:18" ht="16.149999999999999" customHeight="1" x14ac:dyDescent="0.35">
      <c r="A150" s="693">
        <f t="shared" si="15"/>
        <v>12</v>
      </c>
      <c r="B150" s="691">
        <f t="shared" si="17"/>
        <v>143</v>
      </c>
      <c r="C150" s="616">
        <f>'CAPEX Schedule'!$EO$8/1000</f>
        <v>0</v>
      </c>
      <c r="D150" s="616">
        <f>'CAPEX Schedule'!$EO$9/1000</f>
        <v>0</v>
      </c>
      <c r="E150" s="616">
        <f>'CAPEX Schedule'!$EO$10/1000</f>
        <v>0</v>
      </c>
      <c r="F150" s="616">
        <f>'CAPEX Schedule'!$EO$11/1000</f>
        <v>0</v>
      </c>
      <c r="G150" s="616">
        <f>'CAPEX Schedule'!$EO$12/1000</f>
        <v>0</v>
      </c>
      <c r="H150" s="617">
        <f t="shared" si="16"/>
        <v>0</v>
      </c>
      <c r="I150" s="543"/>
      <c r="J150" s="543"/>
      <c r="K150" s="543"/>
      <c r="L150" s="543"/>
      <c r="M150" s="617">
        <f t="shared" si="14"/>
        <v>0</v>
      </c>
      <c r="N150" s="542"/>
      <c r="O150" s="541"/>
      <c r="P150" s="540"/>
      <c r="Q150" s="540"/>
      <c r="R150" s="539"/>
    </row>
    <row r="151" spans="1:18" ht="16.149999999999999" customHeight="1" x14ac:dyDescent="0.35">
      <c r="A151" s="693">
        <f t="shared" si="15"/>
        <v>12</v>
      </c>
      <c r="B151" s="691">
        <f t="shared" si="17"/>
        <v>144</v>
      </c>
      <c r="C151" s="616">
        <f>'CAPEX Schedule'!$EP$8/1000</f>
        <v>0</v>
      </c>
      <c r="D151" s="616">
        <f>'CAPEX Schedule'!$EP$9/1000</f>
        <v>10000</v>
      </c>
      <c r="E151" s="616">
        <f>'CAPEX Schedule'!$EP$10/1000</f>
        <v>0</v>
      </c>
      <c r="F151" s="616">
        <f>'CAPEX Schedule'!$EP$11/1000</f>
        <v>0</v>
      </c>
      <c r="G151" s="616">
        <f>'CAPEX Schedule'!$EP$12/1000</f>
        <v>0</v>
      </c>
      <c r="H151" s="617">
        <f t="shared" si="16"/>
        <v>10000</v>
      </c>
      <c r="I151" s="543"/>
      <c r="J151" s="543"/>
      <c r="K151" s="543"/>
      <c r="L151" s="543"/>
      <c r="M151" s="617">
        <f t="shared" si="14"/>
        <v>10000</v>
      </c>
      <c r="N151" s="542"/>
      <c r="O151" s="541"/>
      <c r="P151" s="540"/>
      <c r="Q151" s="540"/>
      <c r="R151" s="539"/>
    </row>
    <row r="152" spans="1:18" ht="16.149999999999999" customHeight="1" x14ac:dyDescent="0.35">
      <c r="A152" s="693">
        <f t="shared" si="15"/>
        <v>13</v>
      </c>
      <c r="B152" s="691">
        <f t="shared" si="17"/>
        <v>145</v>
      </c>
      <c r="C152" s="616">
        <f>'CAPEX Schedule'!$EQ$8/1000</f>
        <v>0</v>
      </c>
      <c r="D152" s="616">
        <f>'CAPEX Schedule'!$EQ$9/1000</f>
        <v>0</v>
      </c>
      <c r="E152" s="616">
        <f>'CAPEX Schedule'!$EQ$10/1000</f>
        <v>0</v>
      </c>
      <c r="F152" s="616">
        <f>'CAPEX Schedule'!$EQ$11/1000</f>
        <v>0</v>
      </c>
      <c r="G152" s="616">
        <f>'CAPEX Schedule'!$EQ$12/1000</f>
        <v>0</v>
      </c>
      <c r="H152" s="617">
        <f t="shared" si="16"/>
        <v>0</v>
      </c>
      <c r="I152" s="543"/>
      <c r="J152" s="543"/>
      <c r="K152" s="543"/>
      <c r="L152" s="543"/>
      <c r="M152" s="617">
        <f t="shared" si="14"/>
        <v>0</v>
      </c>
      <c r="N152" s="542"/>
      <c r="O152" s="541"/>
      <c r="P152" s="540"/>
      <c r="Q152" s="540"/>
      <c r="R152" s="539"/>
    </row>
    <row r="153" spans="1:18" ht="16.149999999999999" customHeight="1" x14ac:dyDescent="0.35">
      <c r="A153" s="693">
        <f t="shared" si="15"/>
        <v>13</v>
      </c>
      <c r="B153" s="691">
        <f t="shared" si="17"/>
        <v>146</v>
      </c>
      <c r="C153" s="616">
        <f>'CAPEX Schedule'!$ER$8/1000</f>
        <v>0</v>
      </c>
      <c r="D153" s="616">
        <f>'CAPEX Schedule'!$ER$9/1000</f>
        <v>0</v>
      </c>
      <c r="E153" s="616">
        <f>'CAPEX Schedule'!$ER$10/1000</f>
        <v>0</v>
      </c>
      <c r="F153" s="616">
        <f>'CAPEX Schedule'!$ER$11/1000</f>
        <v>0</v>
      </c>
      <c r="G153" s="616">
        <f>'CAPEX Schedule'!$ER$12/1000</f>
        <v>0</v>
      </c>
      <c r="H153" s="617">
        <f t="shared" si="16"/>
        <v>0</v>
      </c>
      <c r="I153" s="543"/>
      <c r="J153" s="543"/>
      <c r="K153" s="543"/>
      <c r="L153" s="543"/>
      <c r="M153" s="617">
        <f t="shared" si="14"/>
        <v>0</v>
      </c>
      <c r="N153" s="542"/>
      <c r="O153" s="541"/>
      <c r="P153" s="540"/>
      <c r="Q153" s="540"/>
      <c r="R153" s="539"/>
    </row>
    <row r="154" spans="1:18" ht="16.149999999999999" customHeight="1" x14ac:dyDescent="0.35">
      <c r="A154" s="693">
        <f t="shared" si="15"/>
        <v>13</v>
      </c>
      <c r="B154" s="691">
        <f t="shared" si="17"/>
        <v>147</v>
      </c>
      <c r="C154" s="616">
        <f>'CAPEX Schedule'!$ES$8/1000</f>
        <v>0</v>
      </c>
      <c r="D154" s="616">
        <f>'CAPEX Schedule'!$ES$9/1000</f>
        <v>0</v>
      </c>
      <c r="E154" s="616">
        <f>'CAPEX Schedule'!$ES$10/1000</f>
        <v>0</v>
      </c>
      <c r="F154" s="616">
        <f>'CAPEX Schedule'!$ES$11/1000</f>
        <v>0</v>
      </c>
      <c r="G154" s="616">
        <f>'CAPEX Schedule'!$ES$12/1000</f>
        <v>0</v>
      </c>
      <c r="H154" s="617">
        <f t="shared" si="16"/>
        <v>0</v>
      </c>
      <c r="I154" s="543"/>
      <c r="J154" s="543"/>
      <c r="K154" s="543"/>
      <c r="L154" s="543"/>
      <c r="M154" s="617">
        <f t="shared" si="14"/>
        <v>0</v>
      </c>
      <c r="N154" s="542"/>
      <c r="O154" s="541"/>
      <c r="P154" s="540"/>
      <c r="Q154" s="540"/>
      <c r="R154" s="539"/>
    </row>
    <row r="155" spans="1:18" ht="16.149999999999999" customHeight="1" x14ac:dyDescent="0.35">
      <c r="A155" s="693">
        <f t="shared" si="15"/>
        <v>13</v>
      </c>
      <c r="B155" s="691">
        <f t="shared" si="17"/>
        <v>148</v>
      </c>
      <c r="C155" s="616">
        <f>'CAPEX Schedule'!$ET$8/1000</f>
        <v>0</v>
      </c>
      <c r="D155" s="616">
        <f>'CAPEX Schedule'!$ET$9/1000</f>
        <v>0</v>
      </c>
      <c r="E155" s="616">
        <f>'CAPEX Schedule'!$ET$10/1000</f>
        <v>0</v>
      </c>
      <c r="F155" s="616">
        <f>'CAPEX Schedule'!$ET$11/1000</f>
        <v>0</v>
      </c>
      <c r="G155" s="616">
        <f>'CAPEX Schedule'!$ET$12/1000</f>
        <v>0</v>
      </c>
      <c r="H155" s="617">
        <f t="shared" si="16"/>
        <v>0</v>
      </c>
      <c r="I155" s="543"/>
      <c r="J155" s="543"/>
      <c r="K155" s="543"/>
      <c r="L155" s="543"/>
      <c r="M155" s="617">
        <f t="shared" si="14"/>
        <v>0</v>
      </c>
      <c r="N155" s="542"/>
      <c r="O155" s="541"/>
      <c r="P155" s="540"/>
      <c r="Q155" s="540"/>
      <c r="R155" s="539"/>
    </row>
    <row r="156" spans="1:18" ht="16.149999999999999" customHeight="1" x14ac:dyDescent="0.35">
      <c r="A156" s="693">
        <f t="shared" si="15"/>
        <v>13</v>
      </c>
      <c r="B156" s="691">
        <f t="shared" si="17"/>
        <v>149</v>
      </c>
      <c r="C156" s="616">
        <f>'CAPEX Schedule'!$EU$8/1000</f>
        <v>0</v>
      </c>
      <c r="D156" s="616">
        <f>'CAPEX Schedule'!$EU$9/1000</f>
        <v>0</v>
      </c>
      <c r="E156" s="616">
        <f>'CAPEX Schedule'!$EU$10/1000</f>
        <v>0</v>
      </c>
      <c r="F156" s="616">
        <f>'CAPEX Schedule'!$EU$11/1000</f>
        <v>0</v>
      </c>
      <c r="G156" s="616">
        <f>'CAPEX Schedule'!$EU$12/1000</f>
        <v>0</v>
      </c>
      <c r="H156" s="617">
        <f t="shared" si="16"/>
        <v>0</v>
      </c>
      <c r="I156" s="543"/>
      <c r="J156" s="543"/>
      <c r="K156" s="543"/>
      <c r="L156" s="543"/>
      <c r="M156" s="617">
        <f t="shared" si="14"/>
        <v>0</v>
      </c>
      <c r="N156" s="542"/>
      <c r="O156" s="541"/>
      <c r="P156" s="540"/>
      <c r="Q156" s="540"/>
      <c r="R156" s="539"/>
    </row>
    <row r="157" spans="1:18" ht="16.149999999999999" customHeight="1" x14ac:dyDescent="0.35">
      <c r="A157" s="693">
        <f t="shared" si="15"/>
        <v>13</v>
      </c>
      <c r="B157" s="691">
        <f t="shared" si="17"/>
        <v>150</v>
      </c>
      <c r="C157" s="616">
        <f>'CAPEX Schedule'!$EV$8/1000</f>
        <v>0</v>
      </c>
      <c r="D157" s="616">
        <f>'CAPEX Schedule'!$EV$9/1000</f>
        <v>0</v>
      </c>
      <c r="E157" s="616">
        <f>'CAPEX Schedule'!$EV$10/1000</f>
        <v>0</v>
      </c>
      <c r="F157" s="616">
        <f>'CAPEX Schedule'!$EV$11/1000</f>
        <v>0</v>
      </c>
      <c r="G157" s="616">
        <f>'CAPEX Schedule'!$EV$12/1000</f>
        <v>0</v>
      </c>
      <c r="H157" s="617">
        <f t="shared" si="16"/>
        <v>0</v>
      </c>
      <c r="I157" s="543"/>
      <c r="J157" s="543"/>
      <c r="K157" s="543"/>
      <c r="L157" s="543"/>
      <c r="M157" s="617">
        <f t="shared" si="14"/>
        <v>0</v>
      </c>
      <c r="N157" s="542"/>
      <c r="O157" s="541"/>
      <c r="P157" s="540"/>
      <c r="Q157" s="540"/>
      <c r="R157" s="539"/>
    </row>
    <row r="158" spans="1:18" ht="16.149999999999999" customHeight="1" x14ac:dyDescent="0.35">
      <c r="A158" s="693">
        <f t="shared" si="15"/>
        <v>13</v>
      </c>
      <c r="B158" s="691">
        <f t="shared" si="17"/>
        <v>151</v>
      </c>
      <c r="C158" s="616">
        <f>'CAPEX Schedule'!$EW$8/1000</f>
        <v>0</v>
      </c>
      <c r="D158" s="616">
        <f>'CAPEX Schedule'!$EW$9/1000</f>
        <v>0</v>
      </c>
      <c r="E158" s="616">
        <f>'CAPEX Schedule'!$EW$10/1000</f>
        <v>0</v>
      </c>
      <c r="F158" s="616">
        <f>'CAPEX Schedule'!$EW$11/1000</f>
        <v>0</v>
      </c>
      <c r="G158" s="616">
        <f>'CAPEX Schedule'!$EW$12/1000</f>
        <v>0</v>
      </c>
      <c r="H158" s="617">
        <f t="shared" si="16"/>
        <v>0</v>
      </c>
      <c r="I158" s="543"/>
      <c r="J158" s="543"/>
      <c r="K158" s="543"/>
      <c r="L158" s="543"/>
      <c r="M158" s="617">
        <f t="shared" si="14"/>
        <v>0</v>
      </c>
      <c r="N158" s="542"/>
      <c r="O158" s="541"/>
      <c r="P158" s="540"/>
      <c r="Q158" s="540"/>
      <c r="R158" s="539"/>
    </row>
    <row r="159" spans="1:18" ht="16.149999999999999" customHeight="1" x14ac:dyDescent="0.35">
      <c r="A159" s="693">
        <f t="shared" si="15"/>
        <v>13</v>
      </c>
      <c r="B159" s="691">
        <f t="shared" si="17"/>
        <v>152</v>
      </c>
      <c r="C159" s="616">
        <f>'CAPEX Schedule'!$EX$8/1000</f>
        <v>0</v>
      </c>
      <c r="D159" s="616">
        <f>'CAPEX Schedule'!$EX$9/1000</f>
        <v>0</v>
      </c>
      <c r="E159" s="616">
        <f>'CAPEX Schedule'!$EX$10/1000</f>
        <v>0</v>
      </c>
      <c r="F159" s="616">
        <f>'CAPEX Schedule'!$EX$11/1000</f>
        <v>0</v>
      </c>
      <c r="G159" s="616">
        <f>'CAPEX Schedule'!$EX$12/1000</f>
        <v>0</v>
      </c>
      <c r="H159" s="617">
        <f t="shared" si="16"/>
        <v>0</v>
      </c>
      <c r="I159" s="543"/>
      <c r="J159" s="543"/>
      <c r="K159" s="543"/>
      <c r="L159" s="543"/>
      <c r="M159" s="617">
        <f t="shared" si="14"/>
        <v>0</v>
      </c>
      <c r="N159" s="542"/>
      <c r="O159" s="541"/>
      <c r="P159" s="540"/>
      <c r="Q159" s="540"/>
      <c r="R159" s="539"/>
    </row>
    <row r="160" spans="1:18" ht="16.149999999999999" customHeight="1" x14ac:dyDescent="0.35">
      <c r="A160" s="693">
        <f t="shared" si="15"/>
        <v>13</v>
      </c>
      <c r="B160" s="691">
        <f t="shared" si="17"/>
        <v>153</v>
      </c>
      <c r="C160" s="616">
        <f>'CAPEX Schedule'!$EY$8/1000</f>
        <v>0</v>
      </c>
      <c r="D160" s="616">
        <f>'CAPEX Schedule'!$EY$9/1000</f>
        <v>0</v>
      </c>
      <c r="E160" s="616">
        <f>'CAPEX Schedule'!$EY$10/1000</f>
        <v>0</v>
      </c>
      <c r="F160" s="616">
        <f>'CAPEX Schedule'!$EY$11/1000</f>
        <v>0</v>
      </c>
      <c r="G160" s="616">
        <f>'CAPEX Schedule'!$EY$12/1000</f>
        <v>0</v>
      </c>
      <c r="H160" s="617">
        <f t="shared" si="16"/>
        <v>0</v>
      </c>
      <c r="I160" s="543"/>
      <c r="J160" s="543"/>
      <c r="K160" s="543"/>
      <c r="L160" s="543"/>
      <c r="M160" s="617">
        <f t="shared" ref="M160:M223" si="18">SUM(C160:G160)</f>
        <v>0</v>
      </c>
      <c r="N160" s="542"/>
      <c r="O160" s="541"/>
      <c r="P160" s="540"/>
      <c r="Q160" s="540"/>
      <c r="R160" s="539"/>
    </row>
    <row r="161" spans="1:18" ht="16.149999999999999" customHeight="1" x14ac:dyDescent="0.35">
      <c r="A161" s="693">
        <f t="shared" si="15"/>
        <v>13</v>
      </c>
      <c r="B161" s="691">
        <f t="shared" si="17"/>
        <v>154</v>
      </c>
      <c r="C161" s="616">
        <f>'CAPEX Schedule'!$EZ$8/1000</f>
        <v>0</v>
      </c>
      <c r="D161" s="616">
        <f>'CAPEX Schedule'!$EZ$9/1000</f>
        <v>5000</v>
      </c>
      <c r="E161" s="616">
        <f>'CAPEX Schedule'!$EZ$10/1000</f>
        <v>0</v>
      </c>
      <c r="F161" s="616">
        <f>'CAPEX Schedule'!$EZ$11/1000</f>
        <v>0</v>
      </c>
      <c r="G161" s="616">
        <f>'CAPEX Schedule'!$EZ$12/1000</f>
        <v>0</v>
      </c>
      <c r="H161" s="617">
        <f t="shared" si="16"/>
        <v>5000</v>
      </c>
      <c r="I161" s="543"/>
      <c r="J161" s="543"/>
      <c r="K161" s="543"/>
      <c r="L161" s="543"/>
      <c r="M161" s="617">
        <f t="shared" si="18"/>
        <v>5000</v>
      </c>
      <c r="N161" s="542"/>
      <c r="O161" s="541"/>
      <c r="P161" s="540"/>
      <c r="Q161" s="540"/>
      <c r="R161" s="539"/>
    </row>
    <row r="162" spans="1:18" ht="16.149999999999999" customHeight="1" x14ac:dyDescent="0.35">
      <c r="A162" s="693">
        <f t="shared" si="15"/>
        <v>13</v>
      </c>
      <c r="B162" s="691">
        <f t="shared" si="17"/>
        <v>155</v>
      </c>
      <c r="C162" s="616">
        <f>'CAPEX Schedule'!$FA$8/1000</f>
        <v>0</v>
      </c>
      <c r="D162" s="616">
        <f>'CAPEX Schedule'!$FA$9/1000</f>
        <v>0</v>
      </c>
      <c r="E162" s="616">
        <f>'CAPEX Schedule'!$FA$10/1000</f>
        <v>0</v>
      </c>
      <c r="F162" s="616">
        <f>'CAPEX Schedule'!$FA$11/1000</f>
        <v>0</v>
      </c>
      <c r="G162" s="616">
        <f>'CAPEX Schedule'!$FA$12/1000</f>
        <v>0</v>
      </c>
      <c r="H162" s="617">
        <f t="shared" si="16"/>
        <v>0</v>
      </c>
      <c r="I162" s="543"/>
      <c r="J162" s="543"/>
      <c r="K162" s="543"/>
      <c r="L162" s="543"/>
      <c r="M162" s="617">
        <f t="shared" si="18"/>
        <v>0</v>
      </c>
      <c r="N162" s="542"/>
      <c r="O162" s="541"/>
      <c r="P162" s="540"/>
      <c r="Q162" s="540"/>
      <c r="R162" s="539"/>
    </row>
    <row r="163" spans="1:18" ht="16.149999999999999" customHeight="1" x14ac:dyDescent="0.35">
      <c r="A163" s="693">
        <f t="shared" si="15"/>
        <v>13</v>
      </c>
      <c r="B163" s="691">
        <f t="shared" si="17"/>
        <v>156</v>
      </c>
      <c r="C163" s="616">
        <f>'CAPEX Schedule'!$FB$8/1000</f>
        <v>0</v>
      </c>
      <c r="D163" s="616">
        <f>'CAPEX Schedule'!$FB$9/1000</f>
        <v>0</v>
      </c>
      <c r="E163" s="616">
        <f>'CAPEX Schedule'!$FB$10/1000</f>
        <v>0</v>
      </c>
      <c r="F163" s="616">
        <f>'CAPEX Schedule'!$FB$11/1000</f>
        <v>0</v>
      </c>
      <c r="G163" s="616">
        <f>'CAPEX Schedule'!$FB$12/1000</f>
        <v>0</v>
      </c>
      <c r="H163" s="617">
        <f t="shared" si="16"/>
        <v>0</v>
      </c>
      <c r="I163" s="543"/>
      <c r="J163" s="543"/>
      <c r="K163" s="543"/>
      <c r="L163" s="543"/>
      <c r="M163" s="617">
        <f t="shared" si="18"/>
        <v>0</v>
      </c>
      <c r="N163" s="542"/>
      <c r="O163" s="541"/>
      <c r="P163" s="540"/>
      <c r="Q163" s="540"/>
      <c r="R163" s="539"/>
    </row>
    <row r="164" spans="1:18" ht="16.149999999999999" customHeight="1" x14ac:dyDescent="0.35">
      <c r="A164" s="693">
        <f t="shared" si="15"/>
        <v>14</v>
      </c>
      <c r="B164" s="691">
        <f t="shared" si="17"/>
        <v>157</v>
      </c>
      <c r="C164" s="616">
        <f>'CAPEX Schedule'!$FC$8/1000</f>
        <v>0</v>
      </c>
      <c r="D164" s="616">
        <f>'CAPEX Schedule'!$FC$9/1000</f>
        <v>0</v>
      </c>
      <c r="E164" s="616">
        <f>'CAPEX Schedule'!$FC$10/1000</f>
        <v>0</v>
      </c>
      <c r="F164" s="616">
        <f>'CAPEX Schedule'!$FC$11/1000</f>
        <v>0</v>
      </c>
      <c r="G164" s="616">
        <f>'CAPEX Schedule'!$FC$12/1000</f>
        <v>0</v>
      </c>
      <c r="H164" s="617">
        <f t="shared" si="16"/>
        <v>0</v>
      </c>
      <c r="I164" s="543"/>
      <c r="J164" s="543"/>
      <c r="K164" s="543"/>
      <c r="L164" s="543"/>
      <c r="M164" s="617">
        <f t="shared" si="18"/>
        <v>0</v>
      </c>
      <c r="N164" s="542"/>
      <c r="O164" s="541"/>
      <c r="P164" s="540"/>
      <c r="Q164" s="540"/>
      <c r="R164" s="539"/>
    </row>
    <row r="165" spans="1:18" ht="16.149999999999999" customHeight="1" x14ac:dyDescent="0.35">
      <c r="A165" s="693">
        <f t="shared" si="15"/>
        <v>14</v>
      </c>
      <c r="B165" s="691">
        <f t="shared" si="17"/>
        <v>158</v>
      </c>
      <c r="C165" s="616">
        <f>'CAPEX Schedule'!$FD$8/1000</f>
        <v>0</v>
      </c>
      <c r="D165" s="616">
        <f>'CAPEX Schedule'!$FD$9/1000</f>
        <v>0</v>
      </c>
      <c r="E165" s="616">
        <f>'CAPEX Schedule'!$FD$10/1000</f>
        <v>0</v>
      </c>
      <c r="F165" s="616">
        <f>'CAPEX Schedule'!$FD$11/1000</f>
        <v>0</v>
      </c>
      <c r="G165" s="616">
        <f>'CAPEX Schedule'!$FD$12/1000</f>
        <v>0</v>
      </c>
      <c r="H165" s="617">
        <f t="shared" si="16"/>
        <v>0</v>
      </c>
      <c r="I165" s="543"/>
      <c r="J165" s="543"/>
      <c r="K165" s="543"/>
      <c r="L165" s="543"/>
      <c r="M165" s="617">
        <f t="shared" si="18"/>
        <v>0</v>
      </c>
      <c r="N165" s="542"/>
      <c r="O165" s="541"/>
      <c r="P165" s="540"/>
      <c r="Q165" s="540"/>
      <c r="R165" s="539"/>
    </row>
    <row r="166" spans="1:18" ht="16.149999999999999" customHeight="1" x14ac:dyDescent="0.35">
      <c r="A166" s="693">
        <f t="shared" si="15"/>
        <v>14</v>
      </c>
      <c r="B166" s="691">
        <f t="shared" si="17"/>
        <v>159</v>
      </c>
      <c r="C166" s="616">
        <f>'CAPEX Schedule'!$FE$8/1000</f>
        <v>0</v>
      </c>
      <c r="D166" s="616">
        <f>'CAPEX Schedule'!$FE$9/1000</f>
        <v>0</v>
      </c>
      <c r="E166" s="616">
        <f>'CAPEX Schedule'!$FE$10/1000</f>
        <v>0</v>
      </c>
      <c r="F166" s="616">
        <f>'CAPEX Schedule'!$FE$11/1000</f>
        <v>0</v>
      </c>
      <c r="G166" s="616">
        <f>'CAPEX Schedule'!$FE$12/1000</f>
        <v>0</v>
      </c>
      <c r="H166" s="617">
        <f t="shared" si="16"/>
        <v>0</v>
      </c>
      <c r="I166" s="543"/>
      <c r="J166" s="543"/>
      <c r="K166" s="543"/>
      <c r="L166" s="543"/>
      <c r="M166" s="617">
        <f t="shared" si="18"/>
        <v>0</v>
      </c>
      <c r="N166" s="542"/>
      <c r="O166" s="541"/>
      <c r="P166" s="540"/>
      <c r="Q166" s="540"/>
      <c r="R166" s="539"/>
    </row>
    <row r="167" spans="1:18" ht="16.149999999999999" customHeight="1" x14ac:dyDescent="0.35">
      <c r="A167" s="693">
        <f t="shared" si="15"/>
        <v>14</v>
      </c>
      <c r="B167" s="691">
        <f t="shared" si="17"/>
        <v>160</v>
      </c>
      <c r="C167" s="616">
        <f>'CAPEX Schedule'!$FF$8/1000</f>
        <v>0</v>
      </c>
      <c r="D167" s="616">
        <f>'CAPEX Schedule'!$FF$9/1000</f>
        <v>0</v>
      </c>
      <c r="E167" s="616">
        <f>'CAPEX Schedule'!$FF$10/1000</f>
        <v>0</v>
      </c>
      <c r="F167" s="616">
        <f>'CAPEX Schedule'!$FF$11/1000</f>
        <v>0</v>
      </c>
      <c r="G167" s="616">
        <f>'CAPEX Schedule'!$FF$12/1000</f>
        <v>0</v>
      </c>
      <c r="H167" s="617">
        <f t="shared" si="16"/>
        <v>0</v>
      </c>
      <c r="I167" s="543"/>
      <c r="J167" s="543"/>
      <c r="K167" s="543"/>
      <c r="L167" s="543"/>
      <c r="M167" s="617">
        <f t="shared" si="18"/>
        <v>0</v>
      </c>
      <c r="N167" s="542"/>
      <c r="O167" s="541"/>
      <c r="P167" s="540"/>
      <c r="Q167" s="540"/>
      <c r="R167" s="539"/>
    </row>
    <row r="168" spans="1:18" ht="16.149999999999999" customHeight="1" x14ac:dyDescent="0.35">
      <c r="A168" s="693">
        <f t="shared" si="15"/>
        <v>14</v>
      </c>
      <c r="B168" s="691">
        <f t="shared" si="17"/>
        <v>161</v>
      </c>
      <c r="C168" s="616">
        <f>'CAPEX Schedule'!$FG$8/1000</f>
        <v>0</v>
      </c>
      <c r="D168" s="616">
        <f>'CAPEX Schedule'!$FG$9/1000</f>
        <v>0</v>
      </c>
      <c r="E168" s="616">
        <f>'CAPEX Schedule'!$FG$10/1000</f>
        <v>0</v>
      </c>
      <c r="F168" s="616">
        <f>'CAPEX Schedule'!$FG$11/1000</f>
        <v>0</v>
      </c>
      <c r="G168" s="616">
        <f>'CAPEX Schedule'!$FG$12/1000</f>
        <v>0</v>
      </c>
      <c r="H168" s="617">
        <f t="shared" si="16"/>
        <v>0</v>
      </c>
      <c r="I168" s="543"/>
      <c r="J168" s="543"/>
      <c r="K168" s="543"/>
      <c r="L168" s="543"/>
      <c r="M168" s="617">
        <f t="shared" si="18"/>
        <v>0</v>
      </c>
      <c r="N168" s="542"/>
      <c r="O168" s="541"/>
      <c r="P168" s="540"/>
      <c r="Q168" s="540"/>
      <c r="R168" s="539"/>
    </row>
    <row r="169" spans="1:18" ht="16.149999999999999" customHeight="1" x14ac:dyDescent="0.35">
      <c r="A169" s="693">
        <f t="shared" si="15"/>
        <v>14</v>
      </c>
      <c r="B169" s="691">
        <f t="shared" si="17"/>
        <v>162</v>
      </c>
      <c r="C169" s="616">
        <f>'CAPEX Schedule'!$FH$8/1000</f>
        <v>0</v>
      </c>
      <c r="D169" s="616">
        <f>'CAPEX Schedule'!$FH$9/1000</f>
        <v>10000</v>
      </c>
      <c r="E169" s="616">
        <f>'CAPEX Schedule'!$FH$10/1000</f>
        <v>0</v>
      </c>
      <c r="F169" s="616">
        <f>'CAPEX Schedule'!$FH$11/1000</f>
        <v>0</v>
      </c>
      <c r="G169" s="616">
        <f>'CAPEX Schedule'!$FH$12/1000</f>
        <v>0</v>
      </c>
      <c r="H169" s="617">
        <f t="shared" si="16"/>
        <v>10000</v>
      </c>
      <c r="I169" s="543"/>
      <c r="J169" s="543"/>
      <c r="K169" s="543"/>
      <c r="L169" s="543"/>
      <c r="M169" s="617">
        <f t="shared" si="18"/>
        <v>10000</v>
      </c>
      <c r="N169" s="542"/>
      <c r="O169" s="541"/>
      <c r="P169" s="540"/>
      <c r="Q169" s="540"/>
      <c r="R169" s="539"/>
    </row>
    <row r="170" spans="1:18" ht="16.149999999999999" customHeight="1" x14ac:dyDescent="0.35">
      <c r="A170" s="693">
        <f t="shared" si="15"/>
        <v>14</v>
      </c>
      <c r="B170" s="691">
        <f t="shared" si="17"/>
        <v>163</v>
      </c>
      <c r="C170" s="616">
        <f>'CAPEX Schedule'!$FI$8/1000</f>
        <v>0</v>
      </c>
      <c r="D170" s="616">
        <f>'CAPEX Schedule'!$FI$9/1000</f>
        <v>0</v>
      </c>
      <c r="E170" s="616">
        <f>'CAPEX Schedule'!$FI$10/1000</f>
        <v>0</v>
      </c>
      <c r="F170" s="616">
        <f>'CAPEX Schedule'!$FI$11/1000</f>
        <v>0</v>
      </c>
      <c r="G170" s="616">
        <f>'CAPEX Schedule'!$FI$12/1000</f>
        <v>0</v>
      </c>
      <c r="H170" s="617">
        <f t="shared" si="16"/>
        <v>0</v>
      </c>
      <c r="I170" s="543"/>
      <c r="J170" s="543"/>
      <c r="K170" s="543"/>
      <c r="L170" s="543"/>
      <c r="M170" s="617">
        <f t="shared" si="18"/>
        <v>0</v>
      </c>
      <c r="N170" s="542"/>
      <c r="O170" s="541"/>
      <c r="P170" s="540"/>
      <c r="Q170" s="540"/>
      <c r="R170" s="539"/>
    </row>
    <row r="171" spans="1:18" ht="16.149999999999999" customHeight="1" x14ac:dyDescent="0.35">
      <c r="A171" s="693">
        <f t="shared" si="15"/>
        <v>14</v>
      </c>
      <c r="B171" s="691">
        <f t="shared" si="17"/>
        <v>164</v>
      </c>
      <c r="C171" s="616">
        <f>'CAPEX Schedule'!$FJ$8/1000</f>
        <v>0</v>
      </c>
      <c r="D171" s="616">
        <f>'CAPEX Schedule'!$FJ$9/1000</f>
        <v>0</v>
      </c>
      <c r="E171" s="616">
        <f>'CAPEX Schedule'!$FJ$10/1000</f>
        <v>0</v>
      </c>
      <c r="F171" s="616">
        <f>'CAPEX Schedule'!$FJ$11/1000</f>
        <v>0</v>
      </c>
      <c r="G171" s="616">
        <f>'CAPEX Schedule'!$FJ$12/1000</f>
        <v>0</v>
      </c>
      <c r="H171" s="617">
        <f t="shared" si="16"/>
        <v>0</v>
      </c>
      <c r="I171" s="543"/>
      <c r="J171" s="543"/>
      <c r="K171" s="543"/>
      <c r="L171" s="543"/>
      <c r="M171" s="617">
        <f t="shared" si="18"/>
        <v>0</v>
      </c>
      <c r="N171" s="542"/>
      <c r="O171" s="541"/>
      <c r="P171" s="540"/>
      <c r="Q171" s="540"/>
      <c r="R171" s="539"/>
    </row>
    <row r="172" spans="1:18" ht="16.149999999999999" customHeight="1" x14ac:dyDescent="0.35">
      <c r="A172" s="693">
        <f t="shared" si="15"/>
        <v>14</v>
      </c>
      <c r="B172" s="691">
        <f t="shared" si="17"/>
        <v>165</v>
      </c>
      <c r="C172" s="616">
        <f>'CAPEX Schedule'!$FK$8/1000</f>
        <v>0</v>
      </c>
      <c r="D172" s="616">
        <f>'CAPEX Schedule'!$FK$9/1000</f>
        <v>0</v>
      </c>
      <c r="E172" s="616">
        <f>'CAPEX Schedule'!$FK$10/1000</f>
        <v>0</v>
      </c>
      <c r="F172" s="616">
        <f>'CAPEX Schedule'!$FK$11/1000</f>
        <v>0</v>
      </c>
      <c r="G172" s="616">
        <f>'CAPEX Schedule'!$FK$12/1000</f>
        <v>0</v>
      </c>
      <c r="H172" s="617">
        <f t="shared" si="16"/>
        <v>0</v>
      </c>
      <c r="I172" s="543"/>
      <c r="J172" s="543"/>
      <c r="K172" s="543"/>
      <c r="L172" s="543"/>
      <c r="M172" s="617">
        <f t="shared" si="18"/>
        <v>0</v>
      </c>
      <c r="N172" s="542"/>
      <c r="O172" s="541"/>
      <c r="P172" s="540"/>
      <c r="Q172" s="540"/>
      <c r="R172" s="539"/>
    </row>
    <row r="173" spans="1:18" ht="16.149999999999999" customHeight="1" x14ac:dyDescent="0.35">
      <c r="A173" s="693">
        <f t="shared" si="15"/>
        <v>14</v>
      </c>
      <c r="B173" s="691">
        <f t="shared" si="17"/>
        <v>166</v>
      </c>
      <c r="C173" s="616">
        <f>'CAPEX Schedule'!$FL$8/1000</f>
        <v>0</v>
      </c>
      <c r="D173" s="616">
        <f>'CAPEX Schedule'!$FL$9/1000</f>
        <v>0</v>
      </c>
      <c r="E173" s="616">
        <f>'CAPEX Schedule'!$FL$10/1000</f>
        <v>0</v>
      </c>
      <c r="F173" s="616">
        <f>'CAPEX Schedule'!$FL$11/1000</f>
        <v>0</v>
      </c>
      <c r="G173" s="616">
        <f>'CAPEX Schedule'!$FL$12/1000</f>
        <v>0</v>
      </c>
      <c r="H173" s="617">
        <f t="shared" si="16"/>
        <v>0</v>
      </c>
      <c r="I173" s="543"/>
      <c r="J173" s="543"/>
      <c r="K173" s="543"/>
      <c r="L173" s="543"/>
      <c r="M173" s="617">
        <f t="shared" si="18"/>
        <v>0</v>
      </c>
      <c r="N173" s="542"/>
      <c r="O173" s="541"/>
      <c r="P173" s="540"/>
      <c r="Q173" s="540"/>
      <c r="R173" s="539"/>
    </row>
    <row r="174" spans="1:18" ht="16.149999999999999" customHeight="1" x14ac:dyDescent="0.35">
      <c r="A174" s="693">
        <f t="shared" si="15"/>
        <v>14</v>
      </c>
      <c r="B174" s="691">
        <f t="shared" si="17"/>
        <v>167</v>
      </c>
      <c r="C174" s="616">
        <f>'CAPEX Schedule'!$FM$8/1000</f>
        <v>0</v>
      </c>
      <c r="D174" s="616">
        <f>'CAPEX Schedule'!$FM$9/1000</f>
        <v>0</v>
      </c>
      <c r="E174" s="616">
        <f>'CAPEX Schedule'!$FM$10/1000</f>
        <v>0</v>
      </c>
      <c r="F174" s="616">
        <f>'CAPEX Schedule'!$FM$11/1000</f>
        <v>0</v>
      </c>
      <c r="G174" s="616">
        <f>'CAPEX Schedule'!$FM$12/1000</f>
        <v>0</v>
      </c>
      <c r="H174" s="617">
        <f t="shared" si="16"/>
        <v>0</v>
      </c>
      <c r="I174" s="543"/>
      <c r="J174" s="543"/>
      <c r="K174" s="543"/>
      <c r="L174" s="543"/>
      <c r="M174" s="617">
        <f t="shared" si="18"/>
        <v>0</v>
      </c>
      <c r="N174" s="542"/>
      <c r="O174" s="541"/>
      <c r="P174" s="540"/>
      <c r="Q174" s="540"/>
      <c r="R174" s="539"/>
    </row>
    <row r="175" spans="1:18" ht="16.149999999999999" customHeight="1" x14ac:dyDescent="0.35">
      <c r="A175" s="693">
        <f t="shared" si="15"/>
        <v>14</v>
      </c>
      <c r="B175" s="691">
        <f t="shared" si="17"/>
        <v>168</v>
      </c>
      <c r="C175" s="616">
        <f>'CAPEX Schedule'!$FN$8/1000</f>
        <v>0</v>
      </c>
      <c r="D175" s="616">
        <f>'CAPEX Schedule'!$FN$9/1000</f>
        <v>0</v>
      </c>
      <c r="E175" s="616">
        <f>'CAPEX Schedule'!$FN$10/1000</f>
        <v>0</v>
      </c>
      <c r="F175" s="616">
        <f>'CAPEX Schedule'!$FN$11/1000</f>
        <v>0</v>
      </c>
      <c r="G175" s="616">
        <f>'CAPEX Schedule'!$FN$12/1000</f>
        <v>0</v>
      </c>
      <c r="H175" s="617">
        <f t="shared" si="16"/>
        <v>0</v>
      </c>
      <c r="I175" s="543"/>
      <c r="J175" s="543"/>
      <c r="K175" s="543"/>
      <c r="L175" s="543"/>
      <c r="M175" s="617">
        <f t="shared" si="18"/>
        <v>0</v>
      </c>
      <c r="N175" s="542"/>
      <c r="O175" s="541"/>
      <c r="P175" s="540"/>
      <c r="Q175" s="540"/>
      <c r="R175" s="539"/>
    </row>
    <row r="176" spans="1:18" ht="16.149999999999999" customHeight="1" x14ac:dyDescent="0.35">
      <c r="A176" s="693">
        <f t="shared" si="15"/>
        <v>15</v>
      </c>
      <c r="B176" s="691">
        <f t="shared" si="17"/>
        <v>169</v>
      </c>
      <c r="C176" s="616">
        <f>'CAPEX Schedule'!$FO$8/1000</f>
        <v>0</v>
      </c>
      <c r="D176" s="616">
        <f>'CAPEX Schedule'!$FO$9/1000</f>
        <v>0</v>
      </c>
      <c r="E176" s="616">
        <f>'CAPEX Schedule'!$FO$10/1000</f>
        <v>0</v>
      </c>
      <c r="F176" s="616">
        <f>'CAPEX Schedule'!$FO$11/1000</f>
        <v>0</v>
      </c>
      <c r="G176" s="616">
        <f>'CAPEX Schedule'!$FO$12/1000</f>
        <v>0</v>
      </c>
      <c r="H176" s="617">
        <f t="shared" si="16"/>
        <v>0</v>
      </c>
      <c r="I176" s="543"/>
      <c r="J176" s="543"/>
      <c r="K176" s="543"/>
      <c r="L176" s="543"/>
      <c r="M176" s="617">
        <f t="shared" si="18"/>
        <v>0</v>
      </c>
      <c r="N176" s="542"/>
      <c r="O176" s="541"/>
      <c r="P176" s="540"/>
      <c r="Q176" s="540"/>
      <c r="R176" s="539"/>
    </row>
    <row r="177" spans="1:18" ht="16.149999999999999" customHeight="1" x14ac:dyDescent="0.35">
      <c r="A177" s="693">
        <f t="shared" si="15"/>
        <v>15</v>
      </c>
      <c r="B177" s="691">
        <f t="shared" si="17"/>
        <v>170</v>
      </c>
      <c r="C177" s="616">
        <f>'CAPEX Schedule'!$FP$8/1000</f>
        <v>0</v>
      </c>
      <c r="D177" s="616">
        <f>'CAPEX Schedule'!$FP$9/1000</f>
        <v>0</v>
      </c>
      <c r="E177" s="616">
        <f>'CAPEX Schedule'!$FP$10/1000</f>
        <v>0</v>
      </c>
      <c r="F177" s="616">
        <f>'CAPEX Schedule'!$FP$11/1000</f>
        <v>0</v>
      </c>
      <c r="G177" s="616">
        <f>'CAPEX Schedule'!$FP$12/1000</f>
        <v>0</v>
      </c>
      <c r="H177" s="617">
        <f t="shared" si="16"/>
        <v>0</v>
      </c>
      <c r="I177" s="543"/>
      <c r="J177" s="543"/>
      <c r="K177" s="543"/>
      <c r="L177" s="543"/>
      <c r="M177" s="617">
        <f t="shared" si="18"/>
        <v>0</v>
      </c>
      <c r="N177" s="542"/>
      <c r="O177" s="541"/>
      <c r="P177" s="540"/>
      <c r="Q177" s="540"/>
      <c r="R177" s="539"/>
    </row>
    <row r="178" spans="1:18" ht="16.149999999999999" customHeight="1" x14ac:dyDescent="0.35">
      <c r="A178" s="693">
        <f t="shared" si="15"/>
        <v>15</v>
      </c>
      <c r="B178" s="691">
        <f t="shared" si="17"/>
        <v>171</v>
      </c>
      <c r="C178" s="616">
        <f>'CAPEX Schedule'!$FQ$8/1000</f>
        <v>0</v>
      </c>
      <c r="D178" s="616">
        <f>'CAPEX Schedule'!$FQ$9/1000</f>
        <v>0</v>
      </c>
      <c r="E178" s="616">
        <f>'CAPEX Schedule'!$FQ$10/1000</f>
        <v>0</v>
      </c>
      <c r="F178" s="616">
        <f>'CAPEX Schedule'!$FQ$11/1000</f>
        <v>0</v>
      </c>
      <c r="G178" s="616">
        <f>'CAPEX Schedule'!$FQ$12/1000</f>
        <v>0</v>
      </c>
      <c r="H178" s="617">
        <f t="shared" si="16"/>
        <v>0</v>
      </c>
      <c r="I178" s="543"/>
      <c r="J178" s="543"/>
      <c r="K178" s="543"/>
      <c r="L178" s="543"/>
      <c r="M178" s="617">
        <f t="shared" si="18"/>
        <v>0</v>
      </c>
      <c r="N178" s="542"/>
      <c r="O178" s="541"/>
      <c r="P178" s="540"/>
      <c r="Q178" s="540"/>
      <c r="R178" s="539"/>
    </row>
    <row r="179" spans="1:18" ht="16.149999999999999" customHeight="1" x14ac:dyDescent="0.35">
      <c r="A179" s="693">
        <f t="shared" si="15"/>
        <v>15</v>
      </c>
      <c r="B179" s="691">
        <f t="shared" si="17"/>
        <v>172</v>
      </c>
      <c r="C179" s="616">
        <f>'CAPEX Schedule'!$FR$8/1000</f>
        <v>0</v>
      </c>
      <c r="D179" s="616">
        <f>'CAPEX Schedule'!$FR$9/1000</f>
        <v>0</v>
      </c>
      <c r="E179" s="616">
        <f>'CAPEX Schedule'!$FR$10/1000</f>
        <v>0</v>
      </c>
      <c r="F179" s="616">
        <f>'CAPEX Schedule'!$FR$11/1000</f>
        <v>0</v>
      </c>
      <c r="G179" s="616">
        <f>'CAPEX Schedule'!$FR$12/1000</f>
        <v>0</v>
      </c>
      <c r="H179" s="617">
        <f t="shared" si="16"/>
        <v>0</v>
      </c>
      <c r="I179" s="543"/>
      <c r="J179" s="543"/>
      <c r="K179" s="543"/>
      <c r="L179" s="543"/>
      <c r="M179" s="617">
        <f t="shared" si="18"/>
        <v>0</v>
      </c>
      <c r="N179" s="542"/>
      <c r="O179" s="541"/>
      <c r="P179" s="540"/>
      <c r="Q179" s="540"/>
      <c r="R179" s="539"/>
    </row>
    <row r="180" spans="1:18" ht="16.149999999999999" customHeight="1" x14ac:dyDescent="0.35">
      <c r="A180" s="693">
        <f t="shared" si="15"/>
        <v>15</v>
      </c>
      <c r="B180" s="691">
        <f t="shared" si="17"/>
        <v>173</v>
      </c>
      <c r="C180" s="616">
        <f>'CAPEX Schedule'!$FS$8/1000</f>
        <v>0</v>
      </c>
      <c r="D180" s="616">
        <f>'CAPEX Schedule'!$FS$9/1000</f>
        <v>0</v>
      </c>
      <c r="E180" s="616">
        <f>'CAPEX Schedule'!$FS$10/1000</f>
        <v>0</v>
      </c>
      <c r="F180" s="616">
        <f>'CAPEX Schedule'!$FS$11/1000</f>
        <v>0</v>
      </c>
      <c r="G180" s="616">
        <f>'CAPEX Schedule'!$FS$12/1000</f>
        <v>0</v>
      </c>
      <c r="H180" s="617">
        <f t="shared" si="16"/>
        <v>0</v>
      </c>
      <c r="I180" s="543"/>
      <c r="J180" s="543"/>
      <c r="K180" s="543"/>
      <c r="L180" s="543"/>
      <c r="M180" s="617">
        <f t="shared" si="18"/>
        <v>0</v>
      </c>
      <c r="N180" s="542"/>
      <c r="O180" s="541"/>
      <c r="P180" s="540"/>
      <c r="Q180" s="540"/>
      <c r="R180" s="539"/>
    </row>
    <row r="181" spans="1:18" ht="16.149999999999999" customHeight="1" x14ac:dyDescent="0.35">
      <c r="A181" s="693">
        <f t="shared" si="15"/>
        <v>15</v>
      </c>
      <c r="B181" s="691">
        <f t="shared" si="17"/>
        <v>174</v>
      </c>
      <c r="C181" s="616">
        <f>'CAPEX Schedule'!$FT$8/1000</f>
        <v>0</v>
      </c>
      <c r="D181" s="616">
        <f>'CAPEX Schedule'!$FT$9/1000</f>
        <v>0</v>
      </c>
      <c r="E181" s="616">
        <f>'CAPEX Schedule'!$FT$10/1000</f>
        <v>0</v>
      </c>
      <c r="F181" s="616">
        <f>'CAPEX Schedule'!$FT$11/1000</f>
        <v>0</v>
      </c>
      <c r="G181" s="616">
        <f>'CAPEX Schedule'!$FT$12/1000</f>
        <v>0</v>
      </c>
      <c r="H181" s="617">
        <f t="shared" si="16"/>
        <v>0</v>
      </c>
      <c r="I181" s="543"/>
      <c r="J181" s="543"/>
      <c r="K181" s="543"/>
      <c r="L181" s="543"/>
      <c r="M181" s="617">
        <f t="shared" si="18"/>
        <v>0</v>
      </c>
      <c r="N181" s="542"/>
      <c r="O181" s="541"/>
      <c r="P181" s="540"/>
      <c r="Q181" s="540"/>
      <c r="R181" s="539"/>
    </row>
    <row r="182" spans="1:18" ht="16.149999999999999" customHeight="1" x14ac:dyDescent="0.35">
      <c r="A182" s="693">
        <f t="shared" si="15"/>
        <v>15</v>
      </c>
      <c r="B182" s="691">
        <f t="shared" si="17"/>
        <v>175</v>
      </c>
      <c r="C182" s="616">
        <f>'CAPEX Schedule'!$FU$8/1000</f>
        <v>0</v>
      </c>
      <c r="D182" s="616">
        <f>'CAPEX Schedule'!$FU$9/1000</f>
        <v>0</v>
      </c>
      <c r="E182" s="616">
        <f>'CAPEX Schedule'!$FU$10/1000</f>
        <v>0</v>
      </c>
      <c r="F182" s="616">
        <f>'CAPEX Schedule'!$FU$11/1000</f>
        <v>0</v>
      </c>
      <c r="G182" s="616">
        <f>'CAPEX Schedule'!$FU$12/1000</f>
        <v>0</v>
      </c>
      <c r="H182" s="617">
        <f t="shared" si="16"/>
        <v>0</v>
      </c>
      <c r="I182" s="543"/>
      <c r="J182" s="543"/>
      <c r="K182" s="543"/>
      <c r="L182" s="543"/>
      <c r="M182" s="617">
        <f t="shared" si="18"/>
        <v>0</v>
      </c>
      <c r="N182" s="542"/>
      <c r="O182" s="541"/>
      <c r="P182" s="540"/>
      <c r="Q182" s="540"/>
      <c r="R182" s="539"/>
    </row>
    <row r="183" spans="1:18" ht="16.149999999999999" customHeight="1" x14ac:dyDescent="0.35">
      <c r="A183" s="693">
        <f t="shared" si="15"/>
        <v>15</v>
      </c>
      <c r="B183" s="691">
        <f t="shared" si="17"/>
        <v>176</v>
      </c>
      <c r="C183" s="616">
        <f>'CAPEX Schedule'!$FV$8/1000</f>
        <v>0</v>
      </c>
      <c r="D183" s="616">
        <f>'CAPEX Schedule'!$FV$9/1000</f>
        <v>0</v>
      </c>
      <c r="E183" s="616">
        <f>'CAPEX Schedule'!$FV$10/1000</f>
        <v>0</v>
      </c>
      <c r="F183" s="616">
        <f>'CAPEX Schedule'!$FV$11/1000</f>
        <v>0</v>
      </c>
      <c r="G183" s="616">
        <f>'CAPEX Schedule'!$FV$12/1000</f>
        <v>0</v>
      </c>
      <c r="H183" s="617">
        <f t="shared" si="16"/>
        <v>0</v>
      </c>
      <c r="I183" s="543"/>
      <c r="J183" s="543"/>
      <c r="K183" s="543"/>
      <c r="L183" s="543"/>
      <c r="M183" s="617">
        <f t="shared" si="18"/>
        <v>0</v>
      </c>
      <c r="N183" s="542"/>
      <c r="O183" s="541"/>
      <c r="P183" s="540"/>
      <c r="Q183" s="540"/>
      <c r="R183" s="539"/>
    </row>
    <row r="184" spans="1:18" ht="16.149999999999999" customHeight="1" x14ac:dyDescent="0.35">
      <c r="A184" s="693">
        <f t="shared" si="15"/>
        <v>15</v>
      </c>
      <c r="B184" s="691">
        <f t="shared" si="17"/>
        <v>177</v>
      </c>
      <c r="C184" s="616">
        <f>'CAPEX Schedule'!$FW$8/1000</f>
        <v>0</v>
      </c>
      <c r="D184" s="616">
        <f>'CAPEX Schedule'!$FW$9/1000</f>
        <v>0</v>
      </c>
      <c r="E184" s="616">
        <f>'CAPEX Schedule'!$FW$10/1000</f>
        <v>0</v>
      </c>
      <c r="F184" s="616">
        <f>'CAPEX Schedule'!$FW$11/1000</f>
        <v>0</v>
      </c>
      <c r="G184" s="616">
        <f>'CAPEX Schedule'!$FW$12/1000</f>
        <v>0</v>
      </c>
      <c r="H184" s="617">
        <f t="shared" si="16"/>
        <v>0</v>
      </c>
      <c r="I184" s="543"/>
      <c r="J184" s="543"/>
      <c r="K184" s="543"/>
      <c r="L184" s="543"/>
      <c r="M184" s="617">
        <f t="shared" si="18"/>
        <v>0</v>
      </c>
      <c r="N184" s="542"/>
      <c r="O184" s="541"/>
      <c r="P184" s="540"/>
      <c r="Q184" s="540"/>
      <c r="R184" s="539"/>
    </row>
    <row r="185" spans="1:18" ht="16.149999999999999" customHeight="1" x14ac:dyDescent="0.35">
      <c r="A185" s="693">
        <f t="shared" si="15"/>
        <v>15</v>
      </c>
      <c r="B185" s="691">
        <f t="shared" si="17"/>
        <v>178</v>
      </c>
      <c r="C185" s="616">
        <f>'CAPEX Schedule'!$FX$8/1000</f>
        <v>0</v>
      </c>
      <c r="D185" s="616">
        <f>'CAPEX Schedule'!$FX$9/1000</f>
        <v>0</v>
      </c>
      <c r="E185" s="616">
        <f>'CAPEX Schedule'!$FX$10/1000</f>
        <v>0</v>
      </c>
      <c r="F185" s="616">
        <f>'CAPEX Schedule'!$FX$11/1000</f>
        <v>0</v>
      </c>
      <c r="G185" s="616">
        <f>'CAPEX Schedule'!$FX$12/1000</f>
        <v>0</v>
      </c>
      <c r="H185" s="617">
        <f t="shared" si="16"/>
        <v>0</v>
      </c>
      <c r="I185" s="543"/>
      <c r="J185" s="543"/>
      <c r="K185" s="543"/>
      <c r="L185" s="543"/>
      <c r="M185" s="617">
        <f t="shared" si="18"/>
        <v>0</v>
      </c>
      <c r="N185" s="542"/>
      <c r="O185" s="541"/>
      <c r="P185" s="540"/>
      <c r="Q185" s="540"/>
      <c r="R185" s="539"/>
    </row>
    <row r="186" spans="1:18" ht="16.149999999999999" customHeight="1" x14ac:dyDescent="0.35">
      <c r="A186" s="693">
        <f t="shared" si="15"/>
        <v>15</v>
      </c>
      <c r="B186" s="691">
        <f t="shared" si="17"/>
        <v>179</v>
      </c>
      <c r="C186" s="616">
        <f>'CAPEX Schedule'!$FY$8/1000</f>
        <v>0</v>
      </c>
      <c r="D186" s="616">
        <f>'CAPEX Schedule'!$FY$9/1000</f>
        <v>0</v>
      </c>
      <c r="E186" s="616">
        <f>'CAPEX Schedule'!$FY$10/1000</f>
        <v>0</v>
      </c>
      <c r="F186" s="616">
        <f>'CAPEX Schedule'!$FY$11/1000</f>
        <v>0</v>
      </c>
      <c r="G186" s="616">
        <f>'CAPEX Schedule'!$FY$12/1000</f>
        <v>0</v>
      </c>
      <c r="H186" s="617">
        <f t="shared" si="16"/>
        <v>0</v>
      </c>
      <c r="I186" s="543"/>
      <c r="J186" s="543"/>
      <c r="K186" s="543"/>
      <c r="L186" s="543"/>
      <c r="M186" s="617">
        <f t="shared" si="18"/>
        <v>0</v>
      </c>
      <c r="N186" s="542"/>
      <c r="O186" s="541"/>
      <c r="P186" s="540"/>
      <c r="Q186" s="540"/>
      <c r="R186" s="539"/>
    </row>
    <row r="187" spans="1:18" ht="16.149999999999999" customHeight="1" x14ac:dyDescent="0.35">
      <c r="A187" s="693">
        <f t="shared" si="15"/>
        <v>15</v>
      </c>
      <c r="B187" s="691">
        <f t="shared" si="17"/>
        <v>180</v>
      </c>
      <c r="C187" s="616">
        <f>'CAPEX Schedule'!$FZ$8/1000</f>
        <v>0</v>
      </c>
      <c r="D187" s="616">
        <f>'CAPEX Schedule'!$FZ$9/1000</f>
        <v>0</v>
      </c>
      <c r="E187" s="616">
        <f>'CAPEX Schedule'!$FZ$10/1000</f>
        <v>0</v>
      </c>
      <c r="F187" s="616">
        <f>'CAPEX Schedule'!$FZ$11/1000</f>
        <v>0</v>
      </c>
      <c r="G187" s="616">
        <f>'CAPEX Schedule'!$FZ$12/1000</f>
        <v>0</v>
      </c>
      <c r="H187" s="617">
        <f t="shared" si="16"/>
        <v>0</v>
      </c>
      <c r="I187" s="543"/>
      <c r="J187" s="543"/>
      <c r="K187" s="543"/>
      <c r="L187" s="543"/>
      <c r="M187" s="617">
        <f t="shared" si="18"/>
        <v>0</v>
      </c>
      <c r="N187" s="542"/>
      <c r="O187" s="541"/>
      <c r="P187" s="540"/>
      <c r="Q187" s="540"/>
      <c r="R187" s="539"/>
    </row>
    <row r="188" spans="1:18" ht="16.149999999999999" customHeight="1" x14ac:dyDescent="0.35">
      <c r="A188" s="693">
        <f t="shared" si="15"/>
        <v>16</v>
      </c>
      <c r="B188" s="691">
        <f t="shared" si="17"/>
        <v>181</v>
      </c>
      <c r="C188" s="616">
        <f>'CAPEX Schedule'!$GA$8/1000</f>
        <v>0</v>
      </c>
      <c r="D188" s="616">
        <f>'CAPEX Schedule'!$GA$9/1000</f>
        <v>0</v>
      </c>
      <c r="E188" s="616">
        <f>'CAPEX Schedule'!$GA$10/1000</f>
        <v>5000</v>
      </c>
      <c r="F188" s="616">
        <f>'CAPEX Schedule'!$GA$11/1000</f>
        <v>5000</v>
      </c>
      <c r="G188" s="616">
        <f>'CAPEX Schedule'!$GA$12/1000</f>
        <v>0</v>
      </c>
      <c r="H188" s="617">
        <f t="shared" si="16"/>
        <v>10000</v>
      </c>
      <c r="I188" s="543"/>
      <c r="J188" s="543"/>
      <c r="K188" s="543"/>
      <c r="L188" s="543"/>
      <c r="M188" s="617">
        <f t="shared" si="18"/>
        <v>10000</v>
      </c>
      <c r="N188" s="542"/>
      <c r="O188" s="541"/>
      <c r="P188" s="540"/>
      <c r="Q188" s="540"/>
      <c r="R188" s="539"/>
    </row>
    <row r="189" spans="1:18" ht="16.149999999999999" customHeight="1" x14ac:dyDescent="0.35">
      <c r="A189" s="693">
        <f t="shared" si="15"/>
        <v>16</v>
      </c>
      <c r="B189" s="691">
        <f t="shared" si="17"/>
        <v>182</v>
      </c>
      <c r="C189" s="616">
        <f>'CAPEX Schedule'!$GB$8/1000</f>
        <v>0</v>
      </c>
      <c r="D189" s="616">
        <f>'CAPEX Schedule'!$GB$9/1000</f>
        <v>0</v>
      </c>
      <c r="E189" s="616">
        <f>'CAPEX Schedule'!$GB$10/1000</f>
        <v>0</v>
      </c>
      <c r="F189" s="616">
        <f>'CAPEX Schedule'!$GB$11/1000</f>
        <v>0</v>
      </c>
      <c r="G189" s="616">
        <f>'CAPEX Schedule'!$GB$12/1000</f>
        <v>0</v>
      </c>
      <c r="H189" s="617">
        <f t="shared" si="16"/>
        <v>0</v>
      </c>
      <c r="I189" s="543"/>
      <c r="J189" s="543"/>
      <c r="K189" s="543"/>
      <c r="L189" s="543"/>
      <c r="M189" s="617">
        <f t="shared" si="18"/>
        <v>0</v>
      </c>
      <c r="N189" s="542"/>
      <c r="O189" s="541"/>
      <c r="P189" s="540"/>
      <c r="Q189" s="540"/>
      <c r="R189" s="539"/>
    </row>
    <row r="190" spans="1:18" ht="16.149999999999999" customHeight="1" x14ac:dyDescent="0.35">
      <c r="A190" s="693">
        <f t="shared" si="15"/>
        <v>16</v>
      </c>
      <c r="B190" s="691">
        <f t="shared" si="17"/>
        <v>183</v>
      </c>
      <c r="C190" s="616">
        <f>'CAPEX Schedule'!$GC$8/1000</f>
        <v>0</v>
      </c>
      <c r="D190" s="616">
        <f>'CAPEX Schedule'!$GC$9/1000</f>
        <v>0</v>
      </c>
      <c r="E190" s="616">
        <f>'CAPEX Schedule'!$GC$10/1000</f>
        <v>0</v>
      </c>
      <c r="F190" s="616">
        <f>'CAPEX Schedule'!$GC$11/1000</f>
        <v>0</v>
      </c>
      <c r="G190" s="616">
        <f>'CAPEX Schedule'!$GC$12/1000</f>
        <v>0</v>
      </c>
      <c r="H190" s="617">
        <f t="shared" si="16"/>
        <v>0</v>
      </c>
      <c r="I190" s="543"/>
      <c r="J190" s="543"/>
      <c r="K190" s="543"/>
      <c r="L190" s="543"/>
      <c r="M190" s="617">
        <f t="shared" si="18"/>
        <v>0</v>
      </c>
      <c r="N190" s="542"/>
      <c r="O190" s="541"/>
      <c r="P190" s="540"/>
      <c r="Q190" s="540"/>
      <c r="R190" s="539"/>
    </row>
    <row r="191" spans="1:18" ht="16.149999999999999" customHeight="1" x14ac:dyDescent="0.35">
      <c r="A191" s="693">
        <f t="shared" si="15"/>
        <v>16</v>
      </c>
      <c r="B191" s="691">
        <f t="shared" si="17"/>
        <v>184</v>
      </c>
      <c r="C191" s="616">
        <f>'CAPEX Schedule'!$GD$8/1000</f>
        <v>0</v>
      </c>
      <c r="D191" s="616">
        <f>'CAPEX Schedule'!$GD$9/1000</f>
        <v>5000</v>
      </c>
      <c r="E191" s="616">
        <f>'CAPEX Schedule'!$GD$10/1000</f>
        <v>3000</v>
      </c>
      <c r="F191" s="616">
        <f>'CAPEX Schedule'!$GD$11/1000</f>
        <v>3000</v>
      </c>
      <c r="G191" s="616">
        <f>'CAPEX Schedule'!$GD$12/1000</f>
        <v>0</v>
      </c>
      <c r="H191" s="617">
        <f t="shared" si="16"/>
        <v>11000</v>
      </c>
      <c r="I191" s="543"/>
      <c r="J191" s="543"/>
      <c r="K191" s="543"/>
      <c r="L191" s="543"/>
      <c r="M191" s="617">
        <f t="shared" si="18"/>
        <v>11000</v>
      </c>
      <c r="N191" s="542"/>
      <c r="O191" s="541"/>
      <c r="P191" s="540"/>
      <c r="Q191" s="540"/>
      <c r="R191" s="539"/>
    </row>
    <row r="192" spans="1:18" ht="16.149999999999999" customHeight="1" x14ac:dyDescent="0.35">
      <c r="A192" s="693">
        <f t="shared" si="15"/>
        <v>16</v>
      </c>
      <c r="B192" s="691">
        <f t="shared" si="17"/>
        <v>185</v>
      </c>
      <c r="C192" s="616">
        <f>'CAPEX Schedule'!$GE$8/1000</f>
        <v>0</v>
      </c>
      <c r="D192" s="616">
        <f>'CAPEX Schedule'!$GE$9/1000</f>
        <v>0</v>
      </c>
      <c r="E192" s="616">
        <f>'CAPEX Schedule'!$GE$10/1000</f>
        <v>0</v>
      </c>
      <c r="F192" s="616">
        <f>'CAPEX Schedule'!$GE$11/1000</f>
        <v>0</v>
      </c>
      <c r="G192" s="616">
        <f>'CAPEX Schedule'!$GE$12/1000</f>
        <v>0</v>
      </c>
      <c r="H192" s="617">
        <f t="shared" si="16"/>
        <v>0</v>
      </c>
      <c r="I192" s="543"/>
      <c r="J192" s="543"/>
      <c r="K192" s="543"/>
      <c r="L192" s="543"/>
      <c r="M192" s="617">
        <f t="shared" si="18"/>
        <v>0</v>
      </c>
      <c r="N192" s="542"/>
      <c r="O192" s="541"/>
      <c r="P192" s="540"/>
      <c r="Q192" s="540"/>
      <c r="R192" s="539"/>
    </row>
    <row r="193" spans="1:18" ht="16.149999999999999" customHeight="1" x14ac:dyDescent="0.35">
      <c r="A193" s="693">
        <f t="shared" si="15"/>
        <v>16</v>
      </c>
      <c r="B193" s="691">
        <f t="shared" si="17"/>
        <v>186</v>
      </c>
      <c r="C193" s="616">
        <f>'CAPEX Schedule'!$GF$8/1000</f>
        <v>0</v>
      </c>
      <c r="D193" s="616">
        <f>'CAPEX Schedule'!$GF$9/1000</f>
        <v>0</v>
      </c>
      <c r="E193" s="616">
        <f>'CAPEX Schedule'!$GF$10/1000</f>
        <v>0</v>
      </c>
      <c r="F193" s="616">
        <f>'CAPEX Schedule'!$GF$11/1000</f>
        <v>0</v>
      </c>
      <c r="G193" s="616">
        <f>'CAPEX Schedule'!$GF$12/1000</f>
        <v>0</v>
      </c>
      <c r="H193" s="617">
        <f t="shared" si="16"/>
        <v>0</v>
      </c>
      <c r="I193" s="543"/>
      <c r="J193" s="543"/>
      <c r="K193" s="543"/>
      <c r="L193" s="543"/>
      <c r="M193" s="617">
        <f t="shared" si="18"/>
        <v>0</v>
      </c>
      <c r="N193" s="542"/>
      <c r="O193" s="541"/>
      <c r="P193" s="540"/>
      <c r="Q193" s="540"/>
      <c r="R193" s="539"/>
    </row>
    <row r="194" spans="1:18" ht="16.149999999999999" customHeight="1" x14ac:dyDescent="0.35">
      <c r="A194" s="693">
        <f t="shared" si="15"/>
        <v>16</v>
      </c>
      <c r="B194" s="691">
        <f t="shared" si="17"/>
        <v>187</v>
      </c>
      <c r="C194" s="616">
        <f>'CAPEX Schedule'!$GG$8/1000</f>
        <v>0</v>
      </c>
      <c r="D194" s="616">
        <f>'CAPEX Schedule'!$GG$9/1000</f>
        <v>21569.759999999998</v>
      </c>
      <c r="E194" s="616">
        <f>'CAPEX Schedule'!$GG$10/1000</f>
        <v>2000</v>
      </c>
      <c r="F194" s="616">
        <f>'CAPEX Schedule'!$GG$11/1000</f>
        <v>2000</v>
      </c>
      <c r="G194" s="616">
        <f>'CAPEX Schedule'!$GG$12/1000</f>
        <v>0</v>
      </c>
      <c r="H194" s="617">
        <f t="shared" si="16"/>
        <v>25569.759999999998</v>
      </c>
      <c r="I194" s="543"/>
      <c r="J194" s="543"/>
      <c r="K194" s="543"/>
      <c r="L194" s="543"/>
      <c r="M194" s="617">
        <f t="shared" si="18"/>
        <v>25569.759999999998</v>
      </c>
      <c r="N194" s="542"/>
      <c r="O194" s="541"/>
      <c r="P194" s="540"/>
      <c r="Q194" s="540"/>
      <c r="R194" s="539"/>
    </row>
    <row r="195" spans="1:18" ht="16.149999999999999" customHeight="1" x14ac:dyDescent="0.35">
      <c r="A195" s="693">
        <f t="shared" si="15"/>
        <v>16</v>
      </c>
      <c r="B195" s="691">
        <f t="shared" si="17"/>
        <v>188</v>
      </c>
      <c r="C195" s="616">
        <f>'CAPEX Schedule'!$GH$8/1000</f>
        <v>0</v>
      </c>
      <c r="D195" s="616">
        <f>'CAPEX Schedule'!$GH$9/1000</f>
        <v>0</v>
      </c>
      <c r="E195" s="616">
        <f>'CAPEX Schedule'!$GH$10/1000</f>
        <v>0</v>
      </c>
      <c r="F195" s="616">
        <f>'CAPEX Schedule'!$GH$11/1000</f>
        <v>0</v>
      </c>
      <c r="G195" s="616">
        <f>'CAPEX Schedule'!$GH$12/1000</f>
        <v>0</v>
      </c>
      <c r="H195" s="617">
        <f t="shared" si="16"/>
        <v>0</v>
      </c>
      <c r="I195" s="543"/>
      <c r="J195" s="543"/>
      <c r="K195" s="543"/>
      <c r="L195" s="543"/>
      <c r="M195" s="617">
        <f t="shared" si="18"/>
        <v>0</v>
      </c>
      <c r="N195" s="542"/>
      <c r="O195" s="541"/>
      <c r="P195" s="540"/>
      <c r="Q195" s="540"/>
      <c r="R195" s="539"/>
    </row>
    <row r="196" spans="1:18" ht="16.149999999999999" customHeight="1" x14ac:dyDescent="0.35">
      <c r="A196" s="693">
        <f t="shared" si="15"/>
        <v>16</v>
      </c>
      <c r="B196" s="691">
        <f t="shared" si="17"/>
        <v>189</v>
      </c>
      <c r="C196" s="616">
        <f>'CAPEX Schedule'!$GI$8/1000</f>
        <v>0</v>
      </c>
      <c r="D196" s="616">
        <f>'CAPEX Schedule'!$GI$9/1000</f>
        <v>0</v>
      </c>
      <c r="E196" s="616">
        <f>'CAPEX Schedule'!$GI$10/1000</f>
        <v>0</v>
      </c>
      <c r="F196" s="616">
        <f>'CAPEX Schedule'!$GI$11/1000</f>
        <v>0</v>
      </c>
      <c r="G196" s="616">
        <f>'CAPEX Schedule'!$GI$12/1000</f>
        <v>0</v>
      </c>
      <c r="H196" s="617">
        <f t="shared" si="16"/>
        <v>0</v>
      </c>
      <c r="I196" s="543"/>
      <c r="J196" s="543"/>
      <c r="K196" s="543"/>
      <c r="L196" s="543"/>
      <c r="M196" s="617">
        <f t="shared" si="18"/>
        <v>0</v>
      </c>
      <c r="N196" s="542"/>
      <c r="O196" s="541"/>
      <c r="P196" s="540"/>
      <c r="Q196" s="540"/>
      <c r="R196" s="539"/>
    </row>
    <row r="197" spans="1:18" ht="16.149999999999999" customHeight="1" x14ac:dyDescent="0.35">
      <c r="A197" s="693">
        <f t="shared" si="15"/>
        <v>16</v>
      </c>
      <c r="B197" s="691">
        <f t="shared" si="17"/>
        <v>190</v>
      </c>
      <c r="C197" s="616">
        <f>'CAPEX Schedule'!$GJ$8/1000</f>
        <v>0</v>
      </c>
      <c r="D197" s="616">
        <f>'CAPEX Schedule'!$GJ$9/1000</f>
        <v>0</v>
      </c>
      <c r="E197" s="616">
        <f>'CAPEX Schedule'!$GJ$10/1000</f>
        <v>0</v>
      </c>
      <c r="F197" s="616">
        <f>'CAPEX Schedule'!$GJ$11/1000</f>
        <v>0</v>
      </c>
      <c r="G197" s="616">
        <f>'CAPEX Schedule'!$GJ$12/1000</f>
        <v>0</v>
      </c>
      <c r="H197" s="617">
        <f t="shared" si="16"/>
        <v>0</v>
      </c>
      <c r="I197" s="543"/>
      <c r="J197" s="543"/>
      <c r="K197" s="543"/>
      <c r="L197" s="543"/>
      <c r="M197" s="617">
        <f t="shared" si="18"/>
        <v>0</v>
      </c>
      <c r="N197" s="542"/>
      <c r="O197" s="541"/>
      <c r="P197" s="540"/>
      <c r="Q197" s="540"/>
      <c r="R197" s="539"/>
    </row>
    <row r="198" spans="1:18" ht="16.149999999999999" customHeight="1" x14ac:dyDescent="0.35">
      <c r="A198" s="693">
        <f t="shared" si="15"/>
        <v>16</v>
      </c>
      <c r="B198" s="691">
        <f t="shared" si="17"/>
        <v>191</v>
      </c>
      <c r="C198" s="616">
        <f>'CAPEX Schedule'!$GK$8/1000</f>
        <v>0</v>
      </c>
      <c r="D198" s="616">
        <f>'CAPEX Schedule'!$GK$9/1000</f>
        <v>0</v>
      </c>
      <c r="E198" s="616">
        <f>'CAPEX Schedule'!$GK$10/1000</f>
        <v>0</v>
      </c>
      <c r="F198" s="616">
        <f>'CAPEX Schedule'!$GK$11/1000</f>
        <v>0</v>
      </c>
      <c r="G198" s="616">
        <f>'CAPEX Schedule'!$GK$12/1000</f>
        <v>0</v>
      </c>
      <c r="H198" s="617">
        <f t="shared" si="16"/>
        <v>0</v>
      </c>
      <c r="I198" s="543"/>
      <c r="J198" s="543"/>
      <c r="K198" s="543"/>
      <c r="L198" s="543"/>
      <c r="M198" s="617">
        <f t="shared" si="18"/>
        <v>0</v>
      </c>
      <c r="N198" s="542"/>
      <c r="O198" s="541"/>
      <c r="P198" s="540"/>
      <c r="Q198" s="540"/>
      <c r="R198" s="539"/>
    </row>
    <row r="199" spans="1:18" ht="16.149999999999999" customHeight="1" x14ac:dyDescent="0.35">
      <c r="A199" s="693">
        <f t="shared" si="15"/>
        <v>16</v>
      </c>
      <c r="B199" s="691">
        <f t="shared" si="17"/>
        <v>192</v>
      </c>
      <c r="C199" s="616">
        <f>'CAPEX Schedule'!$GL$8/1000</f>
        <v>0</v>
      </c>
      <c r="D199" s="616">
        <f>'CAPEX Schedule'!$GL$9/1000</f>
        <v>0</v>
      </c>
      <c r="E199" s="616">
        <f>'CAPEX Schedule'!$GL$10/1000</f>
        <v>0</v>
      </c>
      <c r="F199" s="616">
        <f>'CAPEX Schedule'!$GL$11/1000</f>
        <v>0</v>
      </c>
      <c r="G199" s="616">
        <f>'CAPEX Schedule'!$GL$12/1000</f>
        <v>0</v>
      </c>
      <c r="H199" s="617">
        <f t="shared" si="16"/>
        <v>0</v>
      </c>
      <c r="I199" s="543"/>
      <c r="J199" s="543"/>
      <c r="K199" s="543"/>
      <c r="L199" s="543"/>
      <c r="M199" s="617">
        <f t="shared" si="18"/>
        <v>0</v>
      </c>
      <c r="N199" s="542"/>
      <c r="O199" s="541"/>
      <c r="P199" s="540"/>
      <c r="Q199" s="540"/>
      <c r="R199" s="539"/>
    </row>
    <row r="200" spans="1:18" ht="16.149999999999999" customHeight="1" x14ac:dyDescent="0.35">
      <c r="A200" s="693">
        <f t="shared" ref="A200:A263" si="19">ROUNDUP(B200/12,0)</f>
        <v>17</v>
      </c>
      <c r="B200" s="691">
        <f t="shared" si="17"/>
        <v>193</v>
      </c>
      <c r="C200" s="616">
        <f>'CAPEX Schedule'!$GM$8/1000</f>
        <v>0</v>
      </c>
      <c r="D200" s="616">
        <f>'CAPEX Schedule'!$GM$9/1000</f>
        <v>0</v>
      </c>
      <c r="E200" s="616">
        <f>'CAPEX Schedule'!$GM$10/1000</f>
        <v>0</v>
      </c>
      <c r="F200" s="616">
        <f>'CAPEX Schedule'!$GM$11/1000</f>
        <v>0</v>
      </c>
      <c r="G200" s="616">
        <f>'CAPEX Schedule'!$GM$12/1000</f>
        <v>0</v>
      </c>
      <c r="H200" s="617">
        <f t="shared" ref="H200:H263" si="20">SUM(C200:G200)</f>
        <v>0</v>
      </c>
      <c r="I200" s="543"/>
      <c r="J200" s="543"/>
      <c r="K200" s="543"/>
      <c r="L200" s="543"/>
      <c r="M200" s="617">
        <f t="shared" si="18"/>
        <v>0</v>
      </c>
      <c r="N200" s="542"/>
      <c r="O200" s="541"/>
      <c r="P200" s="540"/>
      <c r="Q200" s="540"/>
      <c r="R200" s="539"/>
    </row>
    <row r="201" spans="1:18" ht="16.149999999999999" customHeight="1" x14ac:dyDescent="0.35">
      <c r="A201" s="693">
        <f t="shared" si="19"/>
        <v>17</v>
      </c>
      <c r="B201" s="691">
        <f t="shared" ref="B201:B264" si="21">B200+1</f>
        <v>194</v>
      </c>
      <c r="C201" s="616">
        <f>'CAPEX Schedule'!$GN$8/1000</f>
        <v>0</v>
      </c>
      <c r="D201" s="616">
        <f>'CAPEX Schedule'!$GN$9/1000</f>
        <v>0</v>
      </c>
      <c r="E201" s="616">
        <f>'CAPEX Schedule'!$GN$10/1000</f>
        <v>0</v>
      </c>
      <c r="F201" s="616">
        <f>'CAPEX Schedule'!$GN$11/1000</f>
        <v>0</v>
      </c>
      <c r="G201" s="616">
        <f>'CAPEX Schedule'!$GN$12/1000</f>
        <v>0</v>
      </c>
      <c r="H201" s="617">
        <f t="shared" si="20"/>
        <v>0</v>
      </c>
      <c r="I201" s="543"/>
      <c r="J201" s="543"/>
      <c r="K201" s="543"/>
      <c r="L201" s="543"/>
      <c r="M201" s="617">
        <f t="shared" si="18"/>
        <v>0</v>
      </c>
      <c r="N201" s="542"/>
      <c r="O201" s="541"/>
      <c r="P201" s="540"/>
      <c r="Q201" s="540"/>
      <c r="R201" s="539"/>
    </row>
    <row r="202" spans="1:18" ht="16.149999999999999" customHeight="1" x14ac:dyDescent="0.35">
      <c r="A202" s="693">
        <f t="shared" si="19"/>
        <v>17</v>
      </c>
      <c r="B202" s="691">
        <f t="shared" si="21"/>
        <v>195</v>
      </c>
      <c r="C202" s="616">
        <f>'CAPEX Schedule'!$GO$8/1000</f>
        <v>0</v>
      </c>
      <c r="D202" s="616">
        <f>'CAPEX Schedule'!$GO$9/1000</f>
        <v>0</v>
      </c>
      <c r="E202" s="616">
        <f>'CAPEX Schedule'!$GO$10/1000</f>
        <v>0</v>
      </c>
      <c r="F202" s="616">
        <f>'CAPEX Schedule'!$GO$11/1000</f>
        <v>0</v>
      </c>
      <c r="G202" s="616">
        <f>'CAPEX Schedule'!$GO$12/1000</f>
        <v>0</v>
      </c>
      <c r="H202" s="617">
        <f t="shared" si="20"/>
        <v>0</v>
      </c>
      <c r="I202" s="543"/>
      <c r="J202" s="543"/>
      <c r="K202" s="543"/>
      <c r="L202" s="543"/>
      <c r="M202" s="617">
        <f t="shared" si="18"/>
        <v>0</v>
      </c>
      <c r="N202" s="542"/>
      <c r="O202" s="541"/>
      <c r="P202" s="540"/>
      <c r="Q202" s="540"/>
      <c r="R202" s="539"/>
    </row>
    <row r="203" spans="1:18" ht="16.149999999999999" customHeight="1" x14ac:dyDescent="0.35">
      <c r="A203" s="693">
        <f t="shared" si="19"/>
        <v>17</v>
      </c>
      <c r="B203" s="691">
        <f t="shared" si="21"/>
        <v>196</v>
      </c>
      <c r="C203" s="616">
        <f>'CAPEX Schedule'!$GP$8/1000</f>
        <v>0</v>
      </c>
      <c r="D203" s="616">
        <f>'CAPEX Schedule'!$GP$9/1000</f>
        <v>0</v>
      </c>
      <c r="E203" s="616">
        <f>'CAPEX Schedule'!$GP$10/1000</f>
        <v>0</v>
      </c>
      <c r="F203" s="616">
        <f>'CAPEX Schedule'!$GP$11/1000</f>
        <v>0</v>
      </c>
      <c r="G203" s="616">
        <f>'CAPEX Schedule'!$GP$12/1000</f>
        <v>0</v>
      </c>
      <c r="H203" s="617">
        <f t="shared" si="20"/>
        <v>0</v>
      </c>
      <c r="I203" s="543"/>
      <c r="J203" s="543"/>
      <c r="K203" s="543"/>
      <c r="L203" s="543"/>
      <c r="M203" s="617">
        <f t="shared" si="18"/>
        <v>0</v>
      </c>
      <c r="N203" s="542"/>
      <c r="O203" s="541"/>
      <c r="P203" s="540"/>
      <c r="Q203" s="540"/>
      <c r="R203" s="539"/>
    </row>
    <row r="204" spans="1:18" ht="16.149999999999999" customHeight="1" x14ac:dyDescent="0.35">
      <c r="A204" s="693">
        <f t="shared" si="19"/>
        <v>17</v>
      </c>
      <c r="B204" s="691">
        <f t="shared" si="21"/>
        <v>197</v>
      </c>
      <c r="C204" s="616">
        <f>'CAPEX Schedule'!$GQ$8/1000</f>
        <v>0</v>
      </c>
      <c r="D204" s="616">
        <f>'CAPEX Schedule'!$GQ$9/1000</f>
        <v>0</v>
      </c>
      <c r="E204" s="616">
        <f>'CAPEX Schedule'!$GQ$10/1000</f>
        <v>0</v>
      </c>
      <c r="F204" s="616">
        <f>'CAPEX Schedule'!$GQ$11/1000</f>
        <v>0</v>
      </c>
      <c r="G204" s="616">
        <f>'CAPEX Schedule'!$GQ$12/1000</f>
        <v>0</v>
      </c>
      <c r="H204" s="617">
        <f t="shared" si="20"/>
        <v>0</v>
      </c>
      <c r="I204" s="543"/>
      <c r="J204" s="543"/>
      <c r="K204" s="543"/>
      <c r="L204" s="543"/>
      <c r="M204" s="617">
        <f t="shared" si="18"/>
        <v>0</v>
      </c>
      <c r="N204" s="542"/>
      <c r="O204" s="541"/>
      <c r="P204" s="540"/>
      <c r="Q204" s="540"/>
      <c r="R204" s="539"/>
    </row>
    <row r="205" spans="1:18" ht="16.149999999999999" customHeight="1" x14ac:dyDescent="0.35">
      <c r="A205" s="693">
        <f t="shared" si="19"/>
        <v>17</v>
      </c>
      <c r="B205" s="691">
        <f t="shared" si="21"/>
        <v>198</v>
      </c>
      <c r="C205" s="616">
        <f>'CAPEX Schedule'!$GR$8/1000</f>
        <v>0</v>
      </c>
      <c r="D205" s="616">
        <f>'CAPEX Schedule'!$GR$9/1000</f>
        <v>0</v>
      </c>
      <c r="E205" s="616">
        <f>'CAPEX Schedule'!$GR$10/1000</f>
        <v>0</v>
      </c>
      <c r="F205" s="616">
        <f>'CAPEX Schedule'!$GR$11/1000</f>
        <v>0</v>
      </c>
      <c r="G205" s="616">
        <f>'CAPEX Schedule'!$GR$12/1000</f>
        <v>0</v>
      </c>
      <c r="H205" s="617">
        <f t="shared" si="20"/>
        <v>0</v>
      </c>
      <c r="I205" s="543"/>
      <c r="J205" s="543"/>
      <c r="K205" s="543"/>
      <c r="L205" s="543"/>
      <c r="M205" s="617">
        <f t="shared" si="18"/>
        <v>0</v>
      </c>
      <c r="N205" s="542"/>
      <c r="O205" s="541"/>
      <c r="P205" s="540"/>
      <c r="Q205" s="540"/>
      <c r="R205" s="539"/>
    </row>
    <row r="206" spans="1:18" ht="16.149999999999999" customHeight="1" x14ac:dyDescent="0.35">
      <c r="A206" s="693">
        <f t="shared" si="19"/>
        <v>17</v>
      </c>
      <c r="B206" s="691">
        <f t="shared" si="21"/>
        <v>199</v>
      </c>
      <c r="C206" s="616">
        <f>'CAPEX Schedule'!$GS$8/1000</f>
        <v>0</v>
      </c>
      <c r="D206" s="616">
        <f>'CAPEX Schedule'!$GS$9/1000</f>
        <v>0</v>
      </c>
      <c r="E206" s="616">
        <f>'CAPEX Schedule'!$GS$10/1000</f>
        <v>0</v>
      </c>
      <c r="F206" s="616">
        <f>'CAPEX Schedule'!$GS$11/1000</f>
        <v>0</v>
      </c>
      <c r="G206" s="616">
        <f>'CAPEX Schedule'!$GS$12/1000</f>
        <v>0</v>
      </c>
      <c r="H206" s="617">
        <f t="shared" si="20"/>
        <v>0</v>
      </c>
      <c r="I206" s="543"/>
      <c r="J206" s="543"/>
      <c r="K206" s="543"/>
      <c r="L206" s="543"/>
      <c r="M206" s="617">
        <f t="shared" si="18"/>
        <v>0</v>
      </c>
      <c r="N206" s="542"/>
      <c r="O206" s="541"/>
      <c r="P206" s="540"/>
      <c r="Q206" s="540"/>
      <c r="R206" s="539"/>
    </row>
    <row r="207" spans="1:18" ht="16.149999999999999" customHeight="1" x14ac:dyDescent="0.35">
      <c r="A207" s="693">
        <f t="shared" si="19"/>
        <v>17</v>
      </c>
      <c r="B207" s="691">
        <f t="shared" si="21"/>
        <v>200</v>
      </c>
      <c r="C207" s="616">
        <f>'CAPEX Schedule'!$GT$8/1000</f>
        <v>0</v>
      </c>
      <c r="D207" s="616">
        <f>'CAPEX Schedule'!$GT$9/1000</f>
        <v>0</v>
      </c>
      <c r="E207" s="616">
        <f>'CAPEX Schedule'!$GT$10/1000</f>
        <v>0</v>
      </c>
      <c r="F207" s="616">
        <f>'CAPEX Schedule'!$GT$11/1000</f>
        <v>0</v>
      </c>
      <c r="G207" s="616">
        <f>'CAPEX Schedule'!$GT$12/1000</f>
        <v>0</v>
      </c>
      <c r="H207" s="617">
        <f t="shared" si="20"/>
        <v>0</v>
      </c>
      <c r="I207" s="543"/>
      <c r="J207" s="543"/>
      <c r="K207" s="543"/>
      <c r="L207" s="543"/>
      <c r="M207" s="617">
        <f t="shared" si="18"/>
        <v>0</v>
      </c>
      <c r="N207" s="542"/>
      <c r="O207" s="541"/>
      <c r="P207" s="540"/>
      <c r="Q207" s="540"/>
      <c r="R207" s="539"/>
    </row>
    <row r="208" spans="1:18" ht="16.149999999999999" customHeight="1" x14ac:dyDescent="0.35">
      <c r="A208" s="693">
        <f t="shared" si="19"/>
        <v>17</v>
      </c>
      <c r="B208" s="691">
        <f t="shared" si="21"/>
        <v>201</v>
      </c>
      <c r="C208" s="616">
        <f>'CAPEX Schedule'!$GU$8/1000</f>
        <v>0</v>
      </c>
      <c r="D208" s="616">
        <f>'CAPEX Schedule'!$GU$9/1000</f>
        <v>0</v>
      </c>
      <c r="E208" s="616">
        <f>'CAPEX Schedule'!$GU$10/1000</f>
        <v>0</v>
      </c>
      <c r="F208" s="616">
        <f>'CAPEX Schedule'!$GU$11/1000</f>
        <v>0</v>
      </c>
      <c r="G208" s="616">
        <f>'CAPEX Schedule'!$GU$12/1000</f>
        <v>0</v>
      </c>
      <c r="H208" s="617">
        <f t="shared" si="20"/>
        <v>0</v>
      </c>
      <c r="I208" s="543"/>
      <c r="J208" s="543"/>
      <c r="K208" s="543"/>
      <c r="L208" s="543"/>
      <c r="M208" s="617">
        <f t="shared" si="18"/>
        <v>0</v>
      </c>
      <c r="N208" s="542"/>
      <c r="O208" s="541"/>
      <c r="P208" s="540"/>
      <c r="Q208" s="540"/>
      <c r="R208" s="539"/>
    </row>
    <row r="209" spans="1:18" ht="16.149999999999999" customHeight="1" x14ac:dyDescent="0.35">
      <c r="A209" s="693">
        <f t="shared" si="19"/>
        <v>17</v>
      </c>
      <c r="B209" s="691">
        <f t="shared" si="21"/>
        <v>202</v>
      </c>
      <c r="C209" s="616">
        <f>'CAPEX Schedule'!$GV$8/1000</f>
        <v>0</v>
      </c>
      <c r="D209" s="616">
        <f>'CAPEX Schedule'!$GV$9/1000</f>
        <v>0</v>
      </c>
      <c r="E209" s="616">
        <f>'CAPEX Schedule'!$GV$10/1000</f>
        <v>0</v>
      </c>
      <c r="F209" s="616">
        <f>'CAPEX Schedule'!$GV$11/1000</f>
        <v>0</v>
      </c>
      <c r="G209" s="616">
        <f>'CAPEX Schedule'!$GV$12/1000</f>
        <v>0</v>
      </c>
      <c r="H209" s="617">
        <f t="shared" si="20"/>
        <v>0</v>
      </c>
      <c r="I209" s="543"/>
      <c r="J209" s="543"/>
      <c r="K209" s="543"/>
      <c r="L209" s="543"/>
      <c r="M209" s="617">
        <f t="shared" si="18"/>
        <v>0</v>
      </c>
      <c r="N209" s="542"/>
      <c r="O209" s="541"/>
      <c r="P209" s="540"/>
      <c r="Q209" s="540"/>
      <c r="R209" s="539"/>
    </row>
    <row r="210" spans="1:18" ht="16.149999999999999" customHeight="1" x14ac:dyDescent="0.35">
      <c r="A210" s="693">
        <f t="shared" si="19"/>
        <v>17</v>
      </c>
      <c r="B210" s="691">
        <f t="shared" si="21"/>
        <v>203</v>
      </c>
      <c r="C210" s="616">
        <f>'CAPEX Schedule'!$GW$8/1000</f>
        <v>0</v>
      </c>
      <c r="D210" s="616">
        <f>'CAPEX Schedule'!$GW$9/1000</f>
        <v>0</v>
      </c>
      <c r="E210" s="616">
        <f>'CAPEX Schedule'!$GW$10/1000</f>
        <v>0</v>
      </c>
      <c r="F210" s="616">
        <f>'CAPEX Schedule'!$GW$11/1000</f>
        <v>0</v>
      </c>
      <c r="G210" s="616">
        <f>'CAPEX Schedule'!$GW$12/1000</f>
        <v>0</v>
      </c>
      <c r="H210" s="617">
        <f t="shared" si="20"/>
        <v>0</v>
      </c>
      <c r="I210" s="543"/>
      <c r="J210" s="543"/>
      <c r="K210" s="543"/>
      <c r="L210" s="543"/>
      <c r="M210" s="617">
        <f t="shared" si="18"/>
        <v>0</v>
      </c>
      <c r="N210" s="542"/>
      <c r="O210" s="541"/>
      <c r="P210" s="540"/>
      <c r="Q210" s="540"/>
      <c r="R210" s="539"/>
    </row>
    <row r="211" spans="1:18" ht="16.149999999999999" customHeight="1" x14ac:dyDescent="0.35">
      <c r="A211" s="693">
        <f t="shared" si="19"/>
        <v>17</v>
      </c>
      <c r="B211" s="691">
        <f t="shared" si="21"/>
        <v>204</v>
      </c>
      <c r="C211" s="616">
        <f>'CAPEX Schedule'!$GX$8/1000</f>
        <v>0</v>
      </c>
      <c r="D211" s="616">
        <f>'CAPEX Schedule'!$GX$9/1000</f>
        <v>0</v>
      </c>
      <c r="E211" s="616">
        <f>'CAPEX Schedule'!$GX$10/1000</f>
        <v>0</v>
      </c>
      <c r="F211" s="616">
        <f>'CAPEX Schedule'!$GX$11/1000</f>
        <v>0</v>
      </c>
      <c r="G211" s="616">
        <f>'CAPEX Schedule'!$GX$12/1000</f>
        <v>0</v>
      </c>
      <c r="H211" s="617">
        <f t="shared" si="20"/>
        <v>0</v>
      </c>
      <c r="I211" s="543"/>
      <c r="J211" s="543"/>
      <c r="K211" s="543"/>
      <c r="L211" s="543"/>
      <c r="M211" s="617">
        <f t="shared" si="18"/>
        <v>0</v>
      </c>
      <c r="N211" s="542"/>
      <c r="O211" s="541"/>
      <c r="P211" s="540"/>
      <c r="Q211" s="540"/>
      <c r="R211" s="539"/>
    </row>
    <row r="212" spans="1:18" ht="16.149999999999999" customHeight="1" x14ac:dyDescent="0.35">
      <c r="A212" s="693">
        <f t="shared" si="19"/>
        <v>18</v>
      </c>
      <c r="B212" s="691">
        <f t="shared" si="21"/>
        <v>205</v>
      </c>
      <c r="C212" s="616">
        <f>'CAPEX Schedule'!$GY$8/1000</f>
        <v>0</v>
      </c>
      <c r="D212" s="616">
        <f>'CAPEX Schedule'!$GY$9/1000</f>
        <v>0</v>
      </c>
      <c r="E212" s="616">
        <f>'CAPEX Schedule'!$GY$10/1000</f>
        <v>0</v>
      </c>
      <c r="F212" s="616">
        <f>'CAPEX Schedule'!$GY$11/1000</f>
        <v>0</v>
      </c>
      <c r="G212" s="616">
        <f>'CAPEX Schedule'!$GY$12/1000</f>
        <v>0</v>
      </c>
      <c r="H212" s="617">
        <f t="shared" si="20"/>
        <v>0</v>
      </c>
      <c r="I212" s="543"/>
      <c r="J212" s="543"/>
      <c r="K212" s="543"/>
      <c r="L212" s="543"/>
      <c r="M212" s="617">
        <f t="shared" si="18"/>
        <v>0</v>
      </c>
      <c r="N212" s="542"/>
      <c r="O212" s="541"/>
      <c r="P212" s="540"/>
      <c r="Q212" s="540"/>
      <c r="R212" s="539"/>
    </row>
    <row r="213" spans="1:18" ht="16.149999999999999" customHeight="1" x14ac:dyDescent="0.35">
      <c r="A213" s="693">
        <f t="shared" si="19"/>
        <v>18</v>
      </c>
      <c r="B213" s="691">
        <f t="shared" si="21"/>
        <v>206</v>
      </c>
      <c r="C213" s="616">
        <f>'CAPEX Schedule'!$GZ$8/1000</f>
        <v>0</v>
      </c>
      <c r="D213" s="616">
        <f>'CAPEX Schedule'!$GZ$9/1000</f>
        <v>0</v>
      </c>
      <c r="E213" s="616">
        <f>'CAPEX Schedule'!$GZ$10/1000</f>
        <v>0</v>
      </c>
      <c r="F213" s="616">
        <f>'CAPEX Schedule'!$GZ$11/1000</f>
        <v>0</v>
      </c>
      <c r="G213" s="616">
        <f>'CAPEX Schedule'!$GZ$12/1000</f>
        <v>0</v>
      </c>
      <c r="H213" s="617">
        <f t="shared" si="20"/>
        <v>0</v>
      </c>
      <c r="I213" s="543"/>
      <c r="J213" s="543"/>
      <c r="K213" s="543"/>
      <c r="L213" s="543"/>
      <c r="M213" s="617">
        <f t="shared" si="18"/>
        <v>0</v>
      </c>
      <c r="N213" s="542"/>
      <c r="O213" s="541"/>
      <c r="P213" s="540"/>
      <c r="Q213" s="540"/>
      <c r="R213" s="539"/>
    </row>
    <row r="214" spans="1:18" ht="16.149999999999999" customHeight="1" x14ac:dyDescent="0.35">
      <c r="A214" s="693">
        <f t="shared" si="19"/>
        <v>18</v>
      </c>
      <c r="B214" s="691">
        <f t="shared" si="21"/>
        <v>207</v>
      </c>
      <c r="C214" s="616">
        <f>'CAPEX Schedule'!$HA$8/1000</f>
        <v>0</v>
      </c>
      <c r="D214" s="616">
        <f>'CAPEX Schedule'!$HA$9/1000</f>
        <v>0</v>
      </c>
      <c r="E214" s="616">
        <f>'CAPEX Schedule'!$HA$10/1000</f>
        <v>0</v>
      </c>
      <c r="F214" s="616">
        <f>'CAPEX Schedule'!$HA$11/1000</f>
        <v>0</v>
      </c>
      <c r="G214" s="616">
        <f>'CAPEX Schedule'!$HA$12/1000</f>
        <v>0</v>
      </c>
      <c r="H214" s="617">
        <f t="shared" si="20"/>
        <v>0</v>
      </c>
      <c r="I214" s="543"/>
      <c r="J214" s="543"/>
      <c r="K214" s="543"/>
      <c r="L214" s="543"/>
      <c r="M214" s="617">
        <f t="shared" si="18"/>
        <v>0</v>
      </c>
      <c r="N214" s="542"/>
      <c r="O214" s="541"/>
      <c r="P214" s="540"/>
      <c r="Q214" s="540"/>
      <c r="R214" s="539"/>
    </row>
    <row r="215" spans="1:18" ht="16.149999999999999" customHeight="1" x14ac:dyDescent="0.35">
      <c r="A215" s="693">
        <f t="shared" si="19"/>
        <v>18</v>
      </c>
      <c r="B215" s="691">
        <f t="shared" si="21"/>
        <v>208</v>
      </c>
      <c r="C215" s="616">
        <f>'CAPEX Schedule'!$HB$8/1000</f>
        <v>0</v>
      </c>
      <c r="D215" s="616">
        <f>'CAPEX Schedule'!$HB$9/1000</f>
        <v>0</v>
      </c>
      <c r="E215" s="616">
        <f>'CAPEX Schedule'!$HB$10/1000</f>
        <v>0</v>
      </c>
      <c r="F215" s="616">
        <f>'CAPEX Schedule'!$HB$11/1000</f>
        <v>0</v>
      </c>
      <c r="G215" s="616">
        <f>'CAPEX Schedule'!$HB$12/1000</f>
        <v>0</v>
      </c>
      <c r="H215" s="617">
        <f t="shared" si="20"/>
        <v>0</v>
      </c>
      <c r="I215" s="543"/>
      <c r="J215" s="543"/>
      <c r="K215" s="543"/>
      <c r="L215" s="543"/>
      <c r="M215" s="617">
        <f t="shared" si="18"/>
        <v>0</v>
      </c>
      <c r="N215" s="542"/>
      <c r="O215" s="541"/>
      <c r="P215" s="540"/>
      <c r="Q215" s="540"/>
      <c r="R215" s="539"/>
    </row>
    <row r="216" spans="1:18" ht="16.149999999999999" customHeight="1" x14ac:dyDescent="0.35">
      <c r="A216" s="693">
        <f t="shared" si="19"/>
        <v>18</v>
      </c>
      <c r="B216" s="691">
        <f t="shared" si="21"/>
        <v>209</v>
      </c>
      <c r="C216" s="616">
        <f>'CAPEX Schedule'!$HC$8/1000</f>
        <v>0</v>
      </c>
      <c r="D216" s="616">
        <f>'CAPEX Schedule'!$HC$9/1000</f>
        <v>0</v>
      </c>
      <c r="E216" s="616">
        <f>'CAPEX Schedule'!$HC$10/1000</f>
        <v>0</v>
      </c>
      <c r="F216" s="616">
        <f>'CAPEX Schedule'!$HC$11/1000</f>
        <v>0</v>
      </c>
      <c r="G216" s="616">
        <f>'CAPEX Schedule'!$HC$12/1000</f>
        <v>0</v>
      </c>
      <c r="H216" s="617">
        <f t="shared" si="20"/>
        <v>0</v>
      </c>
      <c r="I216" s="543"/>
      <c r="J216" s="543"/>
      <c r="K216" s="543"/>
      <c r="L216" s="543"/>
      <c r="M216" s="617">
        <f t="shared" si="18"/>
        <v>0</v>
      </c>
      <c r="N216" s="542"/>
      <c r="O216" s="541"/>
      <c r="P216" s="540"/>
      <c r="Q216" s="540"/>
      <c r="R216" s="539"/>
    </row>
    <row r="217" spans="1:18" ht="16.149999999999999" customHeight="1" x14ac:dyDescent="0.35">
      <c r="A217" s="693">
        <f t="shared" si="19"/>
        <v>18</v>
      </c>
      <c r="B217" s="691">
        <f t="shared" si="21"/>
        <v>210</v>
      </c>
      <c r="C217" s="616">
        <f>'CAPEX Schedule'!$HD$8/1000</f>
        <v>0</v>
      </c>
      <c r="D217" s="616">
        <f>'CAPEX Schedule'!$HD$9/1000</f>
        <v>0</v>
      </c>
      <c r="E217" s="616">
        <f>'CAPEX Schedule'!$HD$10/1000</f>
        <v>0</v>
      </c>
      <c r="F217" s="616">
        <f>'CAPEX Schedule'!$HD$11/1000</f>
        <v>0</v>
      </c>
      <c r="G217" s="616">
        <f>'CAPEX Schedule'!$HD$12/1000</f>
        <v>0</v>
      </c>
      <c r="H217" s="617">
        <f t="shared" si="20"/>
        <v>0</v>
      </c>
      <c r="I217" s="543"/>
      <c r="J217" s="543"/>
      <c r="K217" s="543"/>
      <c r="L217" s="543"/>
      <c r="M217" s="617">
        <f t="shared" si="18"/>
        <v>0</v>
      </c>
      <c r="N217" s="542"/>
      <c r="O217" s="541"/>
      <c r="P217" s="540"/>
      <c r="Q217" s="540"/>
      <c r="R217" s="539"/>
    </row>
    <row r="218" spans="1:18" ht="16.149999999999999" customHeight="1" x14ac:dyDescent="0.35">
      <c r="A218" s="693">
        <f t="shared" si="19"/>
        <v>18</v>
      </c>
      <c r="B218" s="691">
        <f t="shared" si="21"/>
        <v>211</v>
      </c>
      <c r="C218" s="616">
        <f>'CAPEX Schedule'!$HE$8/1000</f>
        <v>0</v>
      </c>
      <c r="D218" s="616">
        <f>'CAPEX Schedule'!$HE$9/1000</f>
        <v>0</v>
      </c>
      <c r="E218" s="616">
        <f>'CAPEX Schedule'!$HE$10/1000</f>
        <v>0</v>
      </c>
      <c r="F218" s="616">
        <f>'CAPEX Schedule'!$HE$11/1000</f>
        <v>0</v>
      </c>
      <c r="G218" s="616">
        <f>'CAPEX Schedule'!$HE$12/1000</f>
        <v>0</v>
      </c>
      <c r="H218" s="617">
        <f t="shared" si="20"/>
        <v>0</v>
      </c>
      <c r="I218" s="543"/>
      <c r="J218" s="543"/>
      <c r="K218" s="543"/>
      <c r="L218" s="543"/>
      <c r="M218" s="617">
        <f t="shared" si="18"/>
        <v>0</v>
      </c>
      <c r="N218" s="542"/>
      <c r="O218" s="541"/>
      <c r="P218" s="540"/>
      <c r="Q218" s="540"/>
      <c r="R218" s="539"/>
    </row>
    <row r="219" spans="1:18" ht="16.149999999999999" customHeight="1" x14ac:dyDescent="0.35">
      <c r="A219" s="693">
        <f t="shared" si="19"/>
        <v>18</v>
      </c>
      <c r="B219" s="691">
        <f t="shared" si="21"/>
        <v>212</v>
      </c>
      <c r="C219" s="616">
        <f>'CAPEX Schedule'!$HF$8/1000</f>
        <v>0</v>
      </c>
      <c r="D219" s="616">
        <f>'CAPEX Schedule'!$HF$9/1000</f>
        <v>0</v>
      </c>
      <c r="E219" s="616">
        <f>'CAPEX Schedule'!$HF$10/1000</f>
        <v>0</v>
      </c>
      <c r="F219" s="616">
        <f>'CAPEX Schedule'!$HF$11/1000</f>
        <v>0</v>
      </c>
      <c r="G219" s="616">
        <f>'CAPEX Schedule'!$HF$12/1000</f>
        <v>0</v>
      </c>
      <c r="H219" s="617">
        <f t="shared" si="20"/>
        <v>0</v>
      </c>
      <c r="I219" s="543"/>
      <c r="J219" s="543"/>
      <c r="K219" s="543"/>
      <c r="L219" s="543"/>
      <c r="M219" s="617">
        <f t="shared" si="18"/>
        <v>0</v>
      </c>
      <c r="N219" s="542"/>
      <c r="O219" s="541"/>
      <c r="P219" s="540"/>
      <c r="Q219" s="540"/>
      <c r="R219" s="539"/>
    </row>
    <row r="220" spans="1:18" ht="16.149999999999999" customHeight="1" x14ac:dyDescent="0.35">
      <c r="A220" s="693">
        <f t="shared" si="19"/>
        <v>18</v>
      </c>
      <c r="B220" s="691">
        <f t="shared" si="21"/>
        <v>213</v>
      </c>
      <c r="C220" s="616">
        <f>'CAPEX Schedule'!$HG$8/1000</f>
        <v>0</v>
      </c>
      <c r="D220" s="616">
        <f>'CAPEX Schedule'!$HG$9/1000</f>
        <v>0</v>
      </c>
      <c r="E220" s="616">
        <f>'CAPEX Schedule'!$HG$10/1000</f>
        <v>0</v>
      </c>
      <c r="F220" s="616">
        <f>'CAPEX Schedule'!$HG$11/1000</f>
        <v>0</v>
      </c>
      <c r="G220" s="616">
        <f>'CAPEX Schedule'!$HG$12/1000</f>
        <v>0</v>
      </c>
      <c r="H220" s="617">
        <f t="shared" si="20"/>
        <v>0</v>
      </c>
      <c r="I220" s="543"/>
      <c r="J220" s="543"/>
      <c r="K220" s="543"/>
      <c r="L220" s="543"/>
      <c r="M220" s="617">
        <f t="shared" si="18"/>
        <v>0</v>
      </c>
      <c r="N220" s="542"/>
      <c r="O220" s="541"/>
      <c r="P220" s="540"/>
      <c r="Q220" s="540"/>
      <c r="R220" s="539"/>
    </row>
    <row r="221" spans="1:18" ht="16.149999999999999" customHeight="1" x14ac:dyDescent="0.35">
      <c r="A221" s="693">
        <f t="shared" si="19"/>
        <v>18</v>
      </c>
      <c r="B221" s="691">
        <f t="shared" si="21"/>
        <v>214</v>
      </c>
      <c r="C221" s="616">
        <f>'CAPEX Schedule'!$HH$8/1000</f>
        <v>0</v>
      </c>
      <c r="D221" s="616">
        <f>'CAPEX Schedule'!$HH$9/1000</f>
        <v>0</v>
      </c>
      <c r="E221" s="616">
        <f>'CAPEX Schedule'!$HH$10/1000</f>
        <v>0</v>
      </c>
      <c r="F221" s="616">
        <f>'CAPEX Schedule'!$HH$11/1000</f>
        <v>0</v>
      </c>
      <c r="G221" s="616">
        <f>'CAPEX Schedule'!$HH$12/1000</f>
        <v>0</v>
      </c>
      <c r="H221" s="617">
        <f t="shared" si="20"/>
        <v>0</v>
      </c>
      <c r="I221" s="543"/>
      <c r="J221" s="543"/>
      <c r="K221" s="543"/>
      <c r="L221" s="543"/>
      <c r="M221" s="617">
        <f t="shared" si="18"/>
        <v>0</v>
      </c>
      <c r="N221" s="542"/>
      <c r="O221" s="541"/>
      <c r="P221" s="540"/>
      <c r="Q221" s="540"/>
      <c r="R221" s="539"/>
    </row>
    <row r="222" spans="1:18" ht="16.149999999999999" customHeight="1" x14ac:dyDescent="0.35">
      <c r="A222" s="693">
        <f t="shared" si="19"/>
        <v>18</v>
      </c>
      <c r="B222" s="691">
        <f t="shared" si="21"/>
        <v>215</v>
      </c>
      <c r="C222" s="616">
        <f>'CAPEX Schedule'!$HI$8/1000</f>
        <v>0</v>
      </c>
      <c r="D222" s="616">
        <f>'CAPEX Schedule'!$HI$9/1000</f>
        <v>0</v>
      </c>
      <c r="E222" s="616">
        <f>'CAPEX Schedule'!$HI$10/1000</f>
        <v>0</v>
      </c>
      <c r="F222" s="616">
        <f>'CAPEX Schedule'!$HI$11/1000</f>
        <v>0</v>
      </c>
      <c r="G222" s="616">
        <f>'CAPEX Schedule'!$HI$12/1000</f>
        <v>0</v>
      </c>
      <c r="H222" s="617">
        <f t="shared" si="20"/>
        <v>0</v>
      </c>
      <c r="I222" s="543"/>
      <c r="J222" s="543"/>
      <c r="K222" s="543"/>
      <c r="L222" s="543"/>
      <c r="M222" s="617">
        <f t="shared" si="18"/>
        <v>0</v>
      </c>
      <c r="N222" s="542"/>
      <c r="O222" s="541"/>
      <c r="P222" s="540"/>
      <c r="Q222" s="540"/>
      <c r="R222" s="539"/>
    </row>
    <row r="223" spans="1:18" ht="16.149999999999999" customHeight="1" x14ac:dyDescent="0.35">
      <c r="A223" s="693">
        <f t="shared" si="19"/>
        <v>18</v>
      </c>
      <c r="B223" s="691">
        <f t="shared" si="21"/>
        <v>216</v>
      </c>
      <c r="C223" s="616">
        <f>'CAPEX Schedule'!$HJ$8/1000</f>
        <v>0</v>
      </c>
      <c r="D223" s="616">
        <f>'CAPEX Schedule'!$HJ$9/1000</f>
        <v>0</v>
      </c>
      <c r="E223" s="616">
        <f>'CAPEX Schedule'!$HJ$10/1000</f>
        <v>0</v>
      </c>
      <c r="F223" s="616">
        <f>'CAPEX Schedule'!$HJ$11/1000</f>
        <v>0</v>
      </c>
      <c r="G223" s="616">
        <f>'CAPEX Schedule'!$HJ$12/1000</f>
        <v>0</v>
      </c>
      <c r="H223" s="617">
        <f t="shared" si="20"/>
        <v>0</v>
      </c>
      <c r="I223" s="543"/>
      <c r="J223" s="543"/>
      <c r="K223" s="543"/>
      <c r="L223" s="543"/>
      <c r="M223" s="617">
        <f t="shared" si="18"/>
        <v>0</v>
      </c>
      <c r="N223" s="542"/>
      <c r="O223" s="541"/>
      <c r="P223" s="540"/>
      <c r="Q223" s="540"/>
      <c r="R223" s="539"/>
    </row>
    <row r="224" spans="1:18" ht="16.149999999999999" customHeight="1" x14ac:dyDescent="0.35">
      <c r="A224" s="693">
        <f t="shared" si="19"/>
        <v>19</v>
      </c>
      <c r="B224" s="691">
        <f t="shared" si="21"/>
        <v>217</v>
      </c>
      <c r="C224" s="616">
        <f>'CAPEX Schedule'!$HK$8/1000</f>
        <v>0</v>
      </c>
      <c r="D224" s="616">
        <f>'CAPEX Schedule'!$HK$9/1000</f>
        <v>0</v>
      </c>
      <c r="E224" s="616">
        <f>'CAPEX Schedule'!$HK$10/1000</f>
        <v>0</v>
      </c>
      <c r="F224" s="616">
        <f>'CAPEX Schedule'!$HK$11/1000</f>
        <v>0</v>
      </c>
      <c r="G224" s="616">
        <f>'CAPEX Schedule'!$HK$12/1000</f>
        <v>0</v>
      </c>
      <c r="H224" s="617">
        <f t="shared" si="20"/>
        <v>0</v>
      </c>
      <c r="I224" s="543"/>
      <c r="J224" s="543"/>
      <c r="K224" s="543"/>
      <c r="L224" s="543"/>
      <c r="M224" s="617">
        <f t="shared" ref="M224:M287" si="22">SUM(C224:G224)</f>
        <v>0</v>
      </c>
      <c r="N224" s="542"/>
      <c r="O224" s="541"/>
      <c r="P224" s="540"/>
      <c r="Q224" s="540"/>
      <c r="R224" s="539"/>
    </row>
    <row r="225" spans="1:18" ht="16.149999999999999" customHeight="1" x14ac:dyDescent="0.35">
      <c r="A225" s="693">
        <f t="shared" si="19"/>
        <v>19</v>
      </c>
      <c r="B225" s="691">
        <f t="shared" si="21"/>
        <v>218</v>
      </c>
      <c r="C225" s="616">
        <f>'CAPEX Schedule'!$HL$8/1000</f>
        <v>0</v>
      </c>
      <c r="D225" s="616">
        <f>'CAPEX Schedule'!$HL$9/1000</f>
        <v>0</v>
      </c>
      <c r="E225" s="616">
        <f>'CAPEX Schedule'!$HL$10/1000</f>
        <v>0</v>
      </c>
      <c r="F225" s="616">
        <f>'CAPEX Schedule'!$HL$11/1000</f>
        <v>0</v>
      </c>
      <c r="G225" s="616">
        <f>'CAPEX Schedule'!$HL$12/1000</f>
        <v>0</v>
      </c>
      <c r="H225" s="617">
        <f t="shared" si="20"/>
        <v>0</v>
      </c>
      <c r="I225" s="543"/>
      <c r="J225" s="543"/>
      <c r="K225" s="543"/>
      <c r="L225" s="543"/>
      <c r="M225" s="617">
        <f t="shared" si="22"/>
        <v>0</v>
      </c>
      <c r="N225" s="542"/>
      <c r="O225" s="541"/>
      <c r="P225" s="540"/>
      <c r="Q225" s="540"/>
      <c r="R225" s="539"/>
    </row>
    <row r="226" spans="1:18" ht="16.149999999999999" customHeight="1" x14ac:dyDescent="0.35">
      <c r="A226" s="693">
        <f t="shared" si="19"/>
        <v>19</v>
      </c>
      <c r="B226" s="691">
        <f t="shared" si="21"/>
        <v>219</v>
      </c>
      <c r="C226" s="616">
        <f>'CAPEX Schedule'!$HM$8/1000</f>
        <v>0</v>
      </c>
      <c r="D226" s="616">
        <f>'CAPEX Schedule'!$HM$9/1000</f>
        <v>0</v>
      </c>
      <c r="E226" s="616">
        <f>'CAPEX Schedule'!$HM$10/1000</f>
        <v>0</v>
      </c>
      <c r="F226" s="616">
        <f>'CAPEX Schedule'!$HM$11/1000</f>
        <v>0</v>
      </c>
      <c r="G226" s="616">
        <f>'CAPEX Schedule'!$HM$12/1000</f>
        <v>0</v>
      </c>
      <c r="H226" s="617">
        <f t="shared" si="20"/>
        <v>0</v>
      </c>
      <c r="I226" s="543"/>
      <c r="J226" s="543"/>
      <c r="K226" s="543"/>
      <c r="L226" s="543"/>
      <c r="M226" s="617">
        <f t="shared" si="22"/>
        <v>0</v>
      </c>
      <c r="N226" s="542"/>
      <c r="O226" s="541"/>
      <c r="P226" s="540"/>
      <c r="Q226" s="540"/>
      <c r="R226" s="539"/>
    </row>
    <row r="227" spans="1:18" ht="16.149999999999999" customHeight="1" x14ac:dyDescent="0.35">
      <c r="A227" s="693">
        <f t="shared" si="19"/>
        <v>19</v>
      </c>
      <c r="B227" s="691">
        <f t="shared" si="21"/>
        <v>220</v>
      </c>
      <c r="C227" s="616">
        <f>'CAPEX Schedule'!$HN$8/1000</f>
        <v>0</v>
      </c>
      <c r="D227" s="616">
        <f>'CAPEX Schedule'!$HN$9/1000</f>
        <v>0</v>
      </c>
      <c r="E227" s="616">
        <f>'CAPEX Schedule'!$HN$10/1000</f>
        <v>0</v>
      </c>
      <c r="F227" s="616">
        <f>'CAPEX Schedule'!$HN$11/1000</f>
        <v>0</v>
      </c>
      <c r="G227" s="616">
        <f>'CAPEX Schedule'!$HN$12/1000</f>
        <v>0</v>
      </c>
      <c r="H227" s="617">
        <f t="shared" si="20"/>
        <v>0</v>
      </c>
      <c r="I227" s="543"/>
      <c r="J227" s="543"/>
      <c r="K227" s="543"/>
      <c r="L227" s="543"/>
      <c r="M227" s="617">
        <f t="shared" si="22"/>
        <v>0</v>
      </c>
      <c r="N227" s="542"/>
      <c r="O227" s="541"/>
      <c r="P227" s="540"/>
      <c r="Q227" s="540"/>
      <c r="R227" s="539"/>
    </row>
    <row r="228" spans="1:18" ht="16.149999999999999" customHeight="1" x14ac:dyDescent="0.35">
      <c r="A228" s="693">
        <f t="shared" si="19"/>
        <v>19</v>
      </c>
      <c r="B228" s="691">
        <f t="shared" si="21"/>
        <v>221</v>
      </c>
      <c r="C228" s="616">
        <f>'CAPEX Schedule'!$HO$8/1000</f>
        <v>0</v>
      </c>
      <c r="D228" s="616">
        <f>'CAPEX Schedule'!$HO$9/1000</f>
        <v>0</v>
      </c>
      <c r="E228" s="616">
        <f>'CAPEX Schedule'!$HO$10/1000</f>
        <v>0</v>
      </c>
      <c r="F228" s="616">
        <f>'CAPEX Schedule'!$HO$11/1000</f>
        <v>0</v>
      </c>
      <c r="G228" s="616">
        <f>'CAPEX Schedule'!$HO$12/1000</f>
        <v>0</v>
      </c>
      <c r="H228" s="617">
        <f t="shared" si="20"/>
        <v>0</v>
      </c>
      <c r="I228" s="543"/>
      <c r="J228" s="543"/>
      <c r="K228" s="543"/>
      <c r="L228" s="543"/>
      <c r="M228" s="617">
        <f t="shared" si="22"/>
        <v>0</v>
      </c>
      <c r="N228" s="542"/>
      <c r="O228" s="541"/>
      <c r="P228" s="540"/>
      <c r="Q228" s="540"/>
      <c r="R228" s="539"/>
    </row>
    <row r="229" spans="1:18" ht="16.149999999999999" customHeight="1" x14ac:dyDescent="0.35">
      <c r="A229" s="693">
        <f t="shared" si="19"/>
        <v>19</v>
      </c>
      <c r="B229" s="691">
        <f t="shared" si="21"/>
        <v>222</v>
      </c>
      <c r="C229" s="616">
        <f>'CAPEX Schedule'!$HP$8/1000</f>
        <v>0</v>
      </c>
      <c r="D229" s="616">
        <f>'CAPEX Schedule'!$HP$9/1000</f>
        <v>0</v>
      </c>
      <c r="E229" s="616">
        <f>'CAPEX Schedule'!$HP$10/1000</f>
        <v>0</v>
      </c>
      <c r="F229" s="616">
        <f>'CAPEX Schedule'!$HP$11/1000</f>
        <v>0</v>
      </c>
      <c r="G229" s="616">
        <f>'CAPEX Schedule'!$HP$12/1000</f>
        <v>0</v>
      </c>
      <c r="H229" s="617">
        <f t="shared" si="20"/>
        <v>0</v>
      </c>
      <c r="I229" s="543"/>
      <c r="J229" s="543"/>
      <c r="K229" s="543"/>
      <c r="L229" s="543"/>
      <c r="M229" s="617">
        <f t="shared" si="22"/>
        <v>0</v>
      </c>
      <c r="N229" s="542"/>
      <c r="O229" s="541"/>
      <c r="P229" s="540"/>
      <c r="Q229" s="540"/>
      <c r="R229" s="539"/>
    </row>
    <row r="230" spans="1:18" ht="16.149999999999999" customHeight="1" x14ac:dyDescent="0.35">
      <c r="A230" s="693">
        <f t="shared" si="19"/>
        <v>19</v>
      </c>
      <c r="B230" s="691">
        <f t="shared" si="21"/>
        <v>223</v>
      </c>
      <c r="C230" s="616">
        <f>'CAPEX Schedule'!$HQ$8/1000</f>
        <v>0</v>
      </c>
      <c r="D230" s="616">
        <f>'CAPEX Schedule'!$HQ$9/1000</f>
        <v>0</v>
      </c>
      <c r="E230" s="616">
        <f>'CAPEX Schedule'!$HQ$10/1000</f>
        <v>0</v>
      </c>
      <c r="F230" s="616">
        <f>'CAPEX Schedule'!$HQ$11/1000</f>
        <v>0</v>
      </c>
      <c r="G230" s="616">
        <f>'CAPEX Schedule'!$HQ$12/1000</f>
        <v>0</v>
      </c>
      <c r="H230" s="617">
        <f t="shared" si="20"/>
        <v>0</v>
      </c>
      <c r="I230" s="543"/>
      <c r="J230" s="543"/>
      <c r="K230" s="543"/>
      <c r="L230" s="543"/>
      <c r="M230" s="617">
        <f t="shared" si="22"/>
        <v>0</v>
      </c>
      <c r="N230" s="542"/>
      <c r="O230" s="541"/>
      <c r="P230" s="540"/>
      <c r="Q230" s="540"/>
      <c r="R230" s="539"/>
    </row>
    <row r="231" spans="1:18" ht="16.149999999999999" customHeight="1" x14ac:dyDescent="0.35">
      <c r="A231" s="693">
        <f t="shared" si="19"/>
        <v>19</v>
      </c>
      <c r="B231" s="691">
        <f t="shared" si="21"/>
        <v>224</v>
      </c>
      <c r="C231" s="616">
        <f>'CAPEX Schedule'!$HR$8/1000</f>
        <v>0</v>
      </c>
      <c r="D231" s="616">
        <f>'CAPEX Schedule'!$HR$9/1000</f>
        <v>0</v>
      </c>
      <c r="E231" s="616">
        <f>'CAPEX Schedule'!$HR$10/1000</f>
        <v>0</v>
      </c>
      <c r="F231" s="616">
        <f>'CAPEX Schedule'!$HR$11/1000</f>
        <v>0</v>
      </c>
      <c r="G231" s="616">
        <f>'CAPEX Schedule'!$HR$12/1000</f>
        <v>0</v>
      </c>
      <c r="H231" s="617">
        <f t="shared" si="20"/>
        <v>0</v>
      </c>
      <c r="I231" s="543"/>
      <c r="J231" s="543"/>
      <c r="K231" s="543"/>
      <c r="L231" s="543"/>
      <c r="M231" s="617">
        <f t="shared" si="22"/>
        <v>0</v>
      </c>
      <c r="N231" s="542"/>
      <c r="O231" s="541"/>
      <c r="P231" s="540"/>
      <c r="Q231" s="540"/>
      <c r="R231" s="539"/>
    </row>
    <row r="232" spans="1:18" ht="16.149999999999999" customHeight="1" x14ac:dyDescent="0.35">
      <c r="A232" s="693">
        <f t="shared" si="19"/>
        <v>19</v>
      </c>
      <c r="B232" s="691">
        <f t="shared" si="21"/>
        <v>225</v>
      </c>
      <c r="C232" s="616">
        <f>'CAPEX Schedule'!$HS$8/1000</f>
        <v>0</v>
      </c>
      <c r="D232" s="616">
        <f>'CAPEX Schedule'!$HS$9/1000</f>
        <v>0</v>
      </c>
      <c r="E232" s="616">
        <f>'CAPEX Schedule'!$HS$10/1000</f>
        <v>0</v>
      </c>
      <c r="F232" s="616">
        <f>'CAPEX Schedule'!$HS$11/1000</f>
        <v>0</v>
      </c>
      <c r="G232" s="616">
        <f>'CAPEX Schedule'!$HS$12/1000</f>
        <v>0</v>
      </c>
      <c r="H232" s="617">
        <f t="shared" si="20"/>
        <v>0</v>
      </c>
      <c r="I232" s="543"/>
      <c r="J232" s="543"/>
      <c r="K232" s="543"/>
      <c r="L232" s="543"/>
      <c r="M232" s="617">
        <f t="shared" si="22"/>
        <v>0</v>
      </c>
      <c r="N232" s="542"/>
      <c r="O232" s="541"/>
      <c r="P232" s="540"/>
      <c r="Q232" s="540"/>
      <c r="R232" s="539"/>
    </row>
    <row r="233" spans="1:18" ht="16.149999999999999" customHeight="1" x14ac:dyDescent="0.35">
      <c r="A233" s="693">
        <f t="shared" si="19"/>
        <v>19</v>
      </c>
      <c r="B233" s="691">
        <f t="shared" si="21"/>
        <v>226</v>
      </c>
      <c r="C233" s="616">
        <f>'CAPEX Schedule'!$HT$8/1000</f>
        <v>0</v>
      </c>
      <c r="D233" s="616">
        <f>'CAPEX Schedule'!$HT$9/1000</f>
        <v>0</v>
      </c>
      <c r="E233" s="616">
        <f>'CAPEX Schedule'!$HT$10/1000</f>
        <v>0</v>
      </c>
      <c r="F233" s="616">
        <f>'CAPEX Schedule'!$HT$11/1000</f>
        <v>0</v>
      </c>
      <c r="G233" s="616">
        <f>'CAPEX Schedule'!$HT$12/1000</f>
        <v>0</v>
      </c>
      <c r="H233" s="617">
        <f t="shared" si="20"/>
        <v>0</v>
      </c>
      <c r="I233" s="543"/>
      <c r="J233" s="543"/>
      <c r="K233" s="543"/>
      <c r="L233" s="543"/>
      <c r="M233" s="617">
        <f t="shared" si="22"/>
        <v>0</v>
      </c>
      <c r="N233" s="542"/>
      <c r="O233" s="541"/>
      <c r="P233" s="540"/>
      <c r="Q233" s="540"/>
      <c r="R233" s="539"/>
    </row>
    <row r="234" spans="1:18" ht="16.149999999999999" customHeight="1" x14ac:dyDescent="0.35">
      <c r="A234" s="693">
        <f t="shared" si="19"/>
        <v>19</v>
      </c>
      <c r="B234" s="691">
        <f t="shared" si="21"/>
        <v>227</v>
      </c>
      <c r="C234" s="616">
        <f>'CAPEX Schedule'!$HU$8/1000</f>
        <v>0</v>
      </c>
      <c r="D234" s="616">
        <f>'CAPEX Schedule'!$HU$9/1000</f>
        <v>0</v>
      </c>
      <c r="E234" s="616">
        <f>'CAPEX Schedule'!$HU$10/1000</f>
        <v>0</v>
      </c>
      <c r="F234" s="616">
        <f>'CAPEX Schedule'!$HU$11/1000</f>
        <v>0</v>
      </c>
      <c r="G234" s="616">
        <f>'CAPEX Schedule'!$HU$12/1000</f>
        <v>0</v>
      </c>
      <c r="H234" s="617">
        <f t="shared" si="20"/>
        <v>0</v>
      </c>
      <c r="I234" s="543"/>
      <c r="J234" s="543"/>
      <c r="K234" s="543"/>
      <c r="L234" s="543"/>
      <c r="M234" s="617">
        <f t="shared" si="22"/>
        <v>0</v>
      </c>
      <c r="N234" s="542"/>
      <c r="O234" s="541"/>
      <c r="P234" s="540"/>
      <c r="Q234" s="540"/>
      <c r="R234" s="539"/>
    </row>
    <row r="235" spans="1:18" ht="16.149999999999999" customHeight="1" x14ac:dyDescent="0.35">
      <c r="A235" s="693">
        <f t="shared" si="19"/>
        <v>19</v>
      </c>
      <c r="B235" s="691">
        <f t="shared" si="21"/>
        <v>228</v>
      </c>
      <c r="C235" s="616">
        <f>'CAPEX Schedule'!$HV$8/1000</f>
        <v>0</v>
      </c>
      <c r="D235" s="616">
        <f>'CAPEX Schedule'!$HV$9/1000</f>
        <v>0</v>
      </c>
      <c r="E235" s="616">
        <f>'CAPEX Schedule'!$HV$10/1000</f>
        <v>0</v>
      </c>
      <c r="F235" s="616">
        <f>'CAPEX Schedule'!$HV$11/1000</f>
        <v>0</v>
      </c>
      <c r="G235" s="616">
        <f>'CAPEX Schedule'!$HV$12/1000</f>
        <v>0</v>
      </c>
      <c r="H235" s="617">
        <f t="shared" si="20"/>
        <v>0</v>
      </c>
      <c r="I235" s="543"/>
      <c r="J235" s="543"/>
      <c r="K235" s="543"/>
      <c r="L235" s="543"/>
      <c r="M235" s="617">
        <f t="shared" si="22"/>
        <v>0</v>
      </c>
      <c r="N235" s="542"/>
      <c r="O235" s="541"/>
      <c r="P235" s="540"/>
      <c r="Q235" s="540"/>
      <c r="R235" s="539"/>
    </row>
    <row r="236" spans="1:18" ht="16.149999999999999" customHeight="1" x14ac:dyDescent="0.35">
      <c r="A236" s="693">
        <f t="shared" si="19"/>
        <v>20</v>
      </c>
      <c r="B236" s="691">
        <f t="shared" si="21"/>
        <v>229</v>
      </c>
      <c r="C236" s="616">
        <f>'CAPEX Schedule'!$HW$8/1000</f>
        <v>0</v>
      </c>
      <c r="D236" s="616">
        <f>'CAPEX Schedule'!$HW$9/1000</f>
        <v>0</v>
      </c>
      <c r="E236" s="616">
        <f>'CAPEX Schedule'!$HW$10/1000</f>
        <v>0</v>
      </c>
      <c r="F236" s="616">
        <f>'CAPEX Schedule'!$HW$11/1000</f>
        <v>0</v>
      </c>
      <c r="G236" s="616">
        <f>'CAPEX Schedule'!$HW$12/1000</f>
        <v>0</v>
      </c>
      <c r="H236" s="617">
        <f t="shared" si="20"/>
        <v>0</v>
      </c>
      <c r="I236" s="543"/>
      <c r="J236" s="543"/>
      <c r="K236" s="543"/>
      <c r="L236" s="543"/>
      <c r="M236" s="617">
        <f t="shared" si="22"/>
        <v>0</v>
      </c>
      <c r="N236" s="542"/>
      <c r="O236" s="541"/>
      <c r="P236" s="540"/>
      <c r="Q236" s="540"/>
      <c r="R236" s="539"/>
    </row>
    <row r="237" spans="1:18" ht="16.149999999999999" customHeight="1" x14ac:dyDescent="0.35">
      <c r="A237" s="693">
        <f t="shared" si="19"/>
        <v>20</v>
      </c>
      <c r="B237" s="691">
        <f t="shared" si="21"/>
        <v>230</v>
      </c>
      <c r="C237" s="616">
        <f>'CAPEX Schedule'!$HX$8/1000</f>
        <v>0</v>
      </c>
      <c r="D237" s="616">
        <f>'CAPEX Schedule'!$HX$9/1000</f>
        <v>0</v>
      </c>
      <c r="E237" s="616">
        <f>'CAPEX Schedule'!$HX$10/1000</f>
        <v>0</v>
      </c>
      <c r="F237" s="616">
        <f>'CAPEX Schedule'!$HX$11/1000</f>
        <v>0</v>
      </c>
      <c r="G237" s="616">
        <f>'CAPEX Schedule'!$HX$12/1000</f>
        <v>0</v>
      </c>
      <c r="H237" s="617">
        <f t="shared" si="20"/>
        <v>0</v>
      </c>
      <c r="I237" s="543"/>
      <c r="J237" s="543"/>
      <c r="K237" s="543"/>
      <c r="L237" s="543"/>
      <c r="M237" s="617">
        <f t="shared" si="22"/>
        <v>0</v>
      </c>
      <c r="N237" s="542"/>
      <c r="O237" s="541"/>
      <c r="P237" s="540"/>
      <c r="Q237" s="540"/>
      <c r="R237" s="539"/>
    </row>
    <row r="238" spans="1:18" ht="16.149999999999999" customHeight="1" x14ac:dyDescent="0.35">
      <c r="A238" s="693">
        <f t="shared" si="19"/>
        <v>20</v>
      </c>
      <c r="B238" s="691">
        <f t="shared" si="21"/>
        <v>231</v>
      </c>
      <c r="C238" s="616">
        <f>'CAPEX Schedule'!$HY$8/1000</f>
        <v>0</v>
      </c>
      <c r="D238" s="616">
        <f>'CAPEX Schedule'!$HY$9/1000</f>
        <v>0</v>
      </c>
      <c r="E238" s="616">
        <f>'CAPEX Schedule'!$HY$10/1000</f>
        <v>0</v>
      </c>
      <c r="F238" s="616">
        <f>'CAPEX Schedule'!$HY$11/1000</f>
        <v>0</v>
      </c>
      <c r="G238" s="616">
        <f>'CAPEX Schedule'!$HY$12/1000</f>
        <v>0</v>
      </c>
      <c r="H238" s="617">
        <f t="shared" si="20"/>
        <v>0</v>
      </c>
      <c r="I238" s="543"/>
      <c r="J238" s="543"/>
      <c r="K238" s="543"/>
      <c r="L238" s="543"/>
      <c r="M238" s="617">
        <f t="shared" si="22"/>
        <v>0</v>
      </c>
      <c r="N238" s="542"/>
      <c r="O238" s="541"/>
      <c r="P238" s="540"/>
      <c r="Q238" s="540"/>
      <c r="R238" s="539"/>
    </row>
    <row r="239" spans="1:18" ht="16.149999999999999" customHeight="1" x14ac:dyDescent="0.35">
      <c r="A239" s="693">
        <f t="shared" si="19"/>
        <v>20</v>
      </c>
      <c r="B239" s="691">
        <f t="shared" si="21"/>
        <v>232</v>
      </c>
      <c r="C239" s="616">
        <f>'CAPEX Schedule'!$HZ$8/1000</f>
        <v>0</v>
      </c>
      <c r="D239" s="616">
        <f>'CAPEX Schedule'!$HZ$9/1000</f>
        <v>0</v>
      </c>
      <c r="E239" s="616">
        <f>'CAPEX Schedule'!$HZ$10/1000</f>
        <v>0</v>
      </c>
      <c r="F239" s="616">
        <f>'CAPEX Schedule'!$HZ$11/1000</f>
        <v>0</v>
      </c>
      <c r="G239" s="616">
        <f>'CAPEX Schedule'!$HZ$12/1000</f>
        <v>0</v>
      </c>
      <c r="H239" s="617">
        <f t="shared" si="20"/>
        <v>0</v>
      </c>
      <c r="I239" s="543"/>
      <c r="J239" s="543"/>
      <c r="K239" s="543"/>
      <c r="L239" s="543"/>
      <c r="M239" s="617">
        <f t="shared" si="22"/>
        <v>0</v>
      </c>
      <c r="N239" s="542"/>
      <c r="O239" s="541"/>
      <c r="P239" s="540"/>
      <c r="Q239" s="540"/>
      <c r="R239" s="539"/>
    </row>
    <row r="240" spans="1:18" ht="16.149999999999999" customHeight="1" x14ac:dyDescent="0.35">
      <c r="A240" s="693">
        <f t="shared" si="19"/>
        <v>20</v>
      </c>
      <c r="B240" s="691">
        <f t="shared" si="21"/>
        <v>233</v>
      </c>
      <c r="C240" s="616">
        <f>'CAPEX Schedule'!$IA$8/1000</f>
        <v>0</v>
      </c>
      <c r="D240" s="616">
        <f>'CAPEX Schedule'!$IA$9/1000</f>
        <v>0</v>
      </c>
      <c r="E240" s="616">
        <f>'CAPEX Schedule'!$IA$10/1000</f>
        <v>0</v>
      </c>
      <c r="F240" s="616">
        <f>'CAPEX Schedule'!$IA$11/1000</f>
        <v>0</v>
      </c>
      <c r="G240" s="616">
        <f>'CAPEX Schedule'!$IA$12/1000</f>
        <v>0</v>
      </c>
      <c r="H240" s="617">
        <f t="shared" si="20"/>
        <v>0</v>
      </c>
      <c r="I240" s="543"/>
      <c r="J240" s="543"/>
      <c r="K240" s="543"/>
      <c r="L240" s="543"/>
      <c r="M240" s="617">
        <f t="shared" si="22"/>
        <v>0</v>
      </c>
      <c r="N240" s="542"/>
      <c r="O240" s="541"/>
      <c r="P240" s="540"/>
      <c r="Q240" s="540"/>
      <c r="R240" s="539"/>
    </row>
    <row r="241" spans="1:18" ht="16.149999999999999" customHeight="1" x14ac:dyDescent="0.35">
      <c r="A241" s="693">
        <f t="shared" si="19"/>
        <v>20</v>
      </c>
      <c r="B241" s="691">
        <f t="shared" si="21"/>
        <v>234</v>
      </c>
      <c r="C241" s="616">
        <f>'CAPEX Schedule'!$IB$8/1000</f>
        <v>0</v>
      </c>
      <c r="D241" s="616">
        <f>'CAPEX Schedule'!$IB$9/1000</f>
        <v>0</v>
      </c>
      <c r="E241" s="616">
        <f>'CAPEX Schedule'!$IB$10/1000</f>
        <v>0</v>
      </c>
      <c r="F241" s="616">
        <f>'CAPEX Schedule'!$IB$11/1000</f>
        <v>0</v>
      </c>
      <c r="G241" s="616">
        <f>'CAPEX Schedule'!$IB$12/1000</f>
        <v>0</v>
      </c>
      <c r="H241" s="617">
        <f t="shared" si="20"/>
        <v>0</v>
      </c>
      <c r="I241" s="543"/>
      <c r="J241" s="543"/>
      <c r="K241" s="543"/>
      <c r="L241" s="543"/>
      <c r="M241" s="617">
        <f t="shared" si="22"/>
        <v>0</v>
      </c>
      <c r="N241" s="542"/>
      <c r="O241" s="541"/>
      <c r="P241" s="540"/>
      <c r="Q241" s="540"/>
      <c r="R241" s="539"/>
    </row>
    <row r="242" spans="1:18" ht="16.149999999999999" customHeight="1" x14ac:dyDescent="0.35">
      <c r="A242" s="693">
        <f t="shared" si="19"/>
        <v>20</v>
      </c>
      <c r="B242" s="691">
        <f t="shared" si="21"/>
        <v>235</v>
      </c>
      <c r="C242" s="616">
        <f>'CAPEX Schedule'!$IC$8/1000</f>
        <v>0</v>
      </c>
      <c r="D242" s="616">
        <f>'CAPEX Schedule'!$IC$9/1000</f>
        <v>0</v>
      </c>
      <c r="E242" s="616">
        <f>'CAPEX Schedule'!$IC$10/1000</f>
        <v>0</v>
      </c>
      <c r="F242" s="616">
        <f>'CAPEX Schedule'!$IC$11/1000</f>
        <v>0</v>
      </c>
      <c r="G242" s="616">
        <f>'CAPEX Schedule'!$IC$12/1000</f>
        <v>0</v>
      </c>
      <c r="H242" s="617">
        <f t="shared" si="20"/>
        <v>0</v>
      </c>
      <c r="I242" s="543"/>
      <c r="J242" s="543"/>
      <c r="K242" s="543"/>
      <c r="L242" s="543"/>
      <c r="M242" s="617">
        <f t="shared" si="22"/>
        <v>0</v>
      </c>
      <c r="N242" s="542"/>
      <c r="O242" s="541"/>
      <c r="P242" s="540"/>
      <c r="Q242" s="540"/>
      <c r="R242" s="539"/>
    </row>
    <row r="243" spans="1:18" ht="16.149999999999999" customHeight="1" x14ac:dyDescent="0.35">
      <c r="A243" s="693">
        <f t="shared" si="19"/>
        <v>20</v>
      </c>
      <c r="B243" s="691">
        <f t="shared" si="21"/>
        <v>236</v>
      </c>
      <c r="C243" s="616">
        <f>'CAPEX Schedule'!$ID$8/1000</f>
        <v>0</v>
      </c>
      <c r="D243" s="616">
        <f>'CAPEX Schedule'!$ID$9/1000</f>
        <v>0</v>
      </c>
      <c r="E243" s="616">
        <f>'CAPEX Schedule'!$ID$10/1000</f>
        <v>0</v>
      </c>
      <c r="F243" s="616">
        <f>'CAPEX Schedule'!$ID$11/1000</f>
        <v>0</v>
      </c>
      <c r="G243" s="616">
        <f>'CAPEX Schedule'!$ID$12/1000</f>
        <v>0</v>
      </c>
      <c r="H243" s="617">
        <f t="shared" si="20"/>
        <v>0</v>
      </c>
      <c r="I243" s="543"/>
      <c r="J243" s="543"/>
      <c r="K243" s="543"/>
      <c r="L243" s="543"/>
      <c r="M243" s="617">
        <f t="shared" si="22"/>
        <v>0</v>
      </c>
      <c r="N243" s="542"/>
      <c r="O243" s="541"/>
      <c r="P243" s="540"/>
      <c r="Q243" s="540"/>
      <c r="R243" s="539"/>
    </row>
    <row r="244" spans="1:18" ht="16.149999999999999" customHeight="1" x14ac:dyDescent="0.35">
      <c r="A244" s="693">
        <f t="shared" si="19"/>
        <v>20</v>
      </c>
      <c r="B244" s="691">
        <f t="shared" si="21"/>
        <v>237</v>
      </c>
      <c r="C244" s="616">
        <f>'CAPEX Schedule'!$IE$8/1000</f>
        <v>0</v>
      </c>
      <c r="D244" s="616">
        <f>'CAPEX Schedule'!$IE$9/1000</f>
        <v>0</v>
      </c>
      <c r="E244" s="616">
        <f>'CAPEX Schedule'!$IE$10/1000</f>
        <v>0</v>
      </c>
      <c r="F244" s="616">
        <f>'CAPEX Schedule'!$IE$11/1000</f>
        <v>0</v>
      </c>
      <c r="G244" s="616">
        <f>'CAPEX Schedule'!$IE$12/1000</f>
        <v>0</v>
      </c>
      <c r="H244" s="617">
        <f t="shared" si="20"/>
        <v>0</v>
      </c>
      <c r="I244" s="543"/>
      <c r="J244" s="543"/>
      <c r="K244" s="543"/>
      <c r="L244" s="543"/>
      <c r="M244" s="617">
        <f t="shared" si="22"/>
        <v>0</v>
      </c>
      <c r="N244" s="542"/>
      <c r="O244" s="541"/>
      <c r="P244" s="540"/>
      <c r="Q244" s="540"/>
      <c r="R244" s="539"/>
    </row>
    <row r="245" spans="1:18" ht="16.149999999999999" customHeight="1" x14ac:dyDescent="0.35">
      <c r="A245" s="693">
        <f t="shared" si="19"/>
        <v>20</v>
      </c>
      <c r="B245" s="691">
        <f t="shared" si="21"/>
        <v>238</v>
      </c>
      <c r="C245" s="616">
        <f>'CAPEX Schedule'!$IF$8/1000</f>
        <v>0</v>
      </c>
      <c r="D245" s="616">
        <f>'CAPEX Schedule'!$IF$9/1000</f>
        <v>0</v>
      </c>
      <c r="E245" s="616">
        <f>'CAPEX Schedule'!$IF$10/1000</f>
        <v>0</v>
      </c>
      <c r="F245" s="616">
        <f>'CAPEX Schedule'!$IF$11/1000</f>
        <v>0</v>
      </c>
      <c r="G245" s="616">
        <f>'CAPEX Schedule'!$IF$12/1000</f>
        <v>0</v>
      </c>
      <c r="H245" s="617">
        <f t="shared" si="20"/>
        <v>0</v>
      </c>
      <c r="I245" s="543"/>
      <c r="J245" s="543"/>
      <c r="K245" s="543"/>
      <c r="L245" s="543"/>
      <c r="M245" s="617">
        <f t="shared" si="22"/>
        <v>0</v>
      </c>
      <c r="N245" s="542"/>
      <c r="O245" s="541"/>
      <c r="P245" s="540"/>
      <c r="Q245" s="540"/>
      <c r="R245" s="539"/>
    </row>
    <row r="246" spans="1:18" ht="16.149999999999999" customHeight="1" x14ac:dyDescent="0.35">
      <c r="A246" s="693">
        <f t="shared" si="19"/>
        <v>20</v>
      </c>
      <c r="B246" s="691">
        <f t="shared" si="21"/>
        <v>239</v>
      </c>
      <c r="C246" s="616">
        <f>'CAPEX Schedule'!$IG$8/1000</f>
        <v>0</v>
      </c>
      <c r="D246" s="616">
        <f>'CAPEX Schedule'!$IG$9/1000</f>
        <v>0</v>
      </c>
      <c r="E246" s="616">
        <f>'CAPEX Schedule'!$IG$10/1000</f>
        <v>0</v>
      </c>
      <c r="F246" s="616">
        <f>'CAPEX Schedule'!$IG$11/1000</f>
        <v>0</v>
      </c>
      <c r="G246" s="616">
        <f>'CAPEX Schedule'!$IG$12/1000</f>
        <v>0</v>
      </c>
      <c r="H246" s="617">
        <f t="shared" si="20"/>
        <v>0</v>
      </c>
      <c r="I246" s="543"/>
      <c r="J246" s="543"/>
      <c r="K246" s="543"/>
      <c r="L246" s="543"/>
      <c r="M246" s="617">
        <f t="shared" si="22"/>
        <v>0</v>
      </c>
      <c r="N246" s="542"/>
      <c r="O246" s="541"/>
      <c r="P246" s="540"/>
      <c r="Q246" s="540"/>
      <c r="R246" s="539"/>
    </row>
    <row r="247" spans="1:18" ht="16.149999999999999" customHeight="1" x14ac:dyDescent="0.35">
      <c r="A247" s="693">
        <f t="shared" si="19"/>
        <v>20</v>
      </c>
      <c r="B247" s="691">
        <f t="shared" si="21"/>
        <v>240</v>
      </c>
      <c r="C247" s="616">
        <f>'CAPEX Schedule'!$IH$8/1000</f>
        <v>0</v>
      </c>
      <c r="D247" s="616">
        <f>'CAPEX Schedule'!$IH$9/1000</f>
        <v>0</v>
      </c>
      <c r="E247" s="616">
        <f>'CAPEX Schedule'!$IH$10/1000</f>
        <v>0</v>
      </c>
      <c r="F247" s="616">
        <f>'CAPEX Schedule'!$IH$11/1000</f>
        <v>0</v>
      </c>
      <c r="G247" s="616">
        <f>'CAPEX Schedule'!$IH$12/1000</f>
        <v>0</v>
      </c>
      <c r="H247" s="617">
        <f t="shared" si="20"/>
        <v>0</v>
      </c>
      <c r="I247" s="543"/>
      <c r="J247" s="543"/>
      <c r="K247" s="543"/>
      <c r="L247" s="543"/>
      <c r="M247" s="617">
        <f t="shared" si="22"/>
        <v>0</v>
      </c>
      <c r="N247" s="542"/>
      <c r="O247" s="541"/>
      <c r="P247" s="540"/>
      <c r="Q247" s="540"/>
      <c r="R247" s="539"/>
    </row>
    <row r="248" spans="1:18" ht="16.149999999999999" hidden="1" customHeight="1" x14ac:dyDescent="0.35">
      <c r="A248" s="693">
        <f t="shared" si="19"/>
        <v>21</v>
      </c>
      <c r="B248" s="691">
        <f t="shared" si="21"/>
        <v>241</v>
      </c>
      <c r="C248" s="540"/>
      <c r="D248" s="540"/>
      <c r="E248" s="540"/>
      <c r="F248" s="540"/>
      <c r="G248" s="540"/>
      <c r="H248" s="617">
        <f t="shared" si="20"/>
        <v>0</v>
      </c>
      <c r="I248" s="543"/>
      <c r="J248" s="543"/>
      <c r="K248" s="543"/>
      <c r="L248" s="543"/>
      <c r="M248" s="617">
        <f t="shared" si="22"/>
        <v>0</v>
      </c>
      <c r="N248" s="542"/>
      <c r="O248" s="541"/>
      <c r="P248" s="540"/>
      <c r="Q248" s="540"/>
      <c r="R248" s="539"/>
    </row>
    <row r="249" spans="1:18" ht="16.149999999999999" hidden="1" customHeight="1" x14ac:dyDescent="0.35">
      <c r="A249" s="693">
        <f t="shared" si="19"/>
        <v>21</v>
      </c>
      <c r="B249" s="691">
        <f t="shared" si="21"/>
        <v>242</v>
      </c>
      <c r="C249" s="540"/>
      <c r="D249" s="540"/>
      <c r="E249" s="540"/>
      <c r="F249" s="540"/>
      <c r="G249" s="540"/>
      <c r="H249" s="617">
        <f t="shared" si="20"/>
        <v>0</v>
      </c>
      <c r="I249" s="543"/>
      <c r="J249" s="543"/>
      <c r="K249" s="543"/>
      <c r="L249" s="543"/>
      <c r="M249" s="617">
        <f t="shared" si="22"/>
        <v>0</v>
      </c>
      <c r="N249" s="542"/>
      <c r="O249" s="541"/>
      <c r="P249" s="540"/>
      <c r="Q249" s="540"/>
      <c r="R249" s="539"/>
    </row>
    <row r="250" spans="1:18" ht="16.149999999999999" hidden="1" customHeight="1" x14ac:dyDescent="0.35">
      <c r="A250" s="693">
        <f t="shared" si="19"/>
        <v>21</v>
      </c>
      <c r="B250" s="691">
        <f t="shared" si="21"/>
        <v>243</v>
      </c>
      <c r="C250" s="540"/>
      <c r="D250" s="540"/>
      <c r="E250" s="540"/>
      <c r="F250" s="540"/>
      <c r="G250" s="540"/>
      <c r="H250" s="617">
        <f t="shared" si="20"/>
        <v>0</v>
      </c>
      <c r="I250" s="543"/>
      <c r="J250" s="543"/>
      <c r="K250" s="543"/>
      <c r="L250" s="543"/>
      <c r="M250" s="617">
        <f t="shared" si="22"/>
        <v>0</v>
      </c>
      <c r="N250" s="542"/>
      <c r="O250" s="541"/>
      <c r="P250" s="540"/>
      <c r="Q250" s="540"/>
      <c r="R250" s="539"/>
    </row>
    <row r="251" spans="1:18" ht="16.149999999999999" hidden="1" customHeight="1" x14ac:dyDescent="0.35">
      <c r="A251" s="693">
        <f t="shared" si="19"/>
        <v>21</v>
      </c>
      <c r="B251" s="691">
        <f t="shared" si="21"/>
        <v>244</v>
      </c>
      <c r="C251" s="540"/>
      <c r="D251" s="540"/>
      <c r="E251" s="540"/>
      <c r="F251" s="540"/>
      <c r="G251" s="540"/>
      <c r="H251" s="617">
        <f t="shared" si="20"/>
        <v>0</v>
      </c>
      <c r="I251" s="543"/>
      <c r="J251" s="543"/>
      <c r="K251" s="543"/>
      <c r="L251" s="543"/>
      <c r="M251" s="617">
        <f t="shared" si="22"/>
        <v>0</v>
      </c>
      <c r="N251" s="542"/>
      <c r="O251" s="541"/>
      <c r="P251" s="540"/>
      <c r="Q251" s="540"/>
      <c r="R251" s="539"/>
    </row>
    <row r="252" spans="1:18" ht="16.149999999999999" hidden="1" customHeight="1" x14ac:dyDescent="0.35">
      <c r="A252" s="693">
        <f t="shared" si="19"/>
        <v>21</v>
      </c>
      <c r="B252" s="691">
        <f t="shared" si="21"/>
        <v>245</v>
      </c>
      <c r="C252" s="540"/>
      <c r="D252" s="540"/>
      <c r="E252" s="540"/>
      <c r="F252" s="540"/>
      <c r="G252" s="540"/>
      <c r="H252" s="617">
        <f t="shared" si="20"/>
        <v>0</v>
      </c>
      <c r="I252" s="543"/>
      <c r="J252" s="543"/>
      <c r="K252" s="543"/>
      <c r="L252" s="543"/>
      <c r="M252" s="617">
        <f t="shared" si="22"/>
        <v>0</v>
      </c>
      <c r="N252" s="542"/>
      <c r="O252" s="541"/>
      <c r="P252" s="540"/>
      <c r="Q252" s="540"/>
      <c r="R252" s="539"/>
    </row>
    <row r="253" spans="1:18" ht="16.149999999999999" hidden="1" customHeight="1" x14ac:dyDescent="0.35">
      <c r="A253" s="693">
        <f t="shared" si="19"/>
        <v>21</v>
      </c>
      <c r="B253" s="691">
        <f t="shared" si="21"/>
        <v>246</v>
      </c>
      <c r="C253" s="540"/>
      <c r="D253" s="540"/>
      <c r="E253" s="540"/>
      <c r="F253" s="540"/>
      <c r="G253" s="540"/>
      <c r="H253" s="617">
        <f t="shared" si="20"/>
        <v>0</v>
      </c>
      <c r="I253" s="543"/>
      <c r="J253" s="543"/>
      <c r="K253" s="543"/>
      <c r="L253" s="543"/>
      <c r="M253" s="617">
        <f t="shared" si="22"/>
        <v>0</v>
      </c>
      <c r="N253" s="542"/>
      <c r="O253" s="541"/>
      <c r="P253" s="540"/>
      <c r="Q253" s="540"/>
      <c r="R253" s="539"/>
    </row>
    <row r="254" spans="1:18" ht="16.149999999999999" hidden="1" customHeight="1" x14ac:dyDescent="0.35">
      <c r="A254" s="693">
        <f t="shared" si="19"/>
        <v>21</v>
      </c>
      <c r="B254" s="691">
        <f t="shared" si="21"/>
        <v>247</v>
      </c>
      <c r="C254" s="540"/>
      <c r="D254" s="540"/>
      <c r="E254" s="540"/>
      <c r="F254" s="540"/>
      <c r="G254" s="540"/>
      <c r="H254" s="617">
        <f t="shared" si="20"/>
        <v>0</v>
      </c>
      <c r="I254" s="543"/>
      <c r="J254" s="543"/>
      <c r="K254" s="543"/>
      <c r="L254" s="543"/>
      <c r="M254" s="617">
        <f t="shared" si="22"/>
        <v>0</v>
      </c>
      <c r="N254" s="542"/>
      <c r="O254" s="541"/>
      <c r="P254" s="540"/>
      <c r="Q254" s="540"/>
      <c r="R254" s="539"/>
    </row>
    <row r="255" spans="1:18" ht="16.149999999999999" hidden="1" customHeight="1" x14ac:dyDescent="0.35">
      <c r="A255" s="693">
        <f t="shared" si="19"/>
        <v>21</v>
      </c>
      <c r="B255" s="691">
        <f t="shared" si="21"/>
        <v>248</v>
      </c>
      <c r="C255" s="540"/>
      <c r="D255" s="540"/>
      <c r="E255" s="540"/>
      <c r="F255" s="540"/>
      <c r="G255" s="540"/>
      <c r="H255" s="617">
        <f t="shared" si="20"/>
        <v>0</v>
      </c>
      <c r="I255" s="543"/>
      <c r="J255" s="543"/>
      <c r="K255" s="543"/>
      <c r="L255" s="543"/>
      <c r="M255" s="617">
        <f t="shared" si="22"/>
        <v>0</v>
      </c>
      <c r="N255" s="542"/>
      <c r="O255" s="541"/>
      <c r="P255" s="540"/>
      <c r="Q255" s="540"/>
      <c r="R255" s="539"/>
    </row>
    <row r="256" spans="1:18" ht="16.149999999999999" hidden="1" customHeight="1" x14ac:dyDescent="0.35">
      <c r="A256" s="693">
        <f t="shared" si="19"/>
        <v>21</v>
      </c>
      <c r="B256" s="691">
        <f t="shared" si="21"/>
        <v>249</v>
      </c>
      <c r="C256" s="540"/>
      <c r="D256" s="540"/>
      <c r="E256" s="540"/>
      <c r="F256" s="540"/>
      <c r="G256" s="540"/>
      <c r="H256" s="617">
        <f t="shared" si="20"/>
        <v>0</v>
      </c>
      <c r="I256" s="543"/>
      <c r="J256" s="543"/>
      <c r="K256" s="543"/>
      <c r="L256" s="543"/>
      <c r="M256" s="617">
        <f t="shared" si="22"/>
        <v>0</v>
      </c>
      <c r="N256" s="542"/>
      <c r="O256" s="541"/>
      <c r="P256" s="540"/>
      <c r="Q256" s="540"/>
      <c r="R256" s="539"/>
    </row>
    <row r="257" spans="1:18" ht="16.149999999999999" hidden="1" customHeight="1" x14ac:dyDescent="0.35">
      <c r="A257" s="693">
        <f t="shared" si="19"/>
        <v>21</v>
      </c>
      <c r="B257" s="691">
        <f t="shared" si="21"/>
        <v>250</v>
      </c>
      <c r="C257" s="540"/>
      <c r="D257" s="540"/>
      <c r="E257" s="540"/>
      <c r="F257" s="540"/>
      <c r="G257" s="540"/>
      <c r="H257" s="617">
        <f t="shared" si="20"/>
        <v>0</v>
      </c>
      <c r="I257" s="543"/>
      <c r="J257" s="543"/>
      <c r="K257" s="543"/>
      <c r="L257" s="543"/>
      <c r="M257" s="617">
        <f t="shared" si="22"/>
        <v>0</v>
      </c>
      <c r="N257" s="542"/>
      <c r="O257" s="541"/>
      <c r="P257" s="540"/>
      <c r="Q257" s="540"/>
      <c r="R257" s="539"/>
    </row>
    <row r="258" spans="1:18" ht="16.149999999999999" hidden="1" customHeight="1" x14ac:dyDescent="0.35">
      <c r="A258" s="693">
        <f t="shared" si="19"/>
        <v>21</v>
      </c>
      <c r="B258" s="691">
        <f t="shared" si="21"/>
        <v>251</v>
      </c>
      <c r="C258" s="540"/>
      <c r="D258" s="540"/>
      <c r="E258" s="540"/>
      <c r="F258" s="540"/>
      <c r="G258" s="540"/>
      <c r="H258" s="617">
        <f t="shared" si="20"/>
        <v>0</v>
      </c>
      <c r="I258" s="543"/>
      <c r="J258" s="543"/>
      <c r="K258" s="543"/>
      <c r="L258" s="543"/>
      <c r="M258" s="617">
        <f t="shared" si="22"/>
        <v>0</v>
      </c>
      <c r="N258" s="542"/>
      <c r="O258" s="541"/>
      <c r="P258" s="540"/>
      <c r="Q258" s="540"/>
      <c r="R258" s="539"/>
    </row>
    <row r="259" spans="1:18" ht="16.149999999999999" hidden="1" customHeight="1" x14ac:dyDescent="0.35">
      <c r="A259" s="693">
        <f t="shared" si="19"/>
        <v>21</v>
      </c>
      <c r="B259" s="691">
        <f t="shared" si="21"/>
        <v>252</v>
      </c>
      <c r="C259" s="540"/>
      <c r="D259" s="540"/>
      <c r="E259" s="540"/>
      <c r="F259" s="540"/>
      <c r="G259" s="540"/>
      <c r="H259" s="617">
        <f t="shared" si="20"/>
        <v>0</v>
      </c>
      <c r="I259" s="543"/>
      <c r="J259" s="543"/>
      <c r="K259" s="543"/>
      <c r="L259" s="543"/>
      <c r="M259" s="617">
        <f t="shared" si="22"/>
        <v>0</v>
      </c>
      <c r="N259" s="542"/>
      <c r="O259" s="541"/>
      <c r="P259" s="540"/>
      <c r="Q259" s="540"/>
      <c r="R259" s="539"/>
    </row>
    <row r="260" spans="1:18" ht="16.149999999999999" hidden="1" customHeight="1" x14ac:dyDescent="0.35">
      <c r="A260" s="693">
        <f t="shared" si="19"/>
        <v>22</v>
      </c>
      <c r="B260" s="691">
        <f t="shared" si="21"/>
        <v>253</v>
      </c>
      <c r="C260" s="540"/>
      <c r="D260" s="540"/>
      <c r="E260" s="540"/>
      <c r="F260" s="540"/>
      <c r="G260" s="540"/>
      <c r="H260" s="617">
        <f t="shared" si="20"/>
        <v>0</v>
      </c>
      <c r="I260" s="543"/>
      <c r="J260" s="543"/>
      <c r="K260" s="543"/>
      <c r="L260" s="543"/>
      <c r="M260" s="617">
        <f t="shared" si="22"/>
        <v>0</v>
      </c>
      <c r="N260" s="542"/>
      <c r="O260" s="541"/>
      <c r="P260" s="540"/>
      <c r="Q260" s="540"/>
      <c r="R260" s="539"/>
    </row>
    <row r="261" spans="1:18" ht="16.149999999999999" hidden="1" customHeight="1" x14ac:dyDescent="0.35">
      <c r="A261" s="693">
        <f t="shared" si="19"/>
        <v>22</v>
      </c>
      <c r="B261" s="691">
        <f t="shared" si="21"/>
        <v>254</v>
      </c>
      <c r="C261" s="540"/>
      <c r="D261" s="540"/>
      <c r="E261" s="540"/>
      <c r="F261" s="540"/>
      <c r="G261" s="540"/>
      <c r="H261" s="617">
        <f t="shared" si="20"/>
        <v>0</v>
      </c>
      <c r="I261" s="543"/>
      <c r="J261" s="543"/>
      <c r="K261" s="543"/>
      <c r="L261" s="543"/>
      <c r="M261" s="617">
        <f t="shared" si="22"/>
        <v>0</v>
      </c>
      <c r="N261" s="542"/>
      <c r="O261" s="541"/>
      <c r="P261" s="540"/>
      <c r="Q261" s="540"/>
      <c r="R261" s="539"/>
    </row>
    <row r="262" spans="1:18" ht="16.149999999999999" hidden="1" customHeight="1" x14ac:dyDescent="0.35">
      <c r="A262" s="693">
        <f t="shared" si="19"/>
        <v>22</v>
      </c>
      <c r="B262" s="691">
        <f t="shared" si="21"/>
        <v>255</v>
      </c>
      <c r="C262" s="540"/>
      <c r="D262" s="540"/>
      <c r="E262" s="540"/>
      <c r="F262" s="540"/>
      <c r="G262" s="540"/>
      <c r="H262" s="617">
        <f t="shared" si="20"/>
        <v>0</v>
      </c>
      <c r="I262" s="543"/>
      <c r="J262" s="543"/>
      <c r="K262" s="543"/>
      <c r="L262" s="543"/>
      <c r="M262" s="617">
        <f t="shared" si="22"/>
        <v>0</v>
      </c>
      <c r="N262" s="542"/>
      <c r="O262" s="541"/>
      <c r="P262" s="540"/>
      <c r="Q262" s="540"/>
      <c r="R262" s="539"/>
    </row>
    <row r="263" spans="1:18" ht="16.149999999999999" hidden="1" customHeight="1" x14ac:dyDescent="0.35">
      <c r="A263" s="693">
        <f t="shared" si="19"/>
        <v>22</v>
      </c>
      <c r="B263" s="691">
        <f t="shared" si="21"/>
        <v>256</v>
      </c>
      <c r="C263" s="540"/>
      <c r="D263" s="540"/>
      <c r="E263" s="540"/>
      <c r="F263" s="540"/>
      <c r="G263" s="540"/>
      <c r="H263" s="617">
        <f t="shared" si="20"/>
        <v>0</v>
      </c>
      <c r="I263" s="543"/>
      <c r="J263" s="543"/>
      <c r="K263" s="543"/>
      <c r="L263" s="543"/>
      <c r="M263" s="617">
        <f t="shared" si="22"/>
        <v>0</v>
      </c>
      <c r="N263" s="542"/>
      <c r="O263" s="541"/>
      <c r="P263" s="540"/>
      <c r="Q263" s="540"/>
      <c r="R263" s="539"/>
    </row>
    <row r="264" spans="1:18" ht="16.149999999999999" hidden="1" customHeight="1" x14ac:dyDescent="0.35">
      <c r="A264" s="693">
        <f t="shared" ref="A264:A307" si="23">ROUNDUP(B264/12,0)</f>
        <v>22</v>
      </c>
      <c r="B264" s="691">
        <f t="shared" si="21"/>
        <v>257</v>
      </c>
      <c r="C264" s="540"/>
      <c r="D264" s="540"/>
      <c r="E264" s="540"/>
      <c r="F264" s="540"/>
      <c r="G264" s="540"/>
      <c r="H264" s="617">
        <f t="shared" ref="H264:H307" si="24">SUM(C264:G264)</f>
        <v>0</v>
      </c>
      <c r="I264" s="543"/>
      <c r="J264" s="543"/>
      <c r="K264" s="543"/>
      <c r="L264" s="543"/>
      <c r="M264" s="617">
        <f t="shared" si="22"/>
        <v>0</v>
      </c>
      <c r="N264" s="542"/>
      <c r="O264" s="541"/>
      <c r="P264" s="540"/>
      <c r="Q264" s="540"/>
      <c r="R264" s="539"/>
    </row>
    <row r="265" spans="1:18" ht="16.149999999999999" hidden="1" customHeight="1" x14ac:dyDescent="0.35">
      <c r="A265" s="693">
        <f t="shared" si="23"/>
        <v>22</v>
      </c>
      <c r="B265" s="691">
        <f t="shared" ref="B265:B307" si="25">B264+1</f>
        <v>258</v>
      </c>
      <c r="C265" s="540"/>
      <c r="D265" s="540"/>
      <c r="E265" s="540"/>
      <c r="F265" s="540"/>
      <c r="G265" s="540"/>
      <c r="H265" s="617">
        <f t="shared" si="24"/>
        <v>0</v>
      </c>
      <c r="I265" s="543"/>
      <c r="J265" s="543"/>
      <c r="K265" s="543"/>
      <c r="L265" s="543"/>
      <c r="M265" s="617">
        <f t="shared" si="22"/>
        <v>0</v>
      </c>
      <c r="N265" s="542"/>
      <c r="O265" s="541"/>
      <c r="P265" s="540"/>
      <c r="Q265" s="540"/>
      <c r="R265" s="539"/>
    </row>
    <row r="266" spans="1:18" ht="16.149999999999999" hidden="1" customHeight="1" x14ac:dyDescent="0.35">
      <c r="A266" s="693">
        <f t="shared" si="23"/>
        <v>22</v>
      </c>
      <c r="B266" s="691">
        <f t="shared" si="25"/>
        <v>259</v>
      </c>
      <c r="C266" s="540"/>
      <c r="D266" s="540"/>
      <c r="E266" s="540"/>
      <c r="F266" s="540"/>
      <c r="G266" s="540"/>
      <c r="H266" s="617">
        <f t="shared" si="24"/>
        <v>0</v>
      </c>
      <c r="I266" s="543"/>
      <c r="J266" s="543"/>
      <c r="K266" s="543"/>
      <c r="L266" s="543"/>
      <c r="M266" s="617">
        <f t="shared" si="22"/>
        <v>0</v>
      </c>
      <c r="N266" s="542"/>
      <c r="O266" s="541"/>
      <c r="P266" s="540"/>
      <c r="Q266" s="540"/>
      <c r="R266" s="539"/>
    </row>
    <row r="267" spans="1:18" ht="16.149999999999999" hidden="1" customHeight="1" x14ac:dyDescent="0.35">
      <c r="A267" s="693">
        <f t="shared" si="23"/>
        <v>22</v>
      </c>
      <c r="B267" s="691">
        <f t="shared" si="25"/>
        <v>260</v>
      </c>
      <c r="C267" s="540"/>
      <c r="D267" s="540"/>
      <c r="E267" s="540"/>
      <c r="F267" s="540"/>
      <c r="G267" s="540"/>
      <c r="H267" s="617">
        <f t="shared" si="24"/>
        <v>0</v>
      </c>
      <c r="I267" s="543"/>
      <c r="J267" s="543"/>
      <c r="K267" s="543"/>
      <c r="L267" s="543"/>
      <c r="M267" s="617">
        <f t="shared" si="22"/>
        <v>0</v>
      </c>
      <c r="N267" s="542"/>
      <c r="O267" s="541"/>
      <c r="P267" s="540"/>
      <c r="Q267" s="540"/>
      <c r="R267" s="539"/>
    </row>
    <row r="268" spans="1:18" ht="16.149999999999999" hidden="1" customHeight="1" x14ac:dyDescent="0.35">
      <c r="A268" s="693">
        <f t="shared" si="23"/>
        <v>22</v>
      </c>
      <c r="B268" s="691">
        <f t="shared" si="25"/>
        <v>261</v>
      </c>
      <c r="C268" s="540"/>
      <c r="D268" s="540"/>
      <c r="E268" s="540"/>
      <c r="F268" s="540"/>
      <c r="G268" s="540"/>
      <c r="H268" s="617">
        <f t="shared" si="24"/>
        <v>0</v>
      </c>
      <c r="I268" s="543"/>
      <c r="J268" s="543"/>
      <c r="K268" s="543"/>
      <c r="L268" s="543"/>
      <c r="M268" s="617">
        <f t="shared" si="22"/>
        <v>0</v>
      </c>
      <c r="N268" s="542"/>
      <c r="O268" s="541"/>
      <c r="P268" s="540"/>
      <c r="Q268" s="540"/>
      <c r="R268" s="539"/>
    </row>
    <row r="269" spans="1:18" ht="16.149999999999999" hidden="1" customHeight="1" x14ac:dyDescent="0.35">
      <c r="A269" s="693">
        <f t="shared" si="23"/>
        <v>22</v>
      </c>
      <c r="B269" s="691">
        <f t="shared" si="25"/>
        <v>262</v>
      </c>
      <c r="C269" s="540"/>
      <c r="D269" s="540"/>
      <c r="E269" s="540"/>
      <c r="F269" s="540"/>
      <c r="G269" s="540"/>
      <c r="H269" s="617">
        <f t="shared" si="24"/>
        <v>0</v>
      </c>
      <c r="I269" s="543"/>
      <c r="J269" s="543"/>
      <c r="K269" s="543"/>
      <c r="L269" s="543"/>
      <c r="M269" s="617">
        <f t="shared" si="22"/>
        <v>0</v>
      </c>
      <c r="N269" s="542"/>
      <c r="O269" s="541"/>
      <c r="P269" s="540"/>
      <c r="Q269" s="540"/>
      <c r="R269" s="539"/>
    </row>
    <row r="270" spans="1:18" ht="16.149999999999999" hidden="1" customHeight="1" x14ac:dyDescent="0.35">
      <c r="A270" s="693">
        <f t="shared" si="23"/>
        <v>22</v>
      </c>
      <c r="B270" s="691">
        <f t="shared" si="25"/>
        <v>263</v>
      </c>
      <c r="C270" s="540"/>
      <c r="D270" s="540"/>
      <c r="E270" s="540"/>
      <c r="F270" s="540"/>
      <c r="G270" s="540"/>
      <c r="H270" s="617">
        <f t="shared" si="24"/>
        <v>0</v>
      </c>
      <c r="I270" s="543"/>
      <c r="J270" s="543"/>
      <c r="K270" s="543"/>
      <c r="L270" s="543"/>
      <c r="M270" s="617">
        <f t="shared" si="22"/>
        <v>0</v>
      </c>
      <c r="N270" s="542"/>
      <c r="O270" s="541"/>
      <c r="P270" s="540"/>
      <c r="Q270" s="540"/>
      <c r="R270" s="539"/>
    </row>
    <row r="271" spans="1:18" ht="16.149999999999999" hidden="1" customHeight="1" x14ac:dyDescent="0.35">
      <c r="A271" s="693">
        <f t="shared" si="23"/>
        <v>22</v>
      </c>
      <c r="B271" s="691">
        <f t="shared" si="25"/>
        <v>264</v>
      </c>
      <c r="C271" s="540"/>
      <c r="D271" s="540"/>
      <c r="E271" s="540"/>
      <c r="F271" s="540"/>
      <c r="G271" s="540"/>
      <c r="H271" s="617">
        <f t="shared" si="24"/>
        <v>0</v>
      </c>
      <c r="I271" s="543"/>
      <c r="J271" s="543"/>
      <c r="K271" s="543"/>
      <c r="L271" s="543"/>
      <c r="M271" s="617">
        <f t="shared" si="22"/>
        <v>0</v>
      </c>
      <c r="N271" s="542"/>
      <c r="O271" s="541"/>
      <c r="P271" s="540"/>
      <c r="Q271" s="540"/>
      <c r="R271" s="539"/>
    </row>
    <row r="272" spans="1:18" ht="16.149999999999999" hidden="1" customHeight="1" x14ac:dyDescent="0.35">
      <c r="A272" s="693">
        <f t="shared" si="23"/>
        <v>23</v>
      </c>
      <c r="B272" s="691">
        <f t="shared" si="25"/>
        <v>265</v>
      </c>
      <c r="C272" s="540"/>
      <c r="D272" s="540"/>
      <c r="E272" s="540"/>
      <c r="F272" s="540"/>
      <c r="G272" s="540"/>
      <c r="H272" s="617">
        <f t="shared" si="24"/>
        <v>0</v>
      </c>
      <c r="I272" s="543"/>
      <c r="J272" s="543"/>
      <c r="K272" s="543"/>
      <c r="L272" s="543"/>
      <c r="M272" s="617">
        <f t="shared" si="22"/>
        <v>0</v>
      </c>
      <c r="N272" s="542"/>
      <c r="O272" s="541"/>
      <c r="P272" s="540"/>
      <c r="Q272" s="540"/>
      <c r="R272" s="539"/>
    </row>
    <row r="273" spans="1:18" ht="16.149999999999999" hidden="1" customHeight="1" x14ac:dyDescent="0.35">
      <c r="A273" s="693">
        <f t="shared" si="23"/>
        <v>23</v>
      </c>
      <c r="B273" s="691">
        <f t="shared" si="25"/>
        <v>266</v>
      </c>
      <c r="C273" s="540"/>
      <c r="D273" s="540"/>
      <c r="E273" s="540"/>
      <c r="F273" s="540"/>
      <c r="G273" s="540"/>
      <c r="H273" s="617">
        <f t="shared" si="24"/>
        <v>0</v>
      </c>
      <c r="I273" s="543"/>
      <c r="J273" s="543"/>
      <c r="K273" s="543"/>
      <c r="L273" s="543"/>
      <c r="M273" s="617">
        <f t="shared" si="22"/>
        <v>0</v>
      </c>
      <c r="N273" s="542"/>
      <c r="O273" s="541"/>
      <c r="P273" s="540"/>
      <c r="Q273" s="540"/>
      <c r="R273" s="539"/>
    </row>
    <row r="274" spans="1:18" ht="16.149999999999999" hidden="1" customHeight="1" x14ac:dyDescent="0.35">
      <c r="A274" s="693">
        <f t="shared" si="23"/>
        <v>23</v>
      </c>
      <c r="B274" s="691">
        <f t="shared" si="25"/>
        <v>267</v>
      </c>
      <c r="C274" s="540"/>
      <c r="D274" s="540"/>
      <c r="E274" s="540"/>
      <c r="F274" s="540"/>
      <c r="G274" s="540"/>
      <c r="H274" s="617">
        <f t="shared" si="24"/>
        <v>0</v>
      </c>
      <c r="I274" s="543"/>
      <c r="J274" s="543"/>
      <c r="K274" s="543"/>
      <c r="L274" s="543"/>
      <c r="M274" s="617">
        <f t="shared" si="22"/>
        <v>0</v>
      </c>
      <c r="N274" s="542"/>
      <c r="O274" s="541"/>
      <c r="P274" s="540"/>
      <c r="Q274" s="540"/>
      <c r="R274" s="539"/>
    </row>
    <row r="275" spans="1:18" ht="16.149999999999999" hidden="1" customHeight="1" x14ac:dyDescent="0.35">
      <c r="A275" s="693">
        <f t="shared" si="23"/>
        <v>23</v>
      </c>
      <c r="B275" s="691">
        <f t="shared" si="25"/>
        <v>268</v>
      </c>
      <c r="C275" s="540"/>
      <c r="D275" s="540"/>
      <c r="E275" s="540"/>
      <c r="F275" s="540"/>
      <c r="G275" s="540"/>
      <c r="H275" s="617">
        <f t="shared" si="24"/>
        <v>0</v>
      </c>
      <c r="I275" s="543"/>
      <c r="J275" s="543"/>
      <c r="K275" s="543"/>
      <c r="L275" s="543"/>
      <c r="M275" s="617">
        <f t="shared" si="22"/>
        <v>0</v>
      </c>
      <c r="N275" s="542"/>
      <c r="O275" s="541"/>
      <c r="P275" s="540"/>
      <c r="Q275" s="540"/>
      <c r="R275" s="539"/>
    </row>
    <row r="276" spans="1:18" ht="16.149999999999999" hidden="1" customHeight="1" x14ac:dyDescent="0.35">
      <c r="A276" s="693">
        <f t="shared" si="23"/>
        <v>23</v>
      </c>
      <c r="B276" s="691">
        <f t="shared" si="25"/>
        <v>269</v>
      </c>
      <c r="C276" s="540"/>
      <c r="D276" s="540"/>
      <c r="E276" s="540"/>
      <c r="F276" s="540"/>
      <c r="G276" s="540"/>
      <c r="H276" s="617">
        <f t="shared" si="24"/>
        <v>0</v>
      </c>
      <c r="I276" s="543"/>
      <c r="J276" s="543"/>
      <c r="K276" s="543"/>
      <c r="L276" s="543"/>
      <c r="M276" s="617">
        <f t="shared" si="22"/>
        <v>0</v>
      </c>
      <c r="N276" s="542"/>
      <c r="O276" s="541"/>
      <c r="P276" s="540"/>
      <c r="Q276" s="540"/>
      <c r="R276" s="539"/>
    </row>
    <row r="277" spans="1:18" ht="16.149999999999999" hidden="1" customHeight="1" x14ac:dyDescent="0.35">
      <c r="A277" s="693">
        <f t="shared" si="23"/>
        <v>23</v>
      </c>
      <c r="B277" s="691">
        <f t="shared" si="25"/>
        <v>270</v>
      </c>
      <c r="C277" s="540"/>
      <c r="D277" s="540"/>
      <c r="E277" s="540"/>
      <c r="F277" s="540"/>
      <c r="G277" s="540"/>
      <c r="H277" s="617">
        <f t="shared" si="24"/>
        <v>0</v>
      </c>
      <c r="I277" s="543"/>
      <c r="J277" s="543"/>
      <c r="K277" s="543"/>
      <c r="L277" s="543"/>
      <c r="M277" s="617">
        <f t="shared" si="22"/>
        <v>0</v>
      </c>
      <c r="N277" s="542"/>
      <c r="O277" s="541"/>
      <c r="P277" s="540"/>
      <c r="Q277" s="540"/>
      <c r="R277" s="539"/>
    </row>
    <row r="278" spans="1:18" ht="16.149999999999999" hidden="1" customHeight="1" x14ac:dyDescent="0.35">
      <c r="A278" s="693">
        <f t="shared" si="23"/>
        <v>23</v>
      </c>
      <c r="B278" s="691">
        <f t="shared" si="25"/>
        <v>271</v>
      </c>
      <c r="C278" s="540"/>
      <c r="D278" s="540"/>
      <c r="E278" s="540"/>
      <c r="F278" s="540"/>
      <c r="G278" s="540"/>
      <c r="H278" s="617">
        <f t="shared" si="24"/>
        <v>0</v>
      </c>
      <c r="I278" s="543"/>
      <c r="J278" s="543"/>
      <c r="K278" s="543"/>
      <c r="L278" s="543"/>
      <c r="M278" s="617">
        <f t="shared" si="22"/>
        <v>0</v>
      </c>
      <c r="N278" s="542"/>
      <c r="O278" s="541"/>
      <c r="P278" s="540"/>
      <c r="Q278" s="540"/>
      <c r="R278" s="539"/>
    </row>
    <row r="279" spans="1:18" ht="16.149999999999999" hidden="1" customHeight="1" x14ac:dyDescent="0.35">
      <c r="A279" s="693">
        <f t="shared" si="23"/>
        <v>23</v>
      </c>
      <c r="B279" s="691">
        <f t="shared" si="25"/>
        <v>272</v>
      </c>
      <c r="C279" s="540"/>
      <c r="D279" s="540"/>
      <c r="E279" s="540"/>
      <c r="F279" s="540"/>
      <c r="G279" s="540"/>
      <c r="H279" s="617">
        <f t="shared" si="24"/>
        <v>0</v>
      </c>
      <c r="I279" s="543"/>
      <c r="J279" s="543"/>
      <c r="K279" s="543"/>
      <c r="L279" s="543"/>
      <c r="M279" s="617">
        <f t="shared" si="22"/>
        <v>0</v>
      </c>
      <c r="N279" s="542"/>
      <c r="O279" s="541"/>
      <c r="P279" s="540"/>
      <c r="Q279" s="540"/>
      <c r="R279" s="539"/>
    </row>
    <row r="280" spans="1:18" ht="16.149999999999999" hidden="1" customHeight="1" x14ac:dyDescent="0.35">
      <c r="A280" s="693">
        <f t="shared" si="23"/>
        <v>23</v>
      </c>
      <c r="B280" s="691">
        <f t="shared" si="25"/>
        <v>273</v>
      </c>
      <c r="C280" s="540"/>
      <c r="D280" s="540"/>
      <c r="E280" s="540"/>
      <c r="F280" s="540"/>
      <c r="G280" s="540"/>
      <c r="H280" s="617">
        <f t="shared" si="24"/>
        <v>0</v>
      </c>
      <c r="I280" s="543"/>
      <c r="J280" s="543"/>
      <c r="K280" s="543"/>
      <c r="L280" s="543"/>
      <c r="M280" s="617">
        <f t="shared" si="22"/>
        <v>0</v>
      </c>
      <c r="N280" s="542"/>
      <c r="O280" s="541"/>
      <c r="P280" s="540"/>
      <c r="Q280" s="540"/>
      <c r="R280" s="539"/>
    </row>
    <row r="281" spans="1:18" ht="16.149999999999999" hidden="1" customHeight="1" x14ac:dyDescent="0.35">
      <c r="A281" s="693">
        <f t="shared" si="23"/>
        <v>23</v>
      </c>
      <c r="B281" s="691">
        <f t="shared" si="25"/>
        <v>274</v>
      </c>
      <c r="C281" s="540"/>
      <c r="D281" s="540"/>
      <c r="E281" s="540"/>
      <c r="F281" s="540"/>
      <c r="G281" s="540"/>
      <c r="H281" s="617">
        <f t="shared" si="24"/>
        <v>0</v>
      </c>
      <c r="I281" s="543"/>
      <c r="J281" s="543"/>
      <c r="K281" s="543"/>
      <c r="L281" s="543"/>
      <c r="M281" s="617">
        <f t="shared" si="22"/>
        <v>0</v>
      </c>
      <c r="N281" s="542"/>
      <c r="O281" s="541"/>
      <c r="P281" s="540"/>
      <c r="Q281" s="540"/>
      <c r="R281" s="539"/>
    </row>
    <row r="282" spans="1:18" ht="16.149999999999999" hidden="1" customHeight="1" x14ac:dyDescent="0.35">
      <c r="A282" s="693">
        <f t="shared" si="23"/>
        <v>23</v>
      </c>
      <c r="B282" s="691">
        <f t="shared" si="25"/>
        <v>275</v>
      </c>
      <c r="C282" s="540"/>
      <c r="D282" s="540"/>
      <c r="E282" s="540"/>
      <c r="F282" s="540"/>
      <c r="G282" s="540"/>
      <c r="H282" s="617">
        <f t="shared" si="24"/>
        <v>0</v>
      </c>
      <c r="I282" s="543"/>
      <c r="J282" s="543"/>
      <c r="K282" s="543"/>
      <c r="L282" s="543"/>
      <c r="M282" s="617">
        <f t="shared" si="22"/>
        <v>0</v>
      </c>
      <c r="N282" s="542"/>
      <c r="O282" s="541"/>
      <c r="P282" s="540"/>
      <c r="Q282" s="540"/>
      <c r="R282" s="539"/>
    </row>
    <row r="283" spans="1:18" ht="16.149999999999999" hidden="1" customHeight="1" x14ac:dyDescent="0.35">
      <c r="A283" s="693">
        <f t="shared" si="23"/>
        <v>23</v>
      </c>
      <c r="B283" s="691">
        <f t="shared" si="25"/>
        <v>276</v>
      </c>
      <c r="C283" s="540"/>
      <c r="D283" s="540"/>
      <c r="E283" s="540"/>
      <c r="F283" s="540"/>
      <c r="G283" s="540"/>
      <c r="H283" s="617">
        <f t="shared" si="24"/>
        <v>0</v>
      </c>
      <c r="I283" s="543"/>
      <c r="J283" s="543"/>
      <c r="K283" s="543"/>
      <c r="L283" s="543"/>
      <c r="M283" s="617">
        <f t="shared" si="22"/>
        <v>0</v>
      </c>
      <c r="N283" s="542"/>
      <c r="O283" s="541"/>
      <c r="P283" s="540"/>
      <c r="Q283" s="540"/>
      <c r="R283" s="539"/>
    </row>
    <row r="284" spans="1:18" ht="16.149999999999999" hidden="1" customHeight="1" x14ac:dyDescent="0.35">
      <c r="A284" s="693">
        <f t="shared" si="23"/>
        <v>24</v>
      </c>
      <c r="B284" s="691">
        <f t="shared" si="25"/>
        <v>277</v>
      </c>
      <c r="C284" s="540"/>
      <c r="D284" s="540"/>
      <c r="E284" s="540"/>
      <c r="F284" s="540"/>
      <c r="G284" s="540"/>
      <c r="H284" s="617">
        <f t="shared" si="24"/>
        <v>0</v>
      </c>
      <c r="I284" s="543"/>
      <c r="J284" s="543"/>
      <c r="K284" s="543"/>
      <c r="L284" s="543"/>
      <c r="M284" s="617">
        <f t="shared" si="22"/>
        <v>0</v>
      </c>
      <c r="N284" s="542"/>
      <c r="O284" s="541"/>
      <c r="P284" s="540"/>
      <c r="Q284" s="540"/>
      <c r="R284" s="539"/>
    </row>
    <row r="285" spans="1:18" ht="16.149999999999999" hidden="1" customHeight="1" x14ac:dyDescent="0.35">
      <c r="A285" s="693">
        <f t="shared" si="23"/>
        <v>24</v>
      </c>
      <c r="B285" s="691">
        <f t="shared" si="25"/>
        <v>278</v>
      </c>
      <c r="C285" s="540"/>
      <c r="D285" s="540"/>
      <c r="E285" s="540"/>
      <c r="F285" s="540"/>
      <c r="G285" s="540"/>
      <c r="H285" s="617">
        <f t="shared" si="24"/>
        <v>0</v>
      </c>
      <c r="I285" s="543"/>
      <c r="J285" s="543"/>
      <c r="K285" s="543"/>
      <c r="L285" s="543"/>
      <c r="M285" s="617">
        <f t="shared" si="22"/>
        <v>0</v>
      </c>
      <c r="N285" s="542"/>
      <c r="O285" s="541"/>
      <c r="P285" s="540"/>
      <c r="Q285" s="540"/>
      <c r="R285" s="539"/>
    </row>
    <row r="286" spans="1:18" ht="16.149999999999999" hidden="1" customHeight="1" x14ac:dyDescent="0.35">
      <c r="A286" s="693">
        <f t="shared" si="23"/>
        <v>24</v>
      </c>
      <c r="B286" s="691">
        <f t="shared" si="25"/>
        <v>279</v>
      </c>
      <c r="C286" s="540"/>
      <c r="D286" s="540"/>
      <c r="E286" s="540"/>
      <c r="F286" s="540"/>
      <c r="G286" s="540"/>
      <c r="H286" s="617">
        <f t="shared" si="24"/>
        <v>0</v>
      </c>
      <c r="I286" s="543"/>
      <c r="J286" s="543"/>
      <c r="K286" s="543"/>
      <c r="L286" s="543"/>
      <c r="M286" s="617">
        <f t="shared" si="22"/>
        <v>0</v>
      </c>
      <c r="N286" s="542"/>
      <c r="O286" s="541"/>
      <c r="P286" s="540"/>
      <c r="Q286" s="540"/>
      <c r="R286" s="539"/>
    </row>
    <row r="287" spans="1:18" ht="16.149999999999999" hidden="1" customHeight="1" x14ac:dyDescent="0.35">
      <c r="A287" s="693">
        <f t="shared" si="23"/>
        <v>24</v>
      </c>
      <c r="B287" s="691">
        <f t="shared" si="25"/>
        <v>280</v>
      </c>
      <c r="C287" s="540"/>
      <c r="D287" s="540"/>
      <c r="E287" s="540"/>
      <c r="F287" s="540"/>
      <c r="G287" s="540"/>
      <c r="H287" s="617">
        <f t="shared" si="24"/>
        <v>0</v>
      </c>
      <c r="I287" s="543"/>
      <c r="J287" s="543"/>
      <c r="K287" s="543"/>
      <c r="L287" s="543"/>
      <c r="M287" s="617">
        <f t="shared" si="22"/>
        <v>0</v>
      </c>
      <c r="N287" s="542"/>
      <c r="O287" s="541"/>
      <c r="P287" s="540"/>
      <c r="Q287" s="540"/>
      <c r="R287" s="539"/>
    </row>
    <row r="288" spans="1:18" ht="16.149999999999999" hidden="1" customHeight="1" x14ac:dyDescent="0.35">
      <c r="A288" s="693">
        <f t="shared" si="23"/>
        <v>24</v>
      </c>
      <c r="B288" s="691">
        <f t="shared" si="25"/>
        <v>281</v>
      </c>
      <c r="C288" s="540"/>
      <c r="D288" s="540"/>
      <c r="E288" s="540"/>
      <c r="F288" s="540"/>
      <c r="G288" s="540"/>
      <c r="H288" s="617">
        <f t="shared" si="24"/>
        <v>0</v>
      </c>
      <c r="I288" s="543"/>
      <c r="J288" s="543"/>
      <c r="K288" s="543"/>
      <c r="L288" s="543"/>
      <c r="M288" s="617">
        <f t="shared" ref="M288:M307" si="26">SUM(C288:G288)</f>
        <v>0</v>
      </c>
      <c r="N288" s="542"/>
      <c r="O288" s="541"/>
      <c r="P288" s="540"/>
      <c r="Q288" s="540"/>
      <c r="R288" s="539"/>
    </row>
    <row r="289" spans="1:18" ht="16.149999999999999" hidden="1" customHeight="1" x14ac:dyDescent="0.35">
      <c r="A289" s="693">
        <f t="shared" si="23"/>
        <v>24</v>
      </c>
      <c r="B289" s="691">
        <f t="shared" si="25"/>
        <v>282</v>
      </c>
      <c r="C289" s="540"/>
      <c r="D289" s="540"/>
      <c r="E289" s="540"/>
      <c r="F289" s="540"/>
      <c r="G289" s="540"/>
      <c r="H289" s="617">
        <f t="shared" si="24"/>
        <v>0</v>
      </c>
      <c r="I289" s="543"/>
      <c r="J289" s="543"/>
      <c r="K289" s="543"/>
      <c r="L289" s="543"/>
      <c r="M289" s="617">
        <f t="shared" si="26"/>
        <v>0</v>
      </c>
      <c r="N289" s="542"/>
      <c r="O289" s="541"/>
      <c r="P289" s="540"/>
      <c r="Q289" s="540"/>
      <c r="R289" s="539"/>
    </row>
    <row r="290" spans="1:18" ht="16.149999999999999" hidden="1" customHeight="1" x14ac:dyDescent="0.35">
      <c r="A290" s="693">
        <f t="shared" si="23"/>
        <v>24</v>
      </c>
      <c r="B290" s="691">
        <f t="shared" si="25"/>
        <v>283</v>
      </c>
      <c r="C290" s="540"/>
      <c r="D290" s="540"/>
      <c r="E290" s="540"/>
      <c r="F290" s="540"/>
      <c r="G290" s="540"/>
      <c r="H290" s="617">
        <f t="shared" si="24"/>
        <v>0</v>
      </c>
      <c r="I290" s="543"/>
      <c r="J290" s="543"/>
      <c r="K290" s="543"/>
      <c r="L290" s="543"/>
      <c r="M290" s="617">
        <f t="shared" si="26"/>
        <v>0</v>
      </c>
      <c r="N290" s="542"/>
      <c r="O290" s="541"/>
      <c r="P290" s="540"/>
      <c r="Q290" s="540"/>
      <c r="R290" s="539"/>
    </row>
    <row r="291" spans="1:18" ht="16.149999999999999" hidden="1" customHeight="1" x14ac:dyDescent="0.35">
      <c r="A291" s="693">
        <f t="shared" si="23"/>
        <v>24</v>
      </c>
      <c r="B291" s="691">
        <f t="shared" si="25"/>
        <v>284</v>
      </c>
      <c r="C291" s="540"/>
      <c r="D291" s="540"/>
      <c r="E291" s="540"/>
      <c r="F291" s="540"/>
      <c r="G291" s="540"/>
      <c r="H291" s="617">
        <f t="shared" si="24"/>
        <v>0</v>
      </c>
      <c r="I291" s="543"/>
      <c r="J291" s="543"/>
      <c r="K291" s="543"/>
      <c r="L291" s="543"/>
      <c r="M291" s="617">
        <f t="shared" si="26"/>
        <v>0</v>
      </c>
      <c r="N291" s="542"/>
      <c r="O291" s="541"/>
      <c r="P291" s="540"/>
      <c r="Q291" s="540"/>
      <c r="R291" s="539"/>
    </row>
    <row r="292" spans="1:18" ht="16.149999999999999" hidden="1" customHeight="1" x14ac:dyDescent="0.35">
      <c r="A292" s="693">
        <f t="shared" si="23"/>
        <v>24</v>
      </c>
      <c r="B292" s="691">
        <f t="shared" si="25"/>
        <v>285</v>
      </c>
      <c r="C292" s="540"/>
      <c r="D292" s="540"/>
      <c r="E292" s="540"/>
      <c r="F292" s="540"/>
      <c r="G292" s="540"/>
      <c r="H292" s="617">
        <f t="shared" si="24"/>
        <v>0</v>
      </c>
      <c r="I292" s="543"/>
      <c r="J292" s="543"/>
      <c r="K292" s="543"/>
      <c r="L292" s="543"/>
      <c r="M292" s="617">
        <f t="shared" si="26"/>
        <v>0</v>
      </c>
      <c r="N292" s="542"/>
      <c r="O292" s="541"/>
      <c r="P292" s="540"/>
      <c r="Q292" s="540"/>
      <c r="R292" s="539"/>
    </row>
    <row r="293" spans="1:18" ht="16.149999999999999" hidden="1" customHeight="1" x14ac:dyDescent="0.35">
      <c r="A293" s="693">
        <f t="shared" si="23"/>
        <v>24</v>
      </c>
      <c r="B293" s="691">
        <f t="shared" si="25"/>
        <v>286</v>
      </c>
      <c r="C293" s="540"/>
      <c r="D293" s="540"/>
      <c r="E293" s="540"/>
      <c r="F293" s="540"/>
      <c r="G293" s="540"/>
      <c r="H293" s="617">
        <f t="shared" si="24"/>
        <v>0</v>
      </c>
      <c r="I293" s="543"/>
      <c r="J293" s="543"/>
      <c r="K293" s="543"/>
      <c r="L293" s="543"/>
      <c r="M293" s="617">
        <f t="shared" si="26"/>
        <v>0</v>
      </c>
      <c r="N293" s="542"/>
      <c r="O293" s="541"/>
      <c r="P293" s="540"/>
      <c r="Q293" s="540"/>
      <c r="R293" s="539"/>
    </row>
    <row r="294" spans="1:18" ht="16.149999999999999" hidden="1" customHeight="1" x14ac:dyDescent="0.35">
      <c r="A294" s="693">
        <f t="shared" si="23"/>
        <v>24</v>
      </c>
      <c r="B294" s="691">
        <f t="shared" si="25"/>
        <v>287</v>
      </c>
      <c r="C294" s="540"/>
      <c r="D294" s="540"/>
      <c r="E294" s="540"/>
      <c r="F294" s="540"/>
      <c r="G294" s="540"/>
      <c r="H294" s="617">
        <f t="shared" si="24"/>
        <v>0</v>
      </c>
      <c r="I294" s="543"/>
      <c r="J294" s="543"/>
      <c r="K294" s="543"/>
      <c r="L294" s="543"/>
      <c r="M294" s="617">
        <f t="shared" si="26"/>
        <v>0</v>
      </c>
      <c r="N294" s="542"/>
      <c r="O294" s="541"/>
      <c r="P294" s="540"/>
      <c r="Q294" s="540"/>
      <c r="R294" s="539"/>
    </row>
    <row r="295" spans="1:18" ht="16.149999999999999" hidden="1" customHeight="1" x14ac:dyDescent="0.35">
      <c r="A295" s="693">
        <f t="shared" si="23"/>
        <v>24</v>
      </c>
      <c r="B295" s="691">
        <f t="shared" si="25"/>
        <v>288</v>
      </c>
      <c r="C295" s="540"/>
      <c r="D295" s="540"/>
      <c r="E295" s="540"/>
      <c r="F295" s="540"/>
      <c r="G295" s="540"/>
      <c r="H295" s="617">
        <f t="shared" si="24"/>
        <v>0</v>
      </c>
      <c r="I295" s="543"/>
      <c r="J295" s="543"/>
      <c r="K295" s="543"/>
      <c r="L295" s="543"/>
      <c r="M295" s="617">
        <f t="shared" si="26"/>
        <v>0</v>
      </c>
      <c r="N295" s="542"/>
      <c r="O295" s="541"/>
      <c r="P295" s="540"/>
      <c r="Q295" s="540"/>
      <c r="R295" s="539"/>
    </row>
    <row r="296" spans="1:18" ht="16.149999999999999" hidden="1" customHeight="1" x14ac:dyDescent="0.35">
      <c r="A296" s="693">
        <f t="shared" si="23"/>
        <v>25</v>
      </c>
      <c r="B296" s="691">
        <f t="shared" si="25"/>
        <v>289</v>
      </c>
      <c r="C296" s="540"/>
      <c r="D296" s="540"/>
      <c r="E296" s="540"/>
      <c r="F296" s="540"/>
      <c r="G296" s="540"/>
      <c r="H296" s="617">
        <f t="shared" si="24"/>
        <v>0</v>
      </c>
      <c r="I296" s="543"/>
      <c r="J296" s="543"/>
      <c r="K296" s="543"/>
      <c r="L296" s="543"/>
      <c r="M296" s="617">
        <f t="shared" si="26"/>
        <v>0</v>
      </c>
      <c r="N296" s="542"/>
      <c r="O296" s="541"/>
      <c r="P296" s="540"/>
      <c r="Q296" s="540"/>
      <c r="R296" s="539"/>
    </row>
    <row r="297" spans="1:18" ht="16.149999999999999" hidden="1" customHeight="1" x14ac:dyDescent="0.35">
      <c r="A297" s="693">
        <f t="shared" si="23"/>
        <v>25</v>
      </c>
      <c r="B297" s="691">
        <f t="shared" si="25"/>
        <v>290</v>
      </c>
      <c r="C297" s="540"/>
      <c r="D297" s="540"/>
      <c r="E297" s="540"/>
      <c r="F297" s="540"/>
      <c r="G297" s="540"/>
      <c r="H297" s="617">
        <f t="shared" si="24"/>
        <v>0</v>
      </c>
      <c r="I297" s="543"/>
      <c r="J297" s="543"/>
      <c r="K297" s="543"/>
      <c r="L297" s="543"/>
      <c r="M297" s="617">
        <f t="shared" si="26"/>
        <v>0</v>
      </c>
      <c r="N297" s="542"/>
      <c r="O297" s="541"/>
      <c r="P297" s="540"/>
      <c r="Q297" s="540"/>
      <c r="R297" s="539"/>
    </row>
    <row r="298" spans="1:18" ht="16.149999999999999" hidden="1" customHeight="1" x14ac:dyDescent="0.35">
      <c r="A298" s="693">
        <f t="shared" si="23"/>
        <v>25</v>
      </c>
      <c r="B298" s="691">
        <f t="shared" si="25"/>
        <v>291</v>
      </c>
      <c r="C298" s="540"/>
      <c r="D298" s="540"/>
      <c r="E298" s="540"/>
      <c r="F298" s="540"/>
      <c r="G298" s="540"/>
      <c r="H298" s="617">
        <f t="shared" si="24"/>
        <v>0</v>
      </c>
      <c r="I298" s="543"/>
      <c r="J298" s="543"/>
      <c r="K298" s="543"/>
      <c r="L298" s="543"/>
      <c r="M298" s="617">
        <f t="shared" si="26"/>
        <v>0</v>
      </c>
      <c r="N298" s="542"/>
      <c r="O298" s="541"/>
      <c r="P298" s="540"/>
      <c r="Q298" s="540"/>
      <c r="R298" s="539"/>
    </row>
    <row r="299" spans="1:18" ht="16.149999999999999" hidden="1" customHeight="1" x14ac:dyDescent="0.35">
      <c r="A299" s="693">
        <f t="shared" si="23"/>
        <v>25</v>
      </c>
      <c r="B299" s="691">
        <f t="shared" si="25"/>
        <v>292</v>
      </c>
      <c r="C299" s="540"/>
      <c r="D299" s="540"/>
      <c r="E299" s="540"/>
      <c r="F299" s="540"/>
      <c r="G299" s="540"/>
      <c r="H299" s="617">
        <f t="shared" si="24"/>
        <v>0</v>
      </c>
      <c r="I299" s="543"/>
      <c r="J299" s="543"/>
      <c r="K299" s="543"/>
      <c r="L299" s="543"/>
      <c r="M299" s="617">
        <f t="shared" si="26"/>
        <v>0</v>
      </c>
      <c r="N299" s="542"/>
      <c r="O299" s="541"/>
      <c r="P299" s="540"/>
      <c r="Q299" s="540"/>
      <c r="R299" s="539"/>
    </row>
    <row r="300" spans="1:18" ht="16.149999999999999" hidden="1" customHeight="1" x14ac:dyDescent="0.35">
      <c r="A300" s="693">
        <f t="shared" si="23"/>
        <v>25</v>
      </c>
      <c r="B300" s="691">
        <f t="shared" si="25"/>
        <v>293</v>
      </c>
      <c r="C300" s="540"/>
      <c r="D300" s="540"/>
      <c r="E300" s="540"/>
      <c r="F300" s="540"/>
      <c r="G300" s="540"/>
      <c r="H300" s="617">
        <f t="shared" si="24"/>
        <v>0</v>
      </c>
      <c r="I300" s="543"/>
      <c r="J300" s="543"/>
      <c r="K300" s="543"/>
      <c r="L300" s="543"/>
      <c r="M300" s="617">
        <f t="shared" si="26"/>
        <v>0</v>
      </c>
      <c r="N300" s="542"/>
      <c r="O300" s="541"/>
      <c r="P300" s="540"/>
      <c r="Q300" s="540"/>
      <c r="R300" s="539"/>
    </row>
    <row r="301" spans="1:18" ht="16.149999999999999" hidden="1" customHeight="1" x14ac:dyDescent="0.35">
      <c r="A301" s="693">
        <f t="shared" si="23"/>
        <v>25</v>
      </c>
      <c r="B301" s="691">
        <f t="shared" si="25"/>
        <v>294</v>
      </c>
      <c r="C301" s="540"/>
      <c r="D301" s="540"/>
      <c r="E301" s="540"/>
      <c r="F301" s="540"/>
      <c r="G301" s="540"/>
      <c r="H301" s="617">
        <f t="shared" si="24"/>
        <v>0</v>
      </c>
      <c r="I301" s="543"/>
      <c r="J301" s="543"/>
      <c r="K301" s="543"/>
      <c r="L301" s="543"/>
      <c r="M301" s="617">
        <f t="shared" si="26"/>
        <v>0</v>
      </c>
      <c r="N301" s="542"/>
      <c r="O301" s="541"/>
      <c r="P301" s="540"/>
      <c r="Q301" s="540"/>
      <c r="R301" s="539"/>
    </row>
    <row r="302" spans="1:18" ht="16.149999999999999" hidden="1" customHeight="1" x14ac:dyDescent="0.35">
      <c r="A302" s="693">
        <f t="shared" si="23"/>
        <v>25</v>
      </c>
      <c r="B302" s="691">
        <f t="shared" si="25"/>
        <v>295</v>
      </c>
      <c r="C302" s="540"/>
      <c r="D302" s="540"/>
      <c r="E302" s="540"/>
      <c r="F302" s="540"/>
      <c r="G302" s="540"/>
      <c r="H302" s="617">
        <f t="shared" si="24"/>
        <v>0</v>
      </c>
      <c r="I302" s="543"/>
      <c r="J302" s="543"/>
      <c r="K302" s="543"/>
      <c r="L302" s="543"/>
      <c r="M302" s="617">
        <f t="shared" si="26"/>
        <v>0</v>
      </c>
      <c r="N302" s="542"/>
      <c r="O302" s="541"/>
      <c r="P302" s="540"/>
      <c r="Q302" s="540"/>
      <c r="R302" s="539"/>
    </row>
    <row r="303" spans="1:18" ht="16.149999999999999" hidden="1" customHeight="1" x14ac:dyDescent="0.35">
      <c r="A303" s="693">
        <f t="shared" si="23"/>
        <v>25</v>
      </c>
      <c r="B303" s="691">
        <f t="shared" si="25"/>
        <v>296</v>
      </c>
      <c r="C303" s="540"/>
      <c r="D303" s="540"/>
      <c r="E303" s="540"/>
      <c r="F303" s="540"/>
      <c r="G303" s="540"/>
      <c r="H303" s="617">
        <f t="shared" si="24"/>
        <v>0</v>
      </c>
      <c r="I303" s="543"/>
      <c r="J303" s="543"/>
      <c r="K303" s="543"/>
      <c r="L303" s="543"/>
      <c r="M303" s="617">
        <f t="shared" si="26"/>
        <v>0</v>
      </c>
      <c r="N303" s="542"/>
      <c r="O303" s="541"/>
      <c r="P303" s="540"/>
      <c r="Q303" s="540"/>
      <c r="R303" s="539"/>
    </row>
    <row r="304" spans="1:18" ht="16.149999999999999" hidden="1" customHeight="1" x14ac:dyDescent="0.35">
      <c r="A304" s="693">
        <f t="shared" si="23"/>
        <v>25</v>
      </c>
      <c r="B304" s="691">
        <f t="shared" si="25"/>
        <v>297</v>
      </c>
      <c r="C304" s="540"/>
      <c r="D304" s="540"/>
      <c r="E304" s="540"/>
      <c r="F304" s="540"/>
      <c r="G304" s="540"/>
      <c r="H304" s="617">
        <f t="shared" si="24"/>
        <v>0</v>
      </c>
      <c r="I304" s="543"/>
      <c r="J304" s="543"/>
      <c r="K304" s="543"/>
      <c r="L304" s="543"/>
      <c r="M304" s="617">
        <f t="shared" si="26"/>
        <v>0</v>
      </c>
      <c r="N304" s="542"/>
      <c r="O304" s="541"/>
      <c r="P304" s="540"/>
      <c r="Q304" s="540"/>
      <c r="R304" s="539"/>
    </row>
    <row r="305" spans="1:18" ht="16.149999999999999" hidden="1" customHeight="1" x14ac:dyDescent="0.35">
      <c r="A305" s="693">
        <f t="shared" si="23"/>
        <v>25</v>
      </c>
      <c r="B305" s="691">
        <f t="shared" si="25"/>
        <v>298</v>
      </c>
      <c r="C305" s="540"/>
      <c r="D305" s="540"/>
      <c r="E305" s="540"/>
      <c r="F305" s="540"/>
      <c r="G305" s="540"/>
      <c r="H305" s="617">
        <f t="shared" si="24"/>
        <v>0</v>
      </c>
      <c r="I305" s="543"/>
      <c r="J305" s="543"/>
      <c r="K305" s="543"/>
      <c r="L305" s="543"/>
      <c r="M305" s="617">
        <f t="shared" si="26"/>
        <v>0</v>
      </c>
      <c r="N305" s="542"/>
      <c r="O305" s="541"/>
      <c r="P305" s="540"/>
      <c r="Q305" s="540"/>
      <c r="R305" s="539"/>
    </row>
    <row r="306" spans="1:18" ht="16.149999999999999" hidden="1" customHeight="1" x14ac:dyDescent="0.35">
      <c r="A306" s="693">
        <f t="shared" si="23"/>
        <v>25</v>
      </c>
      <c r="B306" s="691">
        <f t="shared" si="25"/>
        <v>299</v>
      </c>
      <c r="C306" s="540"/>
      <c r="D306" s="540"/>
      <c r="E306" s="540"/>
      <c r="F306" s="540"/>
      <c r="G306" s="540"/>
      <c r="H306" s="617">
        <f t="shared" si="24"/>
        <v>0</v>
      </c>
      <c r="I306" s="543"/>
      <c r="J306" s="543"/>
      <c r="K306" s="543"/>
      <c r="L306" s="543"/>
      <c r="M306" s="617">
        <f t="shared" si="26"/>
        <v>0</v>
      </c>
      <c r="N306" s="542"/>
      <c r="O306" s="541"/>
      <c r="P306" s="540"/>
      <c r="Q306" s="540"/>
      <c r="R306" s="539"/>
    </row>
    <row r="307" spans="1:18" ht="16.149999999999999" customHeight="1" x14ac:dyDescent="0.35">
      <c r="A307" s="694">
        <f t="shared" si="23"/>
        <v>25</v>
      </c>
      <c r="B307" s="692">
        <f t="shared" si="25"/>
        <v>300</v>
      </c>
      <c r="C307" s="535"/>
      <c r="D307" s="535"/>
      <c r="E307" s="535"/>
      <c r="F307" s="535"/>
      <c r="G307" s="535"/>
      <c r="H307" s="618">
        <f t="shared" si="24"/>
        <v>0</v>
      </c>
      <c r="I307" s="538"/>
      <c r="J307" s="538"/>
      <c r="K307" s="538"/>
      <c r="L307" s="538"/>
      <c r="M307" s="617">
        <f t="shared" si="26"/>
        <v>0</v>
      </c>
      <c r="N307" s="537"/>
      <c r="O307" s="536"/>
      <c r="P307" s="535"/>
      <c r="Q307" s="535"/>
      <c r="R307" s="534"/>
    </row>
    <row r="308" spans="1:18" ht="16.149999999999999" customHeight="1" thickBot="1" x14ac:dyDescent="0.4">
      <c r="A308" s="533"/>
      <c r="B308" s="532"/>
      <c r="C308" s="528">
        <f t="shared" ref="C308:H308" si="27">SUM(C8:C307)</f>
        <v>904076.9737197503</v>
      </c>
      <c r="D308" s="528">
        <f t="shared" si="27"/>
        <v>71569.759999999995</v>
      </c>
      <c r="E308" s="528">
        <f t="shared" si="27"/>
        <v>30000</v>
      </c>
      <c r="F308" s="528">
        <f t="shared" si="27"/>
        <v>30000</v>
      </c>
      <c r="G308" s="528">
        <f t="shared" si="27"/>
        <v>0</v>
      </c>
      <c r="H308" s="527">
        <f t="shared" si="27"/>
        <v>1035646.7337197503</v>
      </c>
      <c r="I308" s="531"/>
      <c r="J308" s="531"/>
      <c r="K308" s="531"/>
      <c r="L308" s="531"/>
      <c r="M308" s="527">
        <f>SUM(M8:M307)</f>
        <v>1050185.0385065498</v>
      </c>
      <c r="N308" s="530">
        <f>SUM(N8:N307)</f>
        <v>183723.05570130987</v>
      </c>
      <c r="O308" s="529"/>
      <c r="P308" s="528">
        <f>SUM(P8:P307)</f>
        <v>734892.22280523949</v>
      </c>
      <c r="Q308" s="528"/>
      <c r="R308" s="527"/>
    </row>
  </sheetData>
  <printOptions horizontalCentered="1"/>
  <pageMargins left="0.2" right="0.2" top="0.25" bottom="0.25" header="0.3" footer="0.3"/>
  <pageSetup paperSize="9" scale="85" orientation="landscape"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0"/>
  <sheetViews>
    <sheetView zoomScaleNormal="90" workbookViewId="0">
      <pane xSplit="4" ySplit="4" topLeftCell="E8" activePane="bottomRight" state="frozen"/>
      <selection pane="topRight" activeCell="E1" sqref="E1"/>
      <selection pane="bottomLeft" activeCell="A5" sqref="A5"/>
      <selection pane="bottomRight" activeCell="C2" sqref="C2"/>
    </sheetView>
  </sheetViews>
  <sheetFormatPr defaultColWidth="9.1328125" defaultRowHeight="13.15" x14ac:dyDescent="0.4"/>
  <cols>
    <col min="1" max="1" width="1.73046875" style="284" customWidth="1"/>
    <col min="2" max="2" width="7.86328125" style="284" customWidth="1"/>
    <col min="3" max="3" width="25.73046875" style="284" customWidth="1"/>
    <col min="4" max="4" width="6.73046875" style="284" customWidth="1"/>
    <col min="5" max="5" width="10.73046875" style="284" customWidth="1"/>
    <col min="6" max="14" width="10.73046875" style="603" customWidth="1"/>
    <col min="15" max="29" width="10.73046875" style="284" customWidth="1"/>
    <col min="30" max="16384" width="9.1328125" style="284"/>
  </cols>
  <sheetData>
    <row r="1" spans="1:16" ht="20.100000000000001" customHeight="1" x14ac:dyDescent="0.4">
      <c r="A1" s="613"/>
      <c r="B1" s="613"/>
      <c r="C1" s="613"/>
      <c r="D1" s="565"/>
      <c r="P1" s="614" t="s">
        <v>724</v>
      </c>
    </row>
    <row r="2" spans="1:16" ht="24.95" customHeight="1" thickBot="1" x14ac:dyDescent="0.45">
      <c r="A2" s="613"/>
      <c r="B2" s="613"/>
      <c r="C2" s="613"/>
      <c r="D2" s="565"/>
    </row>
    <row r="3" spans="1:16" ht="20.100000000000001" customHeight="1" thickBot="1" x14ac:dyDescent="0.45">
      <c r="C3" s="565" t="s">
        <v>732</v>
      </c>
      <c r="D3" s="565"/>
      <c r="E3" s="913" t="s">
        <v>723</v>
      </c>
      <c r="F3" s="914"/>
      <c r="G3" s="914"/>
      <c r="H3" s="914"/>
      <c r="I3" s="914"/>
      <c r="J3" s="914"/>
      <c r="K3" s="914"/>
      <c r="L3" s="914"/>
      <c r="M3" s="914"/>
      <c r="N3" s="914"/>
      <c r="O3" s="915"/>
    </row>
    <row r="4" spans="1:16" ht="39.75" thickBot="1" x14ac:dyDescent="0.45">
      <c r="A4" s="687"/>
      <c r="B4" s="688" t="s">
        <v>722</v>
      </c>
      <c r="C4" s="689" t="s">
        <v>721</v>
      </c>
      <c r="D4" s="690" t="s">
        <v>720</v>
      </c>
      <c r="E4" s="635" t="s">
        <v>686</v>
      </c>
      <c r="F4" s="636" t="s">
        <v>719</v>
      </c>
      <c r="G4" s="636" t="s">
        <v>718</v>
      </c>
      <c r="H4" s="636" t="s">
        <v>717</v>
      </c>
      <c r="I4" s="637" t="s">
        <v>716</v>
      </c>
      <c r="J4" s="636" t="s">
        <v>715</v>
      </c>
      <c r="K4" s="636" t="s">
        <v>714</v>
      </c>
      <c r="L4" s="636" t="s">
        <v>713</v>
      </c>
      <c r="M4" s="636" t="s">
        <v>712</v>
      </c>
      <c r="N4" s="636" t="s">
        <v>711</v>
      </c>
      <c r="O4" s="638" t="s">
        <v>710</v>
      </c>
      <c r="P4" s="639" t="s">
        <v>709</v>
      </c>
    </row>
    <row r="5" spans="1:16" ht="20.100000000000001" customHeight="1" x14ac:dyDescent="0.4">
      <c r="A5" s="681"/>
      <c r="B5" s="682"/>
      <c r="C5" s="683" t="s">
        <v>422</v>
      </c>
      <c r="D5" s="684"/>
      <c r="E5" s="685">
        <v>1</v>
      </c>
      <c r="F5" s="686"/>
      <c r="G5" s="686">
        <v>35000</v>
      </c>
      <c r="H5" s="686"/>
      <c r="I5" s="640">
        <f t="shared" ref="I5:I16" si="0">SUM(F5:H5)*E5</f>
        <v>35000</v>
      </c>
      <c r="J5" s="686"/>
      <c r="K5" s="641">
        <f t="shared" ref="K5:K16" si="1">F5*3/12</f>
        <v>0</v>
      </c>
      <c r="L5" s="641">
        <f t="shared" ref="L5:L16" si="2">+(((F5*12)/365)*21)/12</f>
        <v>0</v>
      </c>
      <c r="M5" s="686"/>
      <c r="N5" s="686"/>
      <c r="O5" s="643">
        <f t="shared" ref="O5:O16" si="3">SUM(J5:N5)*E5</f>
        <v>0</v>
      </c>
      <c r="P5" s="644">
        <f t="shared" ref="P5:P16" si="4">(I5+O5)*12</f>
        <v>420000</v>
      </c>
    </row>
    <row r="6" spans="1:16" ht="20.100000000000001" customHeight="1" x14ac:dyDescent="0.4">
      <c r="A6" s="681"/>
      <c r="B6" s="682"/>
      <c r="C6" s="683"/>
      <c r="D6" s="684"/>
      <c r="E6" s="685"/>
      <c r="F6" s="686"/>
      <c r="G6" s="686"/>
      <c r="H6" s="686"/>
      <c r="I6" s="640">
        <f t="shared" si="0"/>
        <v>0</v>
      </c>
      <c r="J6" s="686"/>
      <c r="K6" s="641">
        <f t="shared" si="1"/>
        <v>0</v>
      </c>
      <c r="L6" s="641">
        <f t="shared" si="2"/>
        <v>0</v>
      </c>
      <c r="M6" s="686"/>
      <c r="N6" s="686"/>
      <c r="O6" s="643">
        <f t="shared" si="3"/>
        <v>0</v>
      </c>
      <c r="P6" s="644">
        <f t="shared" si="4"/>
        <v>0</v>
      </c>
    </row>
    <row r="7" spans="1:16" ht="20.100000000000001" customHeight="1" x14ac:dyDescent="0.4">
      <c r="A7" s="681"/>
      <c r="B7" s="682"/>
      <c r="C7" s="683"/>
      <c r="D7" s="684"/>
      <c r="E7" s="685"/>
      <c r="F7" s="686"/>
      <c r="G7" s="686"/>
      <c r="H7" s="686"/>
      <c r="I7" s="640">
        <f t="shared" si="0"/>
        <v>0</v>
      </c>
      <c r="J7" s="686"/>
      <c r="K7" s="641">
        <f t="shared" si="1"/>
        <v>0</v>
      </c>
      <c r="L7" s="641">
        <f t="shared" si="2"/>
        <v>0</v>
      </c>
      <c r="M7" s="686"/>
      <c r="N7" s="686"/>
      <c r="O7" s="643">
        <f t="shared" si="3"/>
        <v>0</v>
      </c>
      <c r="P7" s="644">
        <f t="shared" si="4"/>
        <v>0</v>
      </c>
    </row>
    <row r="8" spans="1:16" ht="20.100000000000001" customHeight="1" x14ac:dyDescent="0.4">
      <c r="A8" s="681"/>
      <c r="B8" s="682"/>
      <c r="C8" s="683"/>
      <c r="D8" s="684"/>
      <c r="E8" s="685"/>
      <c r="F8" s="686"/>
      <c r="G8" s="686"/>
      <c r="H8" s="686"/>
      <c r="I8" s="640">
        <f t="shared" si="0"/>
        <v>0</v>
      </c>
      <c r="J8" s="686"/>
      <c r="K8" s="641">
        <f t="shared" si="1"/>
        <v>0</v>
      </c>
      <c r="L8" s="641">
        <f t="shared" si="2"/>
        <v>0</v>
      </c>
      <c r="M8" s="686"/>
      <c r="N8" s="686"/>
      <c r="O8" s="643">
        <f t="shared" si="3"/>
        <v>0</v>
      </c>
      <c r="P8" s="644">
        <f t="shared" si="4"/>
        <v>0</v>
      </c>
    </row>
    <row r="9" spans="1:16" ht="20.100000000000001" customHeight="1" x14ac:dyDescent="0.4">
      <c r="A9" s="681"/>
      <c r="B9" s="682"/>
      <c r="C9" s="683"/>
      <c r="D9" s="684"/>
      <c r="E9" s="685"/>
      <c r="F9" s="686"/>
      <c r="G9" s="686"/>
      <c r="H9" s="686"/>
      <c r="I9" s="640">
        <f t="shared" si="0"/>
        <v>0</v>
      </c>
      <c r="J9" s="686"/>
      <c r="K9" s="641">
        <f t="shared" si="1"/>
        <v>0</v>
      </c>
      <c r="L9" s="641">
        <f t="shared" si="2"/>
        <v>0</v>
      </c>
      <c r="M9" s="686"/>
      <c r="N9" s="686"/>
      <c r="O9" s="643">
        <f t="shared" si="3"/>
        <v>0</v>
      </c>
      <c r="P9" s="644">
        <f t="shared" si="4"/>
        <v>0</v>
      </c>
    </row>
    <row r="10" spans="1:16" ht="20.100000000000001" customHeight="1" x14ac:dyDescent="0.4">
      <c r="A10" s="681"/>
      <c r="B10" s="682"/>
      <c r="C10" s="683"/>
      <c r="D10" s="684"/>
      <c r="E10" s="685"/>
      <c r="F10" s="686"/>
      <c r="G10" s="686"/>
      <c r="H10" s="686"/>
      <c r="I10" s="640">
        <f t="shared" si="0"/>
        <v>0</v>
      </c>
      <c r="J10" s="686"/>
      <c r="K10" s="641">
        <f t="shared" si="1"/>
        <v>0</v>
      </c>
      <c r="L10" s="641">
        <f t="shared" si="2"/>
        <v>0</v>
      </c>
      <c r="M10" s="686"/>
      <c r="N10" s="686"/>
      <c r="O10" s="643">
        <f t="shared" si="3"/>
        <v>0</v>
      </c>
      <c r="P10" s="644">
        <f t="shared" si="4"/>
        <v>0</v>
      </c>
    </row>
    <row r="11" spans="1:16" ht="20.100000000000001" customHeight="1" x14ac:dyDescent="0.4">
      <c r="A11" s="681"/>
      <c r="B11" s="682"/>
      <c r="C11" s="683"/>
      <c r="D11" s="684"/>
      <c r="E11" s="685"/>
      <c r="F11" s="686"/>
      <c r="G11" s="686"/>
      <c r="H11" s="686"/>
      <c r="I11" s="640">
        <f t="shared" si="0"/>
        <v>0</v>
      </c>
      <c r="J11" s="686"/>
      <c r="K11" s="641">
        <f t="shared" si="1"/>
        <v>0</v>
      </c>
      <c r="L11" s="641">
        <f t="shared" si="2"/>
        <v>0</v>
      </c>
      <c r="M11" s="686"/>
      <c r="N11" s="686"/>
      <c r="O11" s="643">
        <f t="shared" si="3"/>
        <v>0</v>
      </c>
      <c r="P11" s="644">
        <f t="shared" si="4"/>
        <v>0</v>
      </c>
    </row>
    <row r="12" spans="1:16" ht="20.100000000000001" customHeight="1" x14ac:dyDescent="0.4">
      <c r="A12" s="681"/>
      <c r="B12" s="682"/>
      <c r="C12" s="683"/>
      <c r="D12" s="684"/>
      <c r="E12" s="685"/>
      <c r="F12" s="686"/>
      <c r="G12" s="686"/>
      <c r="H12" s="686"/>
      <c r="I12" s="640">
        <f t="shared" si="0"/>
        <v>0</v>
      </c>
      <c r="J12" s="686"/>
      <c r="K12" s="641">
        <f t="shared" si="1"/>
        <v>0</v>
      </c>
      <c r="L12" s="641">
        <f t="shared" si="2"/>
        <v>0</v>
      </c>
      <c r="M12" s="686"/>
      <c r="N12" s="686"/>
      <c r="O12" s="643">
        <f t="shared" si="3"/>
        <v>0</v>
      </c>
      <c r="P12" s="644">
        <f t="shared" si="4"/>
        <v>0</v>
      </c>
    </row>
    <row r="13" spans="1:16" ht="20.100000000000001" customHeight="1" x14ac:dyDescent="0.4">
      <c r="A13" s="681"/>
      <c r="B13" s="682"/>
      <c r="C13" s="683"/>
      <c r="D13" s="684"/>
      <c r="E13" s="685"/>
      <c r="F13" s="686"/>
      <c r="G13" s="686"/>
      <c r="H13" s="686"/>
      <c r="I13" s="640">
        <f t="shared" si="0"/>
        <v>0</v>
      </c>
      <c r="J13" s="686"/>
      <c r="K13" s="641">
        <f t="shared" si="1"/>
        <v>0</v>
      </c>
      <c r="L13" s="641">
        <f t="shared" si="2"/>
        <v>0</v>
      </c>
      <c r="M13" s="686"/>
      <c r="N13" s="686"/>
      <c r="O13" s="643">
        <f t="shared" si="3"/>
        <v>0</v>
      </c>
      <c r="P13" s="644">
        <f t="shared" si="4"/>
        <v>0</v>
      </c>
    </row>
    <row r="14" spans="1:16" ht="20.100000000000001" customHeight="1" x14ac:dyDescent="0.4">
      <c r="A14" s="681"/>
      <c r="B14" s="682"/>
      <c r="C14" s="683"/>
      <c r="D14" s="684"/>
      <c r="E14" s="685"/>
      <c r="F14" s="686"/>
      <c r="G14" s="686"/>
      <c r="H14" s="686"/>
      <c r="I14" s="640">
        <f t="shared" si="0"/>
        <v>0</v>
      </c>
      <c r="J14" s="686"/>
      <c r="K14" s="641">
        <f t="shared" si="1"/>
        <v>0</v>
      </c>
      <c r="L14" s="641">
        <f t="shared" si="2"/>
        <v>0</v>
      </c>
      <c r="M14" s="686"/>
      <c r="N14" s="686"/>
      <c r="O14" s="643">
        <f t="shared" si="3"/>
        <v>0</v>
      </c>
      <c r="P14" s="644">
        <f t="shared" si="4"/>
        <v>0</v>
      </c>
    </row>
    <row r="15" spans="1:16" ht="20.100000000000001" customHeight="1" x14ac:dyDescent="0.4">
      <c r="A15" s="681"/>
      <c r="B15" s="682"/>
      <c r="C15" s="683"/>
      <c r="D15" s="684"/>
      <c r="E15" s="685"/>
      <c r="F15" s="686"/>
      <c r="G15" s="686"/>
      <c r="H15" s="686"/>
      <c r="I15" s="640">
        <f t="shared" si="0"/>
        <v>0</v>
      </c>
      <c r="J15" s="686"/>
      <c r="K15" s="641">
        <f t="shared" si="1"/>
        <v>0</v>
      </c>
      <c r="L15" s="641">
        <f t="shared" si="2"/>
        <v>0</v>
      </c>
      <c r="M15" s="686"/>
      <c r="N15" s="686"/>
      <c r="O15" s="643">
        <f t="shared" si="3"/>
        <v>0</v>
      </c>
      <c r="P15" s="644">
        <f t="shared" si="4"/>
        <v>0</v>
      </c>
    </row>
    <row r="16" spans="1:16" ht="20.100000000000001" customHeight="1" x14ac:dyDescent="0.4">
      <c r="A16" s="681"/>
      <c r="B16" s="682"/>
      <c r="C16" s="683"/>
      <c r="D16" s="684"/>
      <c r="E16" s="685"/>
      <c r="F16" s="686"/>
      <c r="G16" s="686"/>
      <c r="H16" s="686"/>
      <c r="I16" s="640">
        <f t="shared" si="0"/>
        <v>0</v>
      </c>
      <c r="J16" s="686"/>
      <c r="K16" s="641">
        <f t="shared" si="1"/>
        <v>0</v>
      </c>
      <c r="L16" s="641">
        <f t="shared" si="2"/>
        <v>0</v>
      </c>
      <c r="M16" s="686"/>
      <c r="N16" s="686"/>
      <c r="O16" s="643">
        <f t="shared" si="3"/>
        <v>0</v>
      </c>
      <c r="P16" s="644">
        <f t="shared" si="4"/>
        <v>0</v>
      </c>
    </row>
    <row r="17" spans="1:29" ht="20.100000000000001" customHeight="1" thickBot="1" x14ac:dyDescent="0.45">
      <c r="A17" s="647"/>
      <c r="B17" s="648"/>
      <c r="C17" s="649" t="s">
        <v>708</v>
      </c>
      <c r="D17" s="650"/>
      <c r="E17" s="647">
        <f>SUM(E5:E16)</f>
        <v>1</v>
      </c>
      <c r="F17" s="642">
        <f>SUMPRODUCT($E$5:$E$16,F$5:F$16)</f>
        <v>0</v>
      </c>
      <c r="G17" s="642">
        <f>SUMPRODUCT($E$5:$E$16,G$5:G$16)</f>
        <v>35000</v>
      </c>
      <c r="H17" s="642">
        <f>SUMPRODUCT($E$5:$E$16,H$5:H$16)</f>
        <v>0</v>
      </c>
      <c r="I17" s="642">
        <f>SUM(I5:I16)</f>
        <v>35000</v>
      </c>
      <c r="J17" s="642">
        <f>SUMPRODUCT($E$5:$E$16,J$5:J$16)</f>
        <v>0</v>
      </c>
      <c r="K17" s="642">
        <f>SUMPRODUCT($E$5:$E$16,K$5:K$16)</f>
        <v>0</v>
      </c>
      <c r="L17" s="642">
        <f>SUMPRODUCT($E$5:$E$16,L$5:L$16)</f>
        <v>0</v>
      </c>
      <c r="M17" s="642">
        <f>SUMPRODUCT($E$5:$E$16,M$5:M$16)</f>
        <v>0</v>
      </c>
      <c r="N17" s="642">
        <f>SUMPRODUCT($E$5:$E$16,N$5:N$16)</f>
        <v>0</v>
      </c>
      <c r="O17" s="645">
        <f>SUM(O5:O16)</f>
        <v>0</v>
      </c>
      <c r="P17" s="646">
        <f>SUM(P5:P16)</f>
        <v>420000</v>
      </c>
    </row>
    <row r="18" spans="1:29" ht="20.100000000000001" customHeight="1" thickBot="1" x14ac:dyDescent="0.45"/>
    <row r="19" spans="1:29" ht="20.100000000000001" customHeight="1" x14ac:dyDescent="0.4">
      <c r="C19" s="565" t="s">
        <v>707</v>
      </c>
      <c r="D19" s="565"/>
      <c r="E19" s="612" t="s">
        <v>459</v>
      </c>
      <c r="F19" s="611" t="s">
        <v>458</v>
      </c>
      <c r="G19" s="611" t="s">
        <v>457</v>
      </c>
      <c r="H19" s="611" t="s">
        <v>456</v>
      </c>
      <c r="I19" s="611" t="s">
        <v>455</v>
      </c>
      <c r="J19" s="611" t="s">
        <v>454</v>
      </c>
      <c r="K19" s="611" t="s">
        <v>453</v>
      </c>
      <c r="L19" s="611" t="s">
        <v>452</v>
      </c>
      <c r="M19" s="611" t="s">
        <v>451</v>
      </c>
      <c r="N19" s="610" t="s">
        <v>450</v>
      </c>
      <c r="O19" s="610" t="s">
        <v>706</v>
      </c>
      <c r="P19" s="610" t="s">
        <v>705</v>
      </c>
      <c r="Q19" s="610" t="s">
        <v>704</v>
      </c>
      <c r="R19" s="610" t="s">
        <v>703</v>
      </c>
      <c r="S19" s="610" t="s">
        <v>702</v>
      </c>
      <c r="T19" s="610" t="s">
        <v>701</v>
      </c>
      <c r="U19" s="610" t="s">
        <v>700</v>
      </c>
      <c r="V19" s="610" t="s">
        <v>699</v>
      </c>
      <c r="W19" s="610" t="s">
        <v>698</v>
      </c>
      <c r="X19" s="610" t="s">
        <v>697</v>
      </c>
      <c r="Y19" s="610" t="s">
        <v>696</v>
      </c>
      <c r="Z19" s="610" t="s">
        <v>695</v>
      </c>
      <c r="AA19" s="610" t="s">
        <v>694</v>
      </c>
      <c r="AB19" s="610" t="s">
        <v>693</v>
      </c>
      <c r="AC19" s="609" t="s">
        <v>692</v>
      </c>
    </row>
    <row r="20" spans="1:29" ht="20.100000000000001" customHeight="1" x14ac:dyDescent="0.4">
      <c r="C20" s="284" t="s">
        <v>691</v>
      </c>
      <c r="E20" s="660"/>
      <c r="F20" s="654"/>
      <c r="G20" s="654">
        <v>-1</v>
      </c>
      <c r="H20" s="654"/>
      <c r="I20" s="654"/>
      <c r="J20" s="654"/>
      <c r="K20" s="654"/>
      <c r="L20" s="654"/>
      <c r="M20" s="654"/>
      <c r="N20" s="654"/>
      <c r="O20" s="654"/>
      <c r="P20" s="654"/>
      <c r="Q20" s="654"/>
      <c r="R20" s="654"/>
      <c r="S20" s="654"/>
      <c r="T20" s="654"/>
      <c r="U20" s="654"/>
      <c r="V20" s="654"/>
      <c r="W20" s="654"/>
      <c r="X20" s="654"/>
      <c r="Y20" s="654"/>
      <c r="Z20" s="654"/>
      <c r="AA20" s="654"/>
      <c r="AB20" s="654"/>
      <c r="AC20" s="655"/>
    </row>
    <row r="21" spans="1:29" ht="20.100000000000001" customHeight="1" x14ac:dyDescent="0.4">
      <c r="C21" s="284" t="s">
        <v>690</v>
      </c>
      <c r="E21" s="651">
        <f>P17*(1+E20)</f>
        <v>420000</v>
      </c>
      <c r="F21" s="652">
        <f t="shared" ref="F21:AC21" si="5">E24*(1+F20)</f>
        <v>420000</v>
      </c>
      <c r="G21" s="652">
        <f t="shared" si="5"/>
        <v>0</v>
      </c>
      <c r="H21" s="652">
        <f t="shared" si="5"/>
        <v>0</v>
      </c>
      <c r="I21" s="652">
        <f t="shared" si="5"/>
        <v>0</v>
      </c>
      <c r="J21" s="652">
        <f t="shared" si="5"/>
        <v>0</v>
      </c>
      <c r="K21" s="652">
        <f t="shared" si="5"/>
        <v>0</v>
      </c>
      <c r="L21" s="652">
        <f t="shared" si="5"/>
        <v>0</v>
      </c>
      <c r="M21" s="652">
        <f t="shared" si="5"/>
        <v>0</v>
      </c>
      <c r="N21" s="652">
        <f t="shared" si="5"/>
        <v>0</v>
      </c>
      <c r="O21" s="652">
        <f t="shared" si="5"/>
        <v>0</v>
      </c>
      <c r="P21" s="652">
        <f t="shared" si="5"/>
        <v>0</v>
      </c>
      <c r="Q21" s="652">
        <f t="shared" si="5"/>
        <v>0</v>
      </c>
      <c r="R21" s="652">
        <f t="shared" si="5"/>
        <v>0</v>
      </c>
      <c r="S21" s="652">
        <f t="shared" si="5"/>
        <v>0</v>
      </c>
      <c r="T21" s="652">
        <f t="shared" si="5"/>
        <v>0</v>
      </c>
      <c r="U21" s="652">
        <f t="shared" si="5"/>
        <v>0</v>
      </c>
      <c r="V21" s="652">
        <f t="shared" si="5"/>
        <v>0</v>
      </c>
      <c r="W21" s="652">
        <f t="shared" si="5"/>
        <v>0</v>
      </c>
      <c r="X21" s="652">
        <f t="shared" si="5"/>
        <v>0</v>
      </c>
      <c r="Y21" s="652">
        <f t="shared" si="5"/>
        <v>0</v>
      </c>
      <c r="Z21" s="652">
        <f t="shared" si="5"/>
        <v>0</v>
      </c>
      <c r="AA21" s="652">
        <f t="shared" si="5"/>
        <v>0</v>
      </c>
      <c r="AB21" s="652">
        <f t="shared" si="5"/>
        <v>0</v>
      </c>
      <c r="AC21" s="653">
        <f t="shared" si="5"/>
        <v>0</v>
      </c>
    </row>
    <row r="22" spans="1:29" ht="20.100000000000001" customHeight="1" x14ac:dyDescent="0.4">
      <c r="C22" s="284" t="s">
        <v>689</v>
      </c>
      <c r="E22" s="661"/>
      <c r="F22" s="608"/>
      <c r="G22" s="608"/>
      <c r="H22" s="608"/>
      <c r="I22" s="608"/>
      <c r="J22" s="608"/>
      <c r="K22" s="608"/>
      <c r="L22" s="608"/>
      <c r="M22" s="608"/>
      <c r="N22" s="608"/>
      <c r="O22" s="608"/>
      <c r="P22" s="608"/>
      <c r="Q22" s="608"/>
      <c r="R22" s="608"/>
      <c r="S22" s="608"/>
      <c r="T22" s="608"/>
      <c r="U22" s="608"/>
      <c r="V22" s="608"/>
      <c r="W22" s="608"/>
      <c r="X22" s="608"/>
      <c r="Y22" s="608"/>
      <c r="Z22" s="608"/>
      <c r="AA22" s="608"/>
      <c r="AB22" s="608"/>
      <c r="AC22" s="607"/>
    </row>
    <row r="23" spans="1:29" ht="20.100000000000001" customHeight="1" x14ac:dyDescent="0.4">
      <c r="C23" s="284" t="s">
        <v>688</v>
      </c>
      <c r="E23" s="662"/>
      <c r="F23" s="656">
        <f t="shared" ref="F23:AC23" si="6">F22*E26</f>
        <v>0</v>
      </c>
      <c r="G23" s="656">
        <f t="shared" si="6"/>
        <v>0</v>
      </c>
      <c r="H23" s="656">
        <f t="shared" si="6"/>
        <v>0</v>
      </c>
      <c r="I23" s="656">
        <f t="shared" si="6"/>
        <v>0</v>
      </c>
      <c r="J23" s="656">
        <f t="shared" si="6"/>
        <v>0</v>
      </c>
      <c r="K23" s="656">
        <f t="shared" si="6"/>
        <v>0</v>
      </c>
      <c r="L23" s="656">
        <f t="shared" si="6"/>
        <v>0</v>
      </c>
      <c r="M23" s="656">
        <f t="shared" si="6"/>
        <v>0</v>
      </c>
      <c r="N23" s="656">
        <f t="shared" si="6"/>
        <v>0</v>
      </c>
      <c r="O23" s="656">
        <f t="shared" si="6"/>
        <v>0</v>
      </c>
      <c r="P23" s="656">
        <f t="shared" si="6"/>
        <v>0</v>
      </c>
      <c r="Q23" s="656">
        <f t="shared" si="6"/>
        <v>0</v>
      </c>
      <c r="R23" s="656">
        <f t="shared" si="6"/>
        <v>0</v>
      </c>
      <c r="S23" s="656">
        <f t="shared" si="6"/>
        <v>0</v>
      </c>
      <c r="T23" s="656">
        <f t="shared" si="6"/>
        <v>0</v>
      </c>
      <c r="U23" s="656">
        <f t="shared" si="6"/>
        <v>0</v>
      </c>
      <c r="V23" s="656">
        <f t="shared" si="6"/>
        <v>0</v>
      </c>
      <c r="W23" s="656">
        <f t="shared" si="6"/>
        <v>0</v>
      </c>
      <c r="X23" s="656">
        <f t="shared" si="6"/>
        <v>0</v>
      </c>
      <c r="Y23" s="656">
        <f t="shared" si="6"/>
        <v>0</v>
      </c>
      <c r="Z23" s="656">
        <f t="shared" si="6"/>
        <v>0</v>
      </c>
      <c r="AA23" s="656">
        <f t="shared" si="6"/>
        <v>0</v>
      </c>
      <c r="AB23" s="656">
        <f t="shared" si="6"/>
        <v>0</v>
      </c>
      <c r="AC23" s="657">
        <f t="shared" si="6"/>
        <v>0</v>
      </c>
    </row>
    <row r="24" spans="1:29" ht="20.100000000000001" customHeight="1" thickBot="1" x14ac:dyDescent="0.45">
      <c r="C24" s="565" t="s">
        <v>687</v>
      </c>
      <c r="D24" s="565"/>
      <c r="E24" s="659">
        <f t="shared" ref="E24:AC24" si="7">E21+E23</f>
        <v>420000</v>
      </c>
      <c r="F24" s="642">
        <f t="shared" si="7"/>
        <v>420000</v>
      </c>
      <c r="G24" s="642">
        <f t="shared" si="7"/>
        <v>0</v>
      </c>
      <c r="H24" s="642">
        <f t="shared" si="7"/>
        <v>0</v>
      </c>
      <c r="I24" s="642">
        <f t="shared" si="7"/>
        <v>0</v>
      </c>
      <c r="J24" s="642">
        <f t="shared" si="7"/>
        <v>0</v>
      </c>
      <c r="K24" s="642">
        <f t="shared" si="7"/>
        <v>0</v>
      </c>
      <c r="L24" s="642">
        <f t="shared" si="7"/>
        <v>0</v>
      </c>
      <c r="M24" s="642">
        <f t="shared" si="7"/>
        <v>0</v>
      </c>
      <c r="N24" s="642">
        <f t="shared" si="7"/>
        <v>0</v>
      </c>
      <c r="O24" s="642">
        <f t="shared" si="7"/>
        <v>0</v>
      </c>
      <c r="P24" s="642">
        <f t="shared" si="7"/>
        <v>0</v>
      </c>
      <c r="Q24" s="642">
        <f t="shared" si="7"/>
        <v>0</v>
      </c>
      <c r="R24" s="642">
        <f t="shared" si="7"/>
        <v>0</v>
      </c>
      <c r="S24" s="642">
        <f t="shared" si="7"/>
        <v>0</v>
      </c>
      <c r="T24" s="642">
        <f t="shared" si="7"/>
        <v>0</v>
      </c>
      <c r="U24" s="642">
        <f t="shared" si="7"/>
        <v>0</v>
      </c>
      <c r="V24" s="642">
        <f t="shared" si="7"/>
        <v>0</v>
      </c>
      <c r="W24" s="642">
        <f t="shared" si="7"/>
        <v>0</v>
      </c>
      <c r="X24" s="642">
        <f t="shared" si="7"/>
        <v>0</v>
      </c>
      <c r="Y24" s="642">
        <f t="shared" si="7"/>
        <v>0</v>
      </c>
      <c r="Z24" s="642">
        <f t="shared" si="7"/>
        <v>0</v>
      </c>
      <c r="AA24" s="642">
        <f t="shared" si="7"/>
        <v>0</v>
      </c>
      <c r="AB24" s="642">
        <f t="shared" si="7"/>
        <v>0</v>
      </c>
      <c r="AC24" s="658">
        <f t="shared" si="7"/>
        <v>0</v>
      </c>
    </row>
    <row r="25" spans="1:29" x14ac:dyDescent="0.4">
      <c r="C25" s="284" t="s">
        <v>686</v>
      </c>
      <c r="E25" s="663">
        <f>IF(E24=0,0,$E$17+E22)</f>
        <v>1</v>
      </c>
      <c r="F25" s="663">
        <f>IF(F24=0,0,$E$17+F22)</f>
        <v>1</v>
      </c>
      <c r="G25" s="663">
        <f t="shared" ref="G25:AC25" si="8">IF(G24=0,0,$E$17+G22)</f>
        <v>0</v>
      </c>
      <c r="H25" s="663">
        <f t="shared" si="8"/>
        <v>0</v>
      </c>
      <c r="I25" s="663">
        <f t="shared" si="8"/>
        <v>0</v>
      </c>
      <c r="J25" s="663">
        <f t="shared" si="8"/>
        <v>0</v>
      </c>
      <c r="K25" s="663">
        <f t="shared" si="8"/>
        <v>0</v>
      </c>
      <c r="L25" s="663">
        <f t="shared" si="8"/>
        <v>0</v>
      </c>
      <c r="M25" s="663">
        <f t="shared" si="8"/>
        <v>0</v>
      </c>
      <c r="N25" s="663">
        <f t="shared" si="8"/>
        <v>0</v>
      </c>
      <c r="O25" s="663">
        <f t="shared" si="8"/>
        <v>0</v>
      </c>
      <c r="P25" s="663">
        <f t="shared" si="8"/>
        <v>0</v>
      </c>
      <c r="Q25" s="663">
        <f t="shared" si="8"/>
        <v>0</v>
      </c>
      <c r="R25" s="663">
        <f t="shared" si="8"/>
        <v>0</v>
      </c>
      <c r="S25" s="663">
        <f t="shared" si="8"/>
        <v>0</v>
      </c>
      <c r="T25" s="663">
        <f t="shared" si="8"/>
        <v>0</v>
      </c>
      <c r="U25" s="663">
        <f t="shared" si="8"/>
        <v>0</v>
      </c>
      <c r="V25" s="663">
        <f t="shared" si="8"/>
        <v>0</v>
      </c>
      <c r="W25" s="663">
        <f t="shared" si="8"/>
        <v>0</v>
      </c>
      <c r="X25" s="663">
        <f t="shared" si="8"/>
        <v>0</v>
      </c>
      <c r="Y25" s="663">
        <f t="shared" si="8"/>
        <v>0</v>
      </c>
      <c r="Z25" s="663">
        <f t="shared" si="8"/>
        <v>0</v>
      </c>
      <c r="AA25" s="663">
        <f t="shared" si="8"/>
        <v>0</v>
      </c>
      <c r="AB25" s="663">
        <f t="shared" si="8"/>
        <v>0</v>
      </c>
      <c r="AC25" s="663">
        <f t="shared" si="8"/>
        <v>0</v>
      </c>
    </row>
    <row r="26" spans="1:29" x14ac:dyDescent="0.4">
      <c r="C26" s="284" t="s">
        <v>685</v>
      </c>
      <c r="E26" s="664">
        <f t="shared" ref="E26:AC26" si="9">IF(E25=0,0,E24/E25)</f>
        <v>420000</v>
      </c>
      <c r="F26" s="664">
        <f t="shared" si="9"/>
        <v>420000</v>
      </c>
      <c r="G26" s="664">
        <f t="shared" si="9"/>
        <v>0</v>
      </c>
      <c r="H26" s="664">
        <f t="shared" si="9"/>
        <v>0</v>
      </c>
      <c r="I26" s="664">
        <f t="shared" si="9"/>
        <v>0</v>
      </c>
      <c r="J26" s="664">
        <f t="shared" si="9"/>
        <v>0</v>
      </c>
      <c r="K26" s="664">
        <f t="shared" si="9"/>
        <v>0</v>
      </c>
      <c r="L26" s="664">
        <f t="shared" si="9"/>
        <v>0</v>
      </c>
      <c r="M26" s="664">
        <f t="shared" si="9"/>
        <v>0</v>
      </c>
      <c r="N26" s="664">
        <f t="shared" si="9"/>
        <v>0</v>
      </c>
      <c r="O26" s="664">
        <f t="shared" si="9"/>
        <v>0</v>
      </c>
      <c r="P26" s="664">
        <f t="shared" si="9"/>
        <v>0</v>
      </c>
      <c r="Q26" s="664">
        <f t="shared" si="9"/>
        <v>0</v>
      </c>
      <c r="R26" s="664">
        <f t="shared" si="9"/>
        <v>0</v>
      </c>
      <c r="S26" s="664">
        <f t="shared" si="9"/>
        <v>0</v>
      </c>
      <c r="T26" s="664">
        <f t="shared" si="9"/>
        <v>0</v>
      </c>
      <c r="U26" s="664">
        <f t="shared" si="9"/>
        <v>0</v>
      </c>
      <c r="V26" s="664">
        <f t="shared" si="9"/>
        <v>0</v>
      </c>
      <c r="W26" s="664">
        <f t="shared" si="9"/>
        <v>0</v>
      </c>
      <c r="X26" s="664">
        <f t="shared" si="9"/>
        <v>0</v>
      </c>
      <c r="Y26" s="664">
        <f t="shared" si="9"/>
        <v>0</v>
      </c>
      <c r="Z26" s="664">
        <f t="shared" si="9"/>
        <v>0</v>
      </c>
      <c r="AA26" s="664">
        <f t="shared" si="9"/>
        <v>0</v>
      </c>
      <c r="AB26" s="664">
        <f t="shared" si="9"/>
        <v>0</v>
      </c>
      <c r="AC26" s="664">
        <f t="shared" si="9"/>
        <v>0</v>
      </c>
    </row>
    <row r="28" spans="1:29" ht="13.5" thickBot="1" x14ac:dyDescent="0.45">
      <c r="A28" s="284" t="s">
        <v>684</v>
      </c>
    </row>
    <row r="29" spans="1:29" x14ac:dyDescent="0.4">
      <c r="A29" s="563"/>
      <c r="B29" s="669">
        <v>1</v>
      </c>
      <c r="C29" s="673" t="str">
        <f t="shared" ref="C29:C40" si="10">"Staff recruitment before "&amp;B29&amp;" mths"</f>
        <v>Staff recruitment before 1 mths</v>
      </c>
      <c r="D29" s="674"/>
      <c r="E29" s="665">
        <f t="shared" ref="E29:E40" si="11">SUMIF($B$5:$B$16,$B29,$E$5:$E$16)</f>
        <v>0</v>
      </c>
    </row>
    <row r="30" spans="1:29" x14ac:dyDescent="0.4">
      <c r="A30" s="606"/>
      <c r="B30" s="670">
        <v>2</v>
      </c>
      <c r="C30" s="675" t="str">
        <f t="shared" si="10"/>
        <v>Staff recruitment before 2 mths</v>
      </c>
      <c r="D30" s="676"/>
      <c r="E30" s="666">
        <f t="shared" si="11"/>
        <v>0</v>
      </c>
    </row>
    <row r="31" spans="1:29" x14ac:dyDescent="0.4">
      <c r="A31" s="606"/>
      <c r="B31" s="670">
        <v>3</v>
      </c>
      <c r="C31" s="675" t="str">
        <f t="shared" si="10"/>
        <v>Staff recruitment before 3 mths</v>
      </c>
      <c r="D31" s="676"/>
      <c r="E31" s="666">
        <f t="shared" si="11"/>
        <v>0</v>
      </c>
    </row>
    <row r="32" spans="1:29" x14ac:dyDescent="0.4">
      <c r="A32" s="605"/>
      <c r="B32" s="671">
        <v>4</v>
      </c>
      <c r="C32" s="677" t="str">
        <f t="shared" si="10"/>
        <v>Staff recruitment before 4 mths</v>
      </c>
      <c r="D32" s="678"/>
      <c r="E32" s="667">
        <f t="shared" si="11"/>
        <v>0</v>
      </c>
    </row>
    <row r="33" spans="1:5" x14ac:dyDescent="0.4">
      <c r="A33" s="605"/>
      <c r="B33" s="671">
        <v>5</v>
      </c>
      <c r="C33" s="677" t="str">
        <f t="shared" si="10"/>
        <v>Staff recruitment before 5 mths</v>
      </c>
      <c r="D33" s="678"/>
      <c r="E33" s="667">
        <f t="shared" si="11"/>
        <v>0</v>
      </c>
    </row>
    <row r="34" spans="1:5" x14ac:dyDescent="0.4">
      <c r="A34" s="605"/>
      <c r="B34" s="671">
        <v>6</v>
      </c>
      <c r="C34" s="677" t="str">
        <f t="shared" si="10"/>
        <v>Staff recruitment before 6 mths</v>
      </c>
      <c r="D34" s="678"/>
      <c r="E34" s="667">
        <f t="shared" si="11"/>
        <v>0</v>
      </c>
    </row>
    <row r="35" spans="1:5" x14ac:dyDescent="0.4">
      <c r="A35" s="605"/>
      <c r="B35" s="671">
        <v>7</v>
      </c>
      <c r="C35" s="677" t="str">
        <f t="shared" si="10"/>
        <v>Staff recruitment before 7 mths</v>
      </c>
      <c r="D35" s="678"/>
      <c r="E35" s="667">
        <f t="shared" si="11"/>
        <v>0</v>
      </c>
    </row>
    <row r="36" spans="1:5" x14ac:dyDescent="0.4">
      <c r="A36" s="605"/>
      <c r="B36" s="671">
        <v>8</v>
      </c>
      <c r="C36" s="677" t="str">
        <f t="shared" si="10"/>
        <v>Staff recruitment before 8 mths</v>
      </c>
      <c r="D36" s="678"/>
      <c r="E36" s="667">
        <f t="shared" si="11"/>
        <v>0</v>
      </c>
    </row>
    <row r="37" spans="1:5" x14ac:dyDescent="0.4">
      <c r="A37" s="605"/>
      <c r="B37" s="671">
        <v>9</v>
      </c>
      <c r="C37" s="677" t="str">
        <f t="shared" si="10"/>
        <v>Staff recruitment before 9 mths</v>
      </c>
      <c r="D37" s="678"/>
      <c r="E37" s="667">
        <f t="shared" si="11"/>
        <v>0</v>
      </c>
    </row>
    <row r="38" spans="1:5" x14ac:dyDescent="0.4">
      <c r="A38" s="605"/>
      <c r="B38" s="671">
        <v>10</v>
      </c>
      <c r="C38" s="677" t="str">
        <f t="shared" si="10"/>
        <v>Staff recruitment before 10 mths</v>
      </c>
      <c r="D38" s="678"/>
      <c r="E38" s="667">
        <f t="shared" si="11"/>
        <v>0</v>
      </c>
    </row>
    <row r="39" spans="1:5" x14ac:dyDescent="0.4">
      <c r="A39" s="605"/>
      <c r="B39" s="671">
        <v>11</v>
      </c>
      <c r="C39" s="677" t="str">
        <f t="shared" si="10"/>
        <v>Staff recruitment before 11 mths</v>
      </c>
      <c r="D39" s="678"/>
      <c r="E39" s="667">
        <f t="shared" si="11"/>
        <v>0</v>
      </c>
    </row>
    <row r="40" spans="1:5" ht="13.5" thickBot="1" x14ac:dyDescent="0.45">
      <c r="A40" s="604"/>
      <c r="B40" s="672">
        <v>12</v>
      </c>
      <c r="C40" s="679" t="str">
        <f t="shared" si="10"/>
        <v>Staff recruitment before 12 mths</v>
      </c>
      <c r="D40" s="680"/>
      <c r="E40" s="668">
        <f t="shared" si="11"/>
        <v>0</v>
      </c>
    </row>
  </sheetData>
  <mergeCells count="1">
    <mergeCell ref="E3:O3"/>
  </mergeCells>
  <dataValidations count="1">
    <dataValidation type="list" allowBlank="1" showInputMessage="1" showErrorMessage="1" sqref="B5:B16">
      <formula1>$B$29:$B$40</formula1>
    </dataValidation>
  </dataValidations>
  <printOptions horizontalCentered="1"/>
  <pageMargins left="0.25" right="0.25" top="0.25" bottom="0.25" header="0.25" footer="0.25"/>
  <pageSetup paperSize="9" scale="75" orientation="landscape" horizontalDpi="300" verticalDpi="300" r:id="rId1"/>
  <headerFooter alignWithMargins="0"/>
  <legacyDrawing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0"/>
  <sheetViews>
    <sheetView zoomScale="55" zoomScaleNormal="55" workbookViewId="0">
      <pane xSplit="4" ySplit="4" topLeftCell="E11" activePane="bottomRight" state="frozen"/>
      <selection pane="topRight" activeCell="E1" sqref="E1"/>
      <selection pane="bottomLeft" activeCell="A5" sqref="A5"/>
      <selection pane="bottomRight" activeCell="F23" sqref="F23"/>
    </sheetView>
  </sheetViews>
  <sheetFormatPr defaultColWidth="9.1328125" defaultRowHeight="13.15" x14ac:dyDescent="0.4"/>
  <cols>
    <col min="1" max="1" width="1.73046875" style="284" customWidth="1"/>
    <col min="2" max="2" width="7.86328125" style="284" customWidth="1"/>
    <col min="3" max="3" width="25.73046875" style="284" customWidth="1"/>
    <col min="4" max="4" width="6.73046875" style="284" customWidth="1"/>
    <col min="5" max="5" width="10.73046875" style="284" customWidth="1"/>
    <col min="6" max="14" width="10.73046875" style="603" customWidth="1"/>
    <col min="15" max="29" width="10.73046875" style="284" customWidth="1"/>
    <col min="30" max="16384" width="9.1328125" style="284"/>
  </cols>
  <sheetData>
    <row r="1" spans="1:16" ht="20.100000000000001" customHeight="1" x14ac:dyDescent="0.4">
      <c r="A1" s="613"/>
      <c r="B1" s="613"/>
      <c r="C1" s="613"/>
      <c r="D1" s="565"/>
      <c r="P1" s="614" t="s">
        <v>724</v>
      </c>
    </row>
    <row r="2" spans="1:16" ht="24.95" customHeight="1" thickBot="1" x14ac:dyDescent="0.45">
      <c r="A2" s="613"/>
      <c r="B2" s="613"/>
      <c r="C2" s="613"/>
      <c r="D2" s="565"/>
    </row>
    <row r="3" spans="1:16" ht="20.100000000000001" customHeight="1" thickBot="1" x14ac:dyDescent="0.45">
      <c r="C3" s="565" t="s">
        <v>731</v>
      </c>
      <c r="D3" s="565"/>
      <c r="E3" s="913" t="s">
        <v>723</v>
      </c>
      <c r="F3" s="914"/>
      <c r="G3" s="914"/>
      <c r="H3" s="914"/>
      <c r="I3" s="914"/>
      <c r="J3" s="914"/>
      <c r="K3" s="914"/>
      <c r="L3" s="914"/>
      <c r="M3" s="914"/>
      <c r="N3" s="914"/>
      <c r="O3" s="915"/>
    </row>
    <row r="4" spans="1:16" ht="39.75" thickBot="1" x14ac:dyDescent="0.45">
      <c r="A4" s="687"/>
      <c r="B4" s="688" t="s">
        <v>722</v>
      </c>
      <c r="C4" s="689" t="s">
        <v>721</v>
      </c>
      <c r="D4" s="690" t="s">
        <v>720</v>
      </c>
      <c r="E4" s="635" t="s">
        <v>686</v>
      </c>
      <c r="F4" s="636" t="s">
        <v>719</v>
      </c>
      <c r="G4" s="636" t="s">
        <v>718</v>
      </c>
      <c r="H4" s="636" t="s">
        <v>717</v>
      </c>
      <c r="I4" s="637" t="s">
        <v>716</v>
      </c>
      <c r="J4" s="636" t="s">
        <v>715</v>
      </c>
      <c r="K4" s="636" t="s">
        <v>714</v>
      </c>
      <c r="L4" s="636" t="s">
        <v>713</v>
      </c>
      <c r="M4" s="636" t="s">
        <v>712</v>
      </c>
      <c r="N4" s="636" t="s">
        <v>711</v>
      </c>
      <c r="O4" s="638" t="s">
        <v>710</v>
      </c>
      <c r="P4" s="639" t="s">
        <v>709</v>
      </c>
    </row>
    <row r="5" spans="1:16" ht="20.100000000000001" customHeight="1" x14ac:dyDescent="0.4">
      <c r="A5" s="681"/>
      <c r="B5" s="682"/>
      <c r="C5" s="683" t="s">
        <v>400</v>
      </c>
      <c r="D5" s="684"/>
      <c r="E5" s="685">
        <v>1</v>
      </c>
      <c r="F5" s="686"/>
      <c r="G5" s="686">
        <v>35000</v>
      </c>
      <c r="H5" s="686"/>
      <c r="I5" s="640">
        <f t="shared" ref="I5:I16" si="0">SUM(F5:H5)*E5</f>
        <v>35000</v>
      </c>
      <c r="J5" s="686"/>
      <c r="K5" s="641">
        <f t="shared" ref="K5:K16" si="1">F5*3/12</f>
        <v>0</v>
      </c>
      <c r="L5" s="641">
        <f t="shared" ref="L5:L16" si="2">+(((F5*12)/365)*21)/12</f>
        <v>0</v>
      </c>
      <c r="M5" s="686"/>
      <c r="N5" s="686"/>
      <c r="O5" s="643">
        <f t="shared" ref="O5:O16" si="3">SUM(J5:N5)*E5</f>
        <v>0</v>
      </c>
      <c r="P5" s="644">
        <f t="shared" ref="P5:P16" si="4">(I5+O5)*12</f>
        <v>420000</v>
      </c>
    </row>
    <row r="6" spans="1:16" ht="20.100000000000001" customHeight="1" x14ac:dyDescent="0.4">
      <c r="A6" s="681"/>
      <c r="B6" s="682"/>
      <c r="C6" s="683" t="s">
        <v>399</v>
      </c>
      <c r="D6" s="684"/>
      <c r="E6" s="685">
        <v>1</v>
      </c>
      <c r="F6" s="686"/>
      <c r="G6" s="686">
        <v>20000</v>
      </c>
      <c r="H6" s="686"/>
      <c r="I6" s="640">
        <f t="shared" si="0"/>
        <v>20000</v>
      </c>
      <c r="J6" s="686"/>
      <c r="K6" s="641">
        <f t="shared" si="1"/>
        <v>0</v>
      </c>
      <c r="L6" s="641">
        <f t="shared" si="2"/>
        <v>0</v>
      </c>
      <c r="M6" s="686"/>
      <c r="N6" s="686"/>
      <c r="O6" s="643">
        <f t="shared" si="3"/>
        <v>0</v>
      </c>
      <c r="P6" s="644">
        <f t="shared" si="4"/>
        <v>240000</v>
      </c>
    </row>
    <row r="7" spans="1:16" ht="20.100000000000001" customHeight="1" x14ac:dyDescent="0.4">
      <c r="A7" s="681"/>
      <c r="B7" s="682"/>
      <c r="C7" s="683" t="s">
        <v>394</v>
      </c>
      <c r="D7" s="684"/>
      <c r="E7" s="685">
        <v>2</v>
      </c>
      <c r="F7" s="686"/>
      <c r="G7" s="686">
        <v>6000</v>
      </c>
      <c r="H7" s="686"/>
      <c r="I7" s="640">
        <f t="shared" si="0"/>
        <v>12000</v>
      </c>
      <c r="J7" s="686"/>
      <c r="K7" s="641">
        <f t="shared" si="1"/>
        <v>0</v>
      </c>
      <c r="L7" s="641">
        <f t="shared" si="2"/>
        <v>0</v>
      </c>
      <c r="M7" s="686"/>
      <c r="N7" s="686"/>
      <c r="O7" s="643">
        <f t="shared" si="3"/>
        <v>0</v>
      </c>
      <c r="P7" s="644">
        <f t="shared" si="4"/>
        <v>144000</v>
      </c>
    </row>
    <row r="8" spans="1:16" ht="20.100000000000001" customHeight="1" x14ac:dyDescent="0.4">
      <c r="A8" s="681"/>
      <c r="B8" s="682"/>
      <c r="C8" s="683" t="s">
        <v>397</v>
      </c>
      <c r="D8" s="684"/>
      <c r="E8" s="685">
        <v>1</v>
      </c>
      <c r="F8" s="686"/>
      <c r="G8" s="686">
        <v>12000</v>
      </c>
      <c r="H8" s="686"/>
      <c r="I8" s="640">
        <f t="shared" si="0"/>
        <v>12000</v>
      </c>
      <c r="J8" s="686"/>
      <c r="K8" s="641">
        <f t="shared" si="1"/>
        <v>0</v>
      </c>
      <c r="L8" s="641">
        <f t="shared" si="2"/>
        <v>0</v>
      </c>
      <c r="M8" s="686"/>
      <c r="N8" s="686"/>
      <c r="O8" s="643">
        <f t="shared" si="3"/>
        <v>0</v>
      </c>
      <c r="P8" s="644">
        <f t="shared" si="4"/>
        <v>144000</v>
      </c>
    </row>
    <row r="9" spans="1:16" ht="20.100000000000001" customHeight="1" x14ac:dyDescent="0.4">
      <c r="A9" s="681"/>
      <c r="B9" s="682"/>
      <c r="C9" s="683" t="s">
        <v>398</v>
      </c>
      <c r="D9" s="684"/>
      <c r="E9" s="685">
        <v>4</v>
      </c>
      <c r="F9" s="686"/>
      <c r="G9" s="686">
        <v>15000</v>
      </c>
      <c r="H9" s="686"/>
      <c r="I9" s="640">
        <f t="shared" si="0"/>
        <v>60000</v>
      </c>
      <c r="J9" s="686"/>
      <c r="K9" s="641">
        <f t="shared" si="1"/>
        <v>0</v>
      </c>
      <c r="L9" s="641">
        <f t="shared" si="2"/>
        <v>0</v>
      </c>
      <c r="M9" s="686"/>
      <c r="N9" s="686"/>
      <c r="O9" s="643">
        <f t="shared" si="3"/>
        <v>0</v>
      </c>
      <c r="P9" s="644">
        <f t="shared" si="4"/>
        <v>720000</v>
      </c>
    </row>
    <row r="10" spans="1:16" ht="20.100000000000001" customHeight="1" x14ac:dyDescent="0.4">
      <c r="A10" s="681"/>
      <c r="B10" s="682"/>
      <c r="C10" s="683" t="s">
        <v>221</v>
      </c>
      <c r="D10" s="684"/>
      <c r="E10" s="685">
        <v>2</v>
      </c>
      <c r="F10" s="686"/>
      <c r="G10" s="686">
        <v>5000</v>
      </c>
      <c r="H10" s="686"/>
      <c r="I10" s="640">
        <f t="shared" si="0"/>
        <v>10000</v>
      </c>
      <c r="J10" s="686"/>
      <c r="K10" s="641">
        <f t="shared" si="1"/>
        <v>0</v>
      </c>
      <c r="L10" s="641">
        <f t="shared" si="2"/>
        <v>0</v>
      </c>
      <c r="M10" s="686"/>
      <c r="N10" s="686"/>
      <c r="O10" s="643">
        <f t="shared" si="3"/>
        <v>0</v>
      </c>
      <c r="P10" s="644">
        <f t="shared" si="4"/>
        <v>120000</v>
      </c>
    </row>
    <row r="11" spans="1:16" ht="20.100000000000001" customHeight="1" x14ac:dyDescent="0.4">
      <c r="A11" s="681"/>
      <c r="B11" s="682"/>
      <c r="C11" s="683" t="s">
        <v>418</v>
      </c>
      <c r="D11" s="684"/>
      <c r="E11" s="685">
        <v>1</v>
      </c>
      <c r="F11" s="686"/>
      <c r="G11" s="686">
        <v>20000</v>
      </c>
      <c r="H11" s="686"/>
      <c r="I11" s="640">
        <f t="shared" si="0"/>
        <v>20000</v>
      </c>
      <c r="J11" s="686"/>
      <c r="K11" s="641">
        <f t="shared" si="1"/>
        <v>0</v>
      </c>
      <c r="L11" s="641">
        <f t="shared" si="2"/>
        <v>0</v>
      </c>
      <c r="M11" s="686"/>
      <c r="N11" s="686"/>
      <c r="O11" s="643">
        <f t="shared" si="3"/>
        <v>0</v>
      </c>
      <c r="P11" s="644">
        <f t="shared" si="4"/>
        <v>240000</v>
      </c>
    </row>
    <row r="12" spans="1:16" ht="20.100000000000001" customHeight="1" x14ac:dyDescent="0.4">
      <c r="A12" s="681"/>
      <c r="B12" s="682"/>
      <c r="C12" s="683" t="s">
        <v>395</v>
      </c>
      <c r="D12" s="684"/>
      <c r="E12" s="685">
        <v>1</v>
      </c>
      <c r="F12" s="686"/>
      <c r="G12" s="686">
        <v>20000</v>
      </c>
      <c r="H12" s="686"/>
      <c r="I12" s="640">
        <f t="shared" si="0"/>
        <v>20000</v>
      </c>
      <c r="J12" s="686"/>
      <c r="K12" s="641">
        <f t="shared" si="1"/>
        <v>0</v>
      </c>
      <c r="L12" s="641">
        <f t="shared" si="2"/>
        <v>0</v>
      </c>
      <c r="M12" s="686"/>
      <c r="N12" s="686"/>
      <c r="O12" s="643">
        <f t="shared" si="3"/>
        <v>0</v>
      </c>
      <c r="P12" s="644">
        <f t="shared" si="4"/>
        <v>240000</v>
      </c>
    </row>
    <row r="13" spans="1:16" ht="20.100000000000001" customHeight="1" x14ac:dyDescent="0.4">
      <c r="A13" s="681"/>
      <c r="B13" s="682"/>
      <c r="C13" s="683" t="s">
        <v>396</v>
      </c>
      <c r="D13" s="684"/>
      <c r="E13" s="685">
        <v>4</v>
      </c>
      <c r="F13" s="686"/>
      <c r="G13" s="686">
        <v>7000</v>
      </c>
      <c r="H13" s="686"/>
      <c r="I13" s="640">
        <f t="shared" si="0"/>
        <v>28000</v>
      </c>
      <c r="J13" s="686"/>
      <c r="K13" s="641">
        <f t="shared" si="1"/>
        <v>0</v>
      </c>
      <c r="L13" s="641">
        <f t="shared" si="2"/>
        <v>0</v>
      </c>
      <c r="M13" s="686"/>
      <c r="N13" s="686"/>
      <c r="O13" s="643">
        <f t="shared" si="3"/>
        <v>0</v>
      </c>
      <c r="P13" s="644">
        <f t="shared" si="4"/>
        <v>336000</v>
      </c>
    </row>
    <row r="14" spans="1:16" ht="20.100000000000001" customHeight="1" x14ac:dyDescent="0.4">
      <c r="A14" s="681"/>
      <c r="B14" s="682"/>
      <c r="C14" s="683"/>
      <c r="D14" s="684"/>
      <c r="E14" s="685"/>
      <c r="F14" s="686"/>
      <c r="G14" s="686"/>
      <c r="H14" s="686"/>
      <c r="I14" s="640">
        <f t="shared" si="0"/>
        <v>0</v>
      </c>
      <c r="J14" s="686"/>
      <c r="K14" s="641">
        <f t="shared" si="1"/>
        <v>0</v>
      </c>
      <c r="L14" s="641">
        <f t="shared" si="2"/>
        <v>0</v>
      </c>
      <c r="M14" s="686"/>
      <c r="N14" s="686"/>
      <c r="O14" s="643">
        <f t="shared" si="3"/>
        <v>0</v>
      </c>
      <c r="P14" s="644">
        <f t="shared" si="4"/>
        <v>0</v>
      </c>
    </row>
    <row r="15" spans="1:16" ht="20.100000000000001" customHeight="1" x14ac:dyDescent="0.4">
      <c r="A15" s="681"/>
      <c r="B15" s="682"/>
      <c r="C15" s="683"/>
      <c r="D15" s="684"/>
      <c r="E15" s="685"/>
      <c r="F15" s="686"/>
      <c r="G15" s="686"/>
      <c r="H15" s="686"/>
      <c r="I15" s="640">
        <f t="shared" si="0"/>
        <v>0</v>
      </c>
      <c r="J15" s="686"/>
      <c r="K15" s="641">
        <f t="shared" si="1"/>
        <v>0</v>
      </c>
      <c r="L15" s="641">
        <f t="shared" si="2"/>
        <v>0</v>
      </c>
      <c r="M15" s="686"/>
      <c r="N15" s="686"/>
      <c r="O15" s="643">
        <f t="shared" si="3"/>
        <v>0</v>
      </c>
      <c r="P15" s="644">
        <f t="shared" si="4"/>
        <v>0</v>
      </c>
    </row>
    <row r="16" spans="1:16" ht="20.100000000000001" customHeight="1" x14ac:dyDescent="0.4">
      <c r="A16" s="681"/>
      <c r="B16" s="682"/>
      <c r="C16" s="683"/>
      <c r="D16" s="684"/>
      <c r="E16" s="685"/>
      <c r="F16" s="686"/>
      <c r="G16" s="686"/>
      <c r="H16" s="686"/>
      <c r="I16" s="640">
        <f t="shared" si="0"/>
        <v>0</v>
      </c>
      <c r="J16" s="686"/>
      <c r="K16" s="641">
        <f t="shared" si="1"/>
        <v>0</v>
      </c>
      <c r="L16" s="641">
        <f t="shared" si="2"/>
        <v>0</v>
      </c>
      <c r="M16" s="686"/>
      <c r="N16" s="686"/>
      <c r="O16" s="643">
        <f t="shared" si="3"/>
        <v>0</v>
      </c>
      <c r="P16" s="644">
        <f t="shared" si="4"/>
        <v>0</v>
      </c>
    </row>
    <row r="17" spans="1:29" ht="20.100000000000001" customHeight="1" thickBot="1" x14ac:dyDescent="0.45">
      <c r="A17" s="647"/>
      <c r="B17" s="648"/>
      <c r="C17" s="649" t="s">
        <v>708</v>
      </c>
      <c r="D17" s="650"/>
      <c r="E17" s="647">
        <f>SUM(E5:E16)</f>
        <v>17</v>
      </c>
      <c r="F17" s="642">
        <f>SUMPRODUCT($E$5:$E$16,F$5:F$16)</f>
        <v>0</v>
      </c>
      <c r="G17" s="642">
        <f>SUMPRODUCT($E$5:$E$16,G$5:G$16)</f>
        <v>217000</v>
      </c>
      <c r="H17" s="642">
        <f>SUMPRODUCT($E$5:$E$16,H$5:H$16)</f>
        <v>0</v>
      </c>
      <c r="I17" s="642">
        <f>SUM(I5:I16)</f>
        <v>217000</v>
      </c>
      <c r="J17" s="642">
        <f>SUMPRODUCT($E$5:$E$16,J$5:J$16)</f>
        <v>0</v>
      </c>
      <c r="K17" s="642">
        <f>SUMPRODUCT($E$5:$E$16,K$5:K$16)</f>
        <v>0</v>
      </c>
      <c r="L17" s="642">
        <f>SUMPRODUCT($E$5:$E$16,L$5:L$16)</f>
        <v>0</v>
      </c>
      <c r="M17" s="642">
        <f>SUMPRODUCT($E$5:$E$16,M$5:M$16)</f>
        <v>0</v>
      </c>
      <c r="N17" s="642">
        <f>SUMPRODUCT($E$5:$E$16,N$5:N$16)</f>
        <v>0</v>
      </c>
      <c r="O17" s="645">
        <f>SUM(O5:O16)</f>
        <v>0</v>
      </c>
      <c r="P17" s="646">
        <f>SUM(P5:P16)</f>
        <v>2604000</v>
      </c>
    </row>
    <row r="18" spans="1:29" ht="20.100000000000001" customHeight="1" thickBot="1" x14ac:dyDescent="0.45"/>
    <row r="19" spans="1:29" ht="20.100000000000001" customHeight="1" x14ac:dyDescent="0.4">
      <c r="C19" s="565" t="s">
        <v>707</v>
      </c>
      <c r="D19" s="565"/>
      <c r="E19" s="612" t="s">
        <v>459</v>
      </c>
      <c r="F19" s="611" t="s">
        <v>458</v>
      </c>
      <c r="G19" s="611" t="s">
        <v>457</v>
      </c>
      <c r="H19" s="611" t="s">
        <v>456</v>
      </c>
      <c r="I19" s="611" t="s">
        <v>455</v>
      </c>
      <c r="J19" s="611" t="s">
        <v>454</v>
      </c>
      <c r="K19" s="611" t="s">
        <v>453</v>
      </c>
      <c r="L19" s="611" t="s">
        <v>452</v>
      </c>
      <c r="M19" s="611" t="s">
        <v>451</v>
      </c>
      <c r="N19" s="610" t="s">
        <v>450</v>
      </c>
      <c r="O19" s="610" t="s">
        <v>706</v>
      </c>
      <c r="P19" s="610" t="s">
        <v>705</v>
      </c>
      <c r="Q19" s="610" t="s">
        <v>704</v>
      </c>
      <c r="R19" s="610" t="s">
        <v>703</v>
      </c>
      <c r="S19" s="610" t="s">
        <v>702</v>
      </c>
      <c r="T19" s="610" t="s">
        <v>701</v>
      </c>
      <c r="U19" s="610" t="s">
        <v>700</v>
      </c>
      <c r="V19" s="610" t="s">
        <v>699</v>
      </c>
      <c r="W19" s="610" t="s">
        <v>698</v>
      </c>
      <c r="X19" s="610" t="s">
        <v>697</v>
      </c>
      <c r="Y19" s="610" t="s">
        <v>696</v>
      </c>
      <c r="Z19" s="610" t="s">
        <v>695</v>
      </c>
      <c r="AA19" s="610" t="s">
        <v>694</v>
      </c>
      <c r="AB19" s="610" t="s">
        <v>693</v>
      </c>
      <c r="AC19" s="609" t="s">
        <v>692</v>
      </c>
    </row>
    <row r="20" spans="1:29" ht="20.100000000000001" customHeight="1" x14ac:dyDescent="0.4">
      <c r="C20" s="284" t="s">
        <v>691</v>
      </c>
      <c r="E20" s="660"/>
      <c r="F20" s="654">
        <v>0.05</v>
      </c>
      <c r="G20" s="654">
        <v>0.05</v>
      </c>
      <c r="H20" s="654">
        <v>0.05</v>
      </c>
      <c r="I20" s="654">
        <v>0.05</v>
      </c>
      <c r="J20" s="654">
        <v>0.05</v>
      </c>
      <c r="K20" s="654">
        <v>0.05</v>
      </c>
      <c r="L20" s="654">
        <v>0.05</v>
      </c>
      <c r="M20" s="654">
        <v>0.05</v>
      </c>
      <c r="N20" s="654">
        <v>0.05</v>
      </c>
      <c r="O20" s="654">
        <v>0.05</v>
      </c>
      <c r="P20" s="654">
        <v>0.05</v>
      </c>
      <c r="Q20" s="654">
        <v>0.05</v>
      </c>
      <c r="R20" s="654">
        <v>0.05</v>
      </c>
      <c r="S20" s="654">
        <v>0.05</v>
      </c>
      <c r="T20" s="654">
        <v>0.05</v>
      </c>
      <c r="U20" s="654">
        <v>0.05</v>
      </c>
      <c r="V20" s="654">
        <v>0.05</v>
      </c>
      <c r="W20" s="654">
        <v>0.05</v>
      </c>
      <c r="X20" s="654">
        <v>0.05</v>
      </c>
      <c r="Y20" s="654">
        <v>0.05</v>
      </c>
      <c r="Z20" s="654">
        <v>0.05</v>
      </c>
      <c r="AA20" s="654">
        <v>0.05</v>
      </c>
      <c r="AB20" s="654">
        <v>0.05</v>
      </c>
      <c r="AC20" s="655">
        <v>0.05</v>
      </c>
    </row>
    <row r="21" spans="1:29" ht="20.100000000000001" customHeight="1" x14ac:dyDescent="0.4">
      <c r="C21" s="284" t="s">
        <v>690</v>
      </c>
      <c r="E21" s="651">
        <f>P17*(1+E20)</f>
        <v>2604000</v>
      </c>
      <c r="F21" s="652">
        <f t="shared" ref="F21:AC21" si="5">E24*(1+F20)</f>
        <v>2734200</v>
      </c>
      <c r="G21" s="652">
        <f t="shared" si="5"/>
        <v>2870910</v>
      </c>
      <c r="H21" s="652">
        <f t="shared" si="5"/>
        <v>3014455.5</v>
      </c>
      <c r="I21" s="652">
        <f t="shared" si="5"/>
        <v>3165178.2749999999</v>
      </c>
      <c r="J21" s="652">
        <f t="shared" si="5"/>
        <v>3323437.1887500002</v>
      </c>
      <c r="K21" s="652">
        <f t="shared" si="5"/>
        <v>3489609.0481875003</v>
      </c>
      <c r="L21" s="652">
        <f t="shared" si="5"/>
        <v>3664089.5005968753</v>
      </c>
      <c r="M21" s="652">
        <f t="shared" si="5"/>
        <v>3847293.9756267192</v>
      </c>
      <c r="N21" s="652">
        <f t="shared" si="5"/>
        <v>4039658.6744080554</v>
      </c>
      <c r="O21" s="652">
        <f t="shared" si="5"/>
        <v>4241641.6081284583</v>
      </c>
      <c r="P21" s="652">
        <f t="shared" si="5"/>
        <v>4453723.688534881</v>
      </c>
      <c r="Q21" s="652">
        <f t="shared" si="5"/>
        <v>4676409.8729616255</v>
      </c>
      <c r="R21" s="652">
        <f t="shared" si="5"/>
        <v>4910230.3666097065</v>
      </c>
      <c r="S21" s="652">
        <f t="shared" si="5"/>
        <v>5155741.8849401921</v>
      </c>
      <c r="T21" s="652">
        <f t="shared" si="5"/>
        <v>5413528.9791872017</v>
      </c>
      <c r="U21" s="652">
        <f t="shared" si="5"/>
        <v>5684205.4281465616</v>
      </c>
      <c r="V21" s="652">
        <f t="shared" si="5"/>
        <v>5968415.6995538902</v>
      </c>
      <c r="W21" s="652">
        <f t="shared" si="5"/>
        <v>6266836.4845315851</v>
      </c>
      <c r="X21" s="652">
        <f t="shared" si="5"/>
        <v>6580178.3087581648</v>
      </c>
      <c r="Y21" s="652">
        <f t="shared" si="5"/>
        <v>6909187.2241960736</v>
      </c>
      <c r="Z21" s="652">
        <f t="shared" si="5"/>
        <v>7254646.5854058778</v>
      </c>
      <c r="AA21" s="652">
        <f t="shared" si="5"/>
        <v>7617378.9146761717</v>
      </c>
      <c r="AB21" s="652">
        <f t="shared" si="5"/>
        <v>7998247.8604099806</v>
      </c>
      <c r="AC21" s="653">
        <f t="shared" si="5"/>
        <v>8398160.2534304801</v>
      </c>
    </row>
    <row r="22" spans="1:29" ht="20.100000000000001" customHeight="1" x14ac:dyDescent="0.4">
      <c r="C22" s="284" t="s">
        <v>689</v>
      </c>
      <c r="E22" s="661"/>
      <c r="F22" s="608"/>
      <c r="G22" s="608"/>
      <c r="H22" s="608"/>
      <c r="I22" s="608"/>
      <c r="J22" s="608"/>
      <c r="K22" s="608"/>
      <c r="L22" s="608"/>
      <c r="M22" s="608"/>
      <c r="N22" s="608"/>
      <c r="O22" s="608"/>
      <c r="P22" s="608"/>
      <c r="Q22" s="608"/>
      <c r="R22" s="608"/>
      <c r="S22" s="608"/>
      <c r="T22" s="608"/>
      <c r="U22" s="608"/>
      <c r="V22" s="608"/>
      <c r="W22" s="608"/>
      <c r="X22" s="608"/>
      <c r="Y22" s="608"/>
      <c r="Z22" s="608"/>
      <c r="AA22" s="608"/>
      <c r="AB22" s="608"/>
      <c r="AC22" s="607"/>
    </row>
    <row r="23" spans="1:29" ht="20.100000000000001" customHeight="1" x14ac:dyDescent="0.4">
      <c r="C23" s="284" t="s">
        <v>688</v>
      </c>
      <c r="E23" s="662"/>
      <c r="F23" s="656">
        <f t="shared" ref="F23:AC23" si="6">F22*E26</f>
        <v>0</v>
      </c>
      <c r="G23" s="656">
        <f t="shared" si="6"/>
        <v>0</v>
      </c>
      <c r="H23" s="656">
        <f t="shared" si="6"/>
        <v>0</v>
      </c>
      <c r="I23" s="656">
        <f t="shared" si="6"/>
        <v>0</v>
      </c>
      <c r="J23" s="656">
        <f t="shared" si="6"/>
        <v>0</v>
      </c>
      <c r="K23" s="656">
        <f t="shared" si="6"/>
        <v>0</v>
      </c>
      <c r="L23" s="656">
        <f t="shared" si="6"/>
        <v>0</v>
      </c>
      <c r="M23" s="656">
        <f t="shared" si="6"/>
        <v>0</v>
      </c>
      <c r="N23" s="656">
        <f t="shared" si="6"/>
        <v>0</v>
      </c>
      <c r="O23" s="656">
        <f t="shared" si="6"/>
        <v>0</v>
      </c>
      <c r="P23" s="656">
        <f t="shared" si="6"/>
        <v>0</v>
      </c>
      <c r="Q23" s="656">
        <f t="shared" si="6"/>
        <v>0</v>
      </c>
      <c r="R23" s="656">
        <f t="shared" si="6"/>
        <v>0</v>
      </c>
      <c r="S23" s="656">
        <f t="shared" si="6"/>
        <v>0</v>
      </c>
      <c r="T23" s="656">
        <f t="shared" si="6"/>
        <v>0</v>
      </c>
      <c r="U23" s="656">
        <f t="shared" si="6"/>
        <v>0</v>
      </c>
      <c r="V23" s="656">
        <f t="shared" si="6"/>
        <v>0</v>
      </c>
      <c r="W23" s="656">
        <f t="shared" si="6"/>
        <v>0</v>
      </c>
      <c r="X23" s="656">
        <f t="shared" si="6"/>
        <v>0</v>
      </c>
      <c r="Y23" s="656">
        <f t="shared" si="6"/>
        <v>0</v>
      </c>
      <c r="Z23" s="656">
        <f t="shared" si="6"/>
        <v>0</v>
      </c>
      <c r="AA23" s="656">
        <f t="shared" si="6"/>
        <v>0</v>
      </c>
      <c r="AB23" s="656">
        <f t="shared" si="6"/>
        <v>0</v>
      </c>
      <c r="AC23" s="657">
        <f t="shared" si="6"/>
        <v>0</v>
      </c>
    </row>
    <row r="24" spans="1:29" ht="20.100000000000001" customHeight="1" thickBot="1" x14ac:dyDescent="0.45">
      <c r="C24" s="565" t="s">
        <v>687</v>
      </c>
      <c r="D24" s="565"/>
      <c r="E24" s="659">
        <f t="shared" ref="E24:AC24" si="7">E21+E23</f>
        <v>2604000</v>
      </c>
      <c r="F24" s="642">
        <f t="shared" si="7"/>
        <v>2734200</v>
      </c>
      <c r="G24" s="642">
        <f t="shared" si="7"/>
        <v>2870910</v>
      </c>
      <c r="H24" s="642">
        <f t="shared" si="7"/>
        <v>3014455.5</v>
      </c>
      <c r="I24" s="642">
        <f t="shared" si="7"/>
        <v>3165178.2749999999</v>
      </c>
      <c r="J24" s="642">
        <f t="shared" si="7"/>
        <v>3323437.1887500002</v>
      </c>
      <c r="K24" s="642">
        <f t="shared" si="7"/>
        <v>3489609.0481875003</v>
      </c>
      <c r="L24" s="642">
        <f t="shared" si="7"/>
        <v>3664089.5005968753</v>
      </c>
      <c r="M24" s="642">
        <f t="shared" si="7"/>
        <v>3847293.9756267192</v>
      </c>
      <c r="N24" s="642">
        <f t="shared" si="7"/>
        <v>4039658.6744080554</v>
      </c>
      <c r="O24" s="642">
        <f t="shared" si="7"/>
        <v>4241641.6081284583</v>
      </c>
      <c r="P24" s="642">
        <f t="shared" si="7"/>
        <v>4453723.688534881</v>
      </c>
      <c r="Q24" s="642">
        <f t="shared" si="7"/>
        <v>4676409.8729616255</v>
      </c>
      <c r="R24" s="642">
        <f t="shared" si="7"/>
        <v>4910230.3666097065</v>
      </c>
      <c r="S24" s="642">
        <f t="shared" si="7"/>
        <v>5155741.8849401921</v>
      </c>
      <c r="T24" s="642">
        <f t="shared" si="7"/>
        <v>5413528.9791872017</v>
      </c>
      <c r="U24" s="642">
        <f t="shared" si="7"/>
        <v>5684205.4281465616</v>
      </c>
      <c r="V24" s="642">
        <f t="shared" si="7"/>
        <v>5968415.6995538902</v>
      </c>
      <c r="W24" s="642">
        <f t="shared" si="7"/>
        <v>6266836.4845315851</v>
      </c>
      <c r="X24" s="642">
        <f t="shared" si="7"/>
        <v>6580178.3087581648</v>
      </c>
      <c r="Y24" s="642">
        <f t="shared" si="7"/>
        <v>6909187.2241960736</v>
      </c>
      <c r="Z24" s="642">
        <f t="shared" si="7"/>
        <v>7254646.5854058778</v>
      </c>
      <c r="AA24" s="642">
        <f t="shared" si="7"/>
        <v>7617378.9146761717</v>
      </c>
      <c r="AB24" s="642">
        <f t="shared" si="7"/>
        <v>7998247.8604099806</v>
      </c>
      <c r="AC24" s="658">
        <f t="shared" si="7"/>
        <v>8398160.2534304801</v>
      </c>
    </row>
    <row r="25" spans="1:29" x14ac:dyDescent="0.4">
      <c r="C25" s="284" t="s">
        <v>686</v>
      </c>
      <c r="E25" s="663">
        <f>IF(E24=0,0,$E$17+E22)</f>
        <v>17</v>
      </c>
      <c r="F25" s="663">
        <f>IF(F24=0,0,$E$17+F22)</f>
        <v>17</v>
      </c>
      <c r="G25" s="663">
        <f t="shared" ref="G25:AC25" si="8">IF(G24=0,0,$E$17+G22)</f>
        <v>17</v>
      </c>
      <c r="H25" s="663">
        <f t="shared" si="8"/>
        <v>17</v>
      </c>
      <c r="I25" s="663">
        <f t="shared" si="8"/>
        <v>17</v>
      </c>
      <c r="J25" s="663">
        <f t="shared" si="8"/>
        <v>17</v>
      </c>
      <c r="K25" s="663">
        <f t="shared" si="8"/>
        <v>17</v>
      </c>
      <c r="L25" s="663">
        <f t="shared" si="8"/>
        <v>17</v>
      </c>
      <c r="M25" s="663">
        <f t="shared" si="8"/>
        <v>17</v>
      </c>
      <c r="N25" s="663">
        <f t="shared" si="8"/>
        <v>17</v>
      </c>
      <c r="O25" s="663">
        <f t="shared" si="8"/>
        <v>17</v>
      </c>
      <c r="P25" s="663">
        <f t="shared" si="8"/>
        <v>17</v>
      </c>
      <c r="Q25" s="663">
        <f t="shared" si="8"/>
        <v>17</v>
      </c>
      <c r="R25" s="663">
        <f t="shared" si="8"/>
        <v>17</v>
      </c>
      <c r="S25" s="663">
        <f t="shared" si="8"/>
        <v>17</v>
      </c>
      <c r="T25" s="663">
        <f t="shared" si="8"/>
        <v>17</v>
      </c>
      <c r="U25" s="663">
        <f t="shared" si="8"/>
        <v>17</v>
      </c>
      <c r="V25" s="663">
        <f t="shared" si="8"/>
        <v>17</v>
      </c>
      <c r="W25" s="663">
        <f t="shared" si="8"/>
        <v>17</v>
      </c>
      <c r="X25" s="663">
        <f t="shared" si="8"/>
        <v>17</v>
      </c>
      <c r="Y25" s="663">
        <f t="shared" si="8"/>
        <v>17</v>
      </c>
      <c r="Z25" s="663">
        <f t="shared" si="8"/>
        <v>17</v>
      </c>
      <c r="AA25" s="663">
        <f t="shared" si="8"/>
        <v>17</v>
      </c>
      <c r="AB25" s="663">
        <f t="shared" si="8"/>
        <v>17</v>
      </c>
      <c r="AC25" s="663">
        <f t="shared" si="8"/>
        <v>17</v>
      </c>
    </row>
    <row r="26" spans="1:29" x14ac:dyDescent="0.4">
      <c r="C26" s="284" t="s">
        <v>685</v>
      </c>
      <c r="E26" s="664">
        <f t="shared" ref="E26:AC26" si="9">IF(E25=0,0,E24/E25)</f>
        <v>153176.4705882353</v>
      </c>
      <c r="F26" s="664">
        <f t="shared" si="9"/>
        <v>160835.29411764705</v>
      </c>
      <c r="G26" s="664">
        <f t="shared" si="9"/>
        <v>168877.0588235294</v>
      </c>
      <c r="H26" s="664">
        <f t="shared" si="9"/>
        <v>177320.91176470587</v>
      </c>
      <c r="I26" s="664">
        <f t="shared" si="9"/>
        <v>186186.95735294116</v>
      </c>
      <c r="J26" s="664">
        <f t="shared" si="9"/>
        <v>195496.30522058826</v>
      </c>
      <c r="K26" s="664">
        <f t="shared" si="9"/>
        <v>205271.12048161766</v>
      </c>
      <c r="L26" s="664">
        <f t="shared" si="9"/>
        <v>215534.67650569856</v>
      </c>
      <c r="M26" s="664">
        <f t="shared" si="9"/>
        <v>226311.41033098349</v>
      </c>
      <c r="N26" s="664">
        <f t="shared" si="9"/>
        <v>237626.98084753266</v>
      </c>
      <c r="O26" s="664">
        <f t="shared" si="9"/>
        <v>249508.32988990931</v>
      </c>
      <c r="P26" s="664">
        <f t="shared" si="9"/>
        <v>261983.74638440477</v>
      </c>
      <c r="Q26" s="664">
        <f t="shared" si="9"/>
        <v>275082.93370362505</v>
      </c>
      <c r="R26" s="664">
        <f t="shared" si="9"/>
        <v>288837.08038880629</v>
      </c>
      <c r="S26" s="664">
        <f t="shared" si="9"/>
        <v>303278.9344082466</v>
      </c>
      <c r="T26" s="664">
        <f t="shared" si="9"/>
        <v>318442.88112865895</v>
      </c>
      <c r="U26" s="664">
        <f t="shared" si="9"/>
        <v>334365.02518509189</v>
      </c>
      <c r="V26" s="664">
        <f t="shared" si="9"/>
        <v>351083.27644434647</v>
      </c>
      <c r="W26" s="664">
        <f t="shared" si="9"/>
        <v>368637.44026656385</v>
      </c>
      <c r="X26" s="664">
        <f t="shared" si="9"/>
        <v>387069.31227989204</v>
      </c>
      <c r="Y26" s="664">
        <f t="shared" si="9"/>
        <v>406422.77789388667</v>
      </c>
      <c r="Z26" s="664">
        <f t="shared" si="9"/>
        <v>426743.91678858106</v>
      </c>
      <c r="AA26" s="664">
        <f t="shared" si="9"/>
        <v>448081.1126280101</v>
      </c>
      <c r="AB26" s="664">
        <f t="shared" si="9"/>
        <v>470485.16825941065</v>
      </c>
      <c r="AC26" s="664">
        <f t="shared" si="9"/>
        <v>494009.42667238117</v>
      </c>
    </row>
    <row r="28" spans="1:29" ht="13.5" thickBot="1" x14ac:dyDescent="0.45">
      <c r="A28" s="284" t="s">
        <v>684</v>
      </c>
    </row>
    <row r="29" spans="1:29" x14ac:dyDescent="0.4">
      <c r="A29" s="563"/>
      <c r="B29" s="669">
        <v>1</v>
      </c>
      <c r="C29" s="673" t="str">
        <f t="shared" ref="C29:C40" si="10">"Staff recruitment before "&amp;B29&amp;" mths"</f>
        <v>Staff recruitment before 1 mths</v>
      </c>
      <c r="D29" s="674"/>
      <c r="E29" s="665">
        <f t="shared" ref="E29:E40" si="11">SUMIF($B$5:$B$16,$B29,$E$5:$E$16)</f>
        <v>0</v>
      </c>
    </row>
    <row r="30" spans="1:29" x14ac:dyDescent="0.4">
      <c r="A30" s="606"/>
      <c r="B30" s="670">
        <v>2</v>
      </c>
      <c r="C30" s="675" t="str">
        <f t="shared" si="10"/>
        <v>Staff recruitment before 2 mths</v>
      </c>
      <c r="D30" s="676"/>
      <c r="E30" s="666">
        <f t="shared" si="11"/>
        <v>0</v>
      </c>
    </row>
    <row r="31" spans="1:29" x14ac:dyDescent="0.4">
      <c r="A31" s="606"/>
      <c r="B31" s="670">
        <v>3</v>
      </c>
      <c r="C31" s="675" t="str">
        <f t="shared" si="10"/>
        <v>Staff recruitment before 3 mths</v>
      </c>
      <c r="D31" s="676"/>
      <c r="E31" s="666">
        <f t="shared" si="11"/>
        <v>0</v>
      </c>
    </row>
    <row r="32" spans="1:29" x14ac:dyDescent="0.4">
      <c r="A32" s="605"/>
      <c r="B32" s="671">
        <v>4</v>
      </c>
      <c r="C32" s="677" t="str">
        <f t="shared" si="10"/>
        <v>Staff recruitment before 4 mths</v>
      </c>
      <c r="D32" s="678"/>
      <c r="E32" s="667">
        <f t="shared" si="11"/>
        <v>0</v>
      </c>
    </row>
    <row r="33" spans="1:5" x14ac:dyDescent="0.4">
      <c r="A33" s="605"/>
      <c r="B33" s="671">
        <v>5</v>
      </c>
      <c r="C33" s="677" t="str">
        <f t="shared" si="10"/>
        <v>Staff recruitment before 5 mths</v>
      </c>
      <c r="D33" s="678"/>
      <c r="E33" s="667">
        <f t="shared" si="11"/>
        <v>0</v>
      </c>
    </row>
    <row r="34" spans="1:5" x14ac:dyDescent="0.4">
      <c r="A34" s="605"/>
      <c r="B34" s="671">
        <v>6</v>
      </c>
      <c r="C34" s="677" t="str">
        <f t="shared" si="10"/>
        <v>Staff recruitment before 6 mths</v>
      </c>
      <c r="D34" s="678"/>
      <c r="E34" s="667">
        <f t="shared" si="11"/>
        <v>0</v>
      </c>
    </row>
    <row r="35" spans="1:5" x14ac:dyDescent="0.4">
      <c r="A35" s="605"/>
      <c r="B35" s="671">
        <v>7</v>
      </c>
      <c r="C35" s="677" t="str">
        <f t="shared" si="10"/>
        <v>Staff recruitment before 7 mths</v>
      </c>
      <c r="D35" s="678"/>
      <c r="E35" s="667">
        <f t="shared" si="11"/>
        <v>0</v>
      </c>
    </row>
    <row r="36" spans="1:5" x14ac:dyDescent="0.4">
      <c r="A36" s="605"/>
      <c r="B36" s="671">
        <v>8</v>
      </c>
      <c r="C36" s="677" t="str">
        <f t="shared" si="10"/>
        <v>Staff recruitment before 8 mths</v>
      </c>
      <c r="D36" s="678"/>
      <c r="E36" s="667">
        <f t="shared" si="11"/>
        <v>0</v>
      </c>
    </row>
    <row r="37" spans="1:5" x14ac:dyDescent="0.4">
      <c r="A37" s="605"/>
      <c r="B37" s="671">
        <v>9</v>
      </c>
      <c r="C37" s="677" t="str">
        <f t="shared" si="10"/>
        <v>Staff recruitment before 9 mths</v>
      </c>
      <c r="D37" s="678"/>
      <c r="E37" s="667">
        <f t="shared" si="11"/>
        <v>0</v>
      </c>
    </row>
    <row r="38" spans="1:5" x14ac:dyDescent="0.4">
      <c r="A38" s="605"/>
      <c r="B38" s="671">
        <v>10</v>
      </c>
      <c r="C38" s="677" t="str">
        <f t="shared" si="10"/>
        <v>Staff recruitment before 10 mths</v>
      </c>
      <c r="D38" s="678"/>
      <c r="E38" s="667">
        <f t="shared" si="11"/>
        <v>0</v>
      </c>
    </row>
    <row r="39" spans="1:5" x14ac:dyDescent="0.4">
      <c r="A39" s="605"/>
      <c r="B39" s="671">
        <v>11</v>
      </c>
      <c r="C39" s="677" t="str">
        <f t="shared" si="10"/>
        <v>Staff recruitment before 11 mths</v>
      </c>
      <c r="D39" s="678"/>
      <c r="E39" s="667">
        <f t="shared" si="11"/>
        <v>0</v>
      </c>
    </row>
    <row r="40" spans="1:5" ht="13.5" thickBot="1" x14ac:dyDescent="0.45">
      <c r="A40" s="604"/>
      <c r="B40" s="672">
        <v>12</v>
      </c>
      <c r="C40" s="679" t="str">
        <f t="shared" si="10"/>
        <v>Staff recruitment before 12 mths</v>
      </c>
      <c r="D40" s="680"/>
      <c r="E40" s="668">
        <f t="shared" si="11"/>
        <v>0</v>
      </c>
    </row>
  </sheetData>
  <mergeCells count="1">
    <mergeCell ref="E3:O3"/>
  </mergeCells>
  <dataValidations count="1">
    <dataValidation type="list" allowBlank="1" showInputMessage="1" showErrorMessage="1" sqref="B5:B16">
      <formula1>$B$29:$B$40</formula1>
    </dataValidation>
  </dataValidations>
  <printOptions horizontalCentered="1"/>
  <pageMargins left="0.25" right="0.25" top="0.25" bottom="0.25" header="0.25" footer="0.25"/>
  <pageSetup paperSize="9" scale="75" orientation="landscape" horizontalDpi="300" verticalDpi="300" r:id="rId1"/>
  <headerFooter alignWithMargins="0"/>
  <legacy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8"/>
  <sheetViews>
    <sheetView showGridLines="0" zoomScale="55" zoomScaleNormal="55" workbookViewId="0">
      <pane xSplit="2" ySplit="2" topLeftCell="C105" activePane="bottomRight" state="frozen"/>
      <selection pane="topRight" activeCell="C1" sqref="C1"/>
      <selection pane="bottomLeft" activeCell="A3" sqref="A3"/>
      <selection pane="bottomRight" activeCell="AE44" sqref="AE44"/>
    </sheetView>
  </sheetViews>
  <sheetFormatPr defaultColWidth="8.86328125" defaultRowHeight="13.15" x14ac:dyDescent="0.4"/>
  <cols>
    <col min="1" max="1" width="24.73046875" style="284" customWidth="1"/>
    <col min="2" max="2" width="8.73046875" style="284" hidden="1" customWidth="1"/>
    <col min="3" max="22" width="10.3984375" style="284" customWidth="1"/>
    <col min="23" max="16384" width="8.86328125" style="284"/>
  </cols>
  <sheetData>
    <row r="1" spans="1:22" ht="16.149999999999999" customHeight="1" x14ac:dyDescent="0.4">
      <c r="A1" s="284" t="s">
        <v>164</v>
      </c>
      <c r="C1" s="284">
        <v>2016</v>
      </c>
      <c r="D1" s="284">
        <v>2017</v>
      </c>
      <c r="E1" s="284">
        <v>2018</v>
      </c>
      <c r="F1" s="284">
        <v>2019</v>
      </c>
      <c r="G1" s="284">
        <v>2020</v>
      </c>
      <c r="H1" s="284">
        <v>2021</v>
      </c>
      <c r="I1" s="284">
        <v>2022</v>
      </c>
      <c r="J1" s="284">
        <v>2023</v>
      </c>
      <c r="K1" s="284">
        <v>2024</v>
      </c>
      <c r="L1" s="284">
        <v>2025</v>
      </c>
      <c r="M1" s="284">
        <v>2026</v>
      </c>
      <c r="N1" s="284">
        <v>2027</v>
      </c>
      <c r="O1" s="284">
        <v>2028</v>
      </c>
      <c r="P1" s="284">
        <v>2029</v>
      </c>
      <c r="Q1" s="284">
        <v>2030</v>
      </c>
      <c r="R1" s="284">
        <v>2031</v>
      </c>
      <c r="S1" s="284">
        <v>2032</v>
      </c>
      <c r="T1" s="284">
        <v>2033</v>
      </c>
      <c r="U1" s="284">
        <v>2034</v>
      </c>
      <c r="V1" s="284">
        <v>2035</v>
      </c>
    </row>
    <row r="2" spans="1:22" s="565" customFormat="1" ht="16.149999999999999" customHeight="1" thickBot="1" x14ac:dyDescent="0.4">
      <c r="A2" s="565" t="s">
        <v>166</v>
      </c>
      <c r="C2" s="565" t="s">
        <v>576</v>
      </c>
      <c r="D2" s="565" t="s">
        <v>575</v>
      </c>
      <c r="E2" s="565" t="s">
        <v>574</v>
      </c>
      <c r="F2" s="565" t="s">
        <v>573</v>
      </c>
      <c r="G2" s="565" t="s">
        <v>572</v>
      </c>
      <c r="H2" s="565" t="s">
        <v>571</v>
      </c>
      <c r="I2" s="565" t="s">
        <v>570</v>
      </c>
      <c r="J2" s="565" t="s">
        <v>569</v>
      </c>
      <c r="K2" s="565" t="s">
        <v>568</v>
      </c>
      <c r="L2" s="565" t="s">
        <v>567</v>
      </c>
      <c r="M2" s="565" t="s">
        <v>566</v>
      </c>
      <c r="N2" s="565" t="s">
        <v>565</v>
      </c>
      <c r="O2" s="565" t="s">
        <v>564</v>
      </c>
      <c r="P2" s="565" t="s">
        <v>563</v>
      </c>
      <c r="Q2" s="565" t="s">
        <v>562</v>
      </c>
      <c r="R2" s="565" t="s">
        <v>561</v>
      </c>
      <c r="S2" s="565" t="s">
        <v>560</v>
      </c>
      <c r="T2" s="565" t="s">
        <v>559</v>
      </c>
      <c r="U2" s="565" t="s">
        <v>558</v>
      </c>
      <c r="V2" s="565" t="s">
        <v>725</v>
      </c>
    </row>
    <row r="3" spans="1:22" ht="16.149999999999999" customHeight="1" x14ac:dyDescent="0.4">
      <c r="A3" s="589" t="s">
        <v>165</v>
      </c>
      <c r="B3" s="588"/>
      <c r="C3" s="588"/>
      <c r="D3" s="588"/>
      <c r="E3" s="588"/>
      <c r="F3" s="588"/>
      <c r="G3" s="588"/>
      <c r="H3" s="588"/>
      <c r="I3" s="588"/>
      <c r="J3" s="588"/>
      <c r="K3" s="588"/>
      <c r="L3" s="588"/>
      <c r="M3" s="588"/>
      <c r="N3" s="588"/>
      <c r="O3" s="588"/>
      <c r="P3" s="588"/>
      <c r="Q3" s="588"/>
      <c r="R3" s="588"/>
      <c r="S3" s="588"/>
      <c r="T3" s="588"/>
      <c r="U3" s="588"/>
      <c r="V3" s="587"/>
    </row>
    <row r="4" spans="1:22" ht="16.149999999999999" customHeight="1" x14ac:dyDescent="0.4">
      <c r="A4" s="586" t="s">
        <v>190</v>
      </c>
      <c r="B4" s="585"/>
      <c r="C4" s="584">
        <f>Revenue!$C5</f>
        <v>0</v>
      </c>
      <c r="D4" s="584">
        <f>Revenue!$O5</f>
        <v>0</v>
      </c>
      <c r="E4" s="584">
        <f>Revenue!$AA5</f>
        <v>0.3</v>
      </c>
      <c r="F4" s="584">
        <f>Revenue!$AM5</f>
        <v>0.5</v>
      </c>
      <c r="G4" s="584">
        <f>Revenue!$AY5</f>
        <v>0.7</v>
      </c>
      <c r="H4" s="584">
        <f>Revenue!$BK5</f>
        <v>0.85</v>
      </c>
      <c r="I4" s="584">
        <f>Revenue!$BW5</f>
        <v>0.85</v>
      </c>
      <c r="J4" s="584">
        <f>Revenue!$CI5</f>
        <v>0.85</v>
      </c>
      <c r="K4" s="584">
        <f>Revenue!$CU5</f>
        <v>0.85</v>
      </c>
      <c r="L4" s="584">
        <f>Revenue!$DG5</f>
        <v>0.85</v>
      </c>
      <c r="M4" s="584">
        <f>Revenue!$DS5</f>
        <v>0.85</v>
      </c>
      <c r="N4" s="584">
        <f>Revenue!$EE5</f>
        <v>0.85</v>
      </c>
      <c r="O4" s="584">
        <f>Revenue!$EQ5</f>
        <v>0.85</v>
      </c>
      <c r="P4" s="584">
        <f>Revenue!$FC5</f>
        <v>0.85</v>
      </c>
      <c r="Q4" s="584">
        <f>Revenue!$FO5</f>
        <v>0.85</v>
      </c>
      <c r="R4" s="584">
        <f>Revenue!$GA5</f>
        <v>0.85</v>
      </c>
      <c r="S4" s="584">
        <f>Revenue!$GM5</f>
        <v>0.85</v>
      </c>
      <c r="T4" s="584">
        <f>Revenue!$GY5</f>
        <v>0.85</v>
      </c>
      <c r="U4" s="584">
        <f>Revenue!$HK5</f>
        <v>0.85</v>
      </c>
      <c r="V4" s="583">
        <f>Revenue!$HW5</f>
        <v>0.85</v>
      </c>
    </row>
    <row r="5" spans="1:22" ht="16.149999999999999" hidden="1" customHeight="1" x14ac:dyDescent="0.4">
      <c r="A5" s="586" t="s">
        <v>191</v>
      </c>
      <c r="B5" s="585"/>
      <c r="C5" s="584">
        <f>Revenue!$C6</f>
        <v>0</v>
      </c>
      <c r="D5" s="584">
        <f>Revenue!$O6</f>
        <v>0</v>
      </c>
      <c r="E5" s="584">
        <f>Revenue!$AA6</f>
        <v>0.3</v>
      </c>
      <c r="F5" s="584">
        <f>Revenue!$AM6</f>
        <v>0.5</v>
      </c>
      <c r="G5" s="584">
        <f>Revenue!$AY6</f>
        <v>0.7</v>
      </c>
      <c r="H5" s="584">
        <f>Revenue!$BK6</f>
        <v>0.85</v>
      </c>
      <c r="I5" s="584">
        <f>Revenue!$BW6</f>
        <v>0.85</v>
      </c>
      <c r="J5" s="584">
        <f>Revenue!$CI6</f>
        <v>0.85</v>
      </c>
      <c r="K5" s="584">
        <f>Revenue!$CU6</f>
        <v>0.85</v>
      </c>
      <c r="L5" s="584">
        <f>Revenue!$DG6</f>
        <v>0.85</v>
      </c>
      <c r="M5" s="584">
        <f>Revenue!$DS6</f>
        <v>0.85</v>
      </c>
      <c r="N5" s="584">
        <f>Revenue!$EE6</f>
        <v>0.85</v>
      </c>
      <c r="O5" s="584">
        <f>Revenue!$EQ6</f>
        <v>0.85</v>
      </c>
      <c r="P5" s="584">
        <f>Revenue!$FC6</f>
        <v>0.85</v>
      </c>
      <c r="Q5" s="584">
        <f>Revenue!$FO6</f>
        <v>0.85</v>
      </c>
      <c r="R5" s="584">
        <f>Revenue!$GA6</f>
        <v>0.85</v>
      </c>
      <c r="S5" s="584">
        <f>Revenue!$GM6</f>
        <v>0.85</v>
      </c>
      <c r="T5" s="584">
        <f>Revenue!$GY6</f>
        <v>0.85</v>
      </c>
      <c r="U5" s="584">
        <f>Revenue!$HK6</f>
        <v>0.85</v>
      </c>
      <c r="V5" s="583">
        <f>Revenue!$HW6</f>
        <v>0.85</v>
      </c>
    </row>
    <row r="6" spans="1:22" ht="16.149999999999999" hidden="1" customHeight="1" x14ac:dyDescent="0.4">
      <c r="A6" s="586" t="s">
        <v>192</v>
      </c>
      <c r="B6" s="585"/>
      <c r="C6" s="584">
        <f>Revenue!$C7</f>
        <v>0</v>
      </c>
      <c r="D6" s="584">
        <f>Revenue!$O7</f>
        <v>0</v>
      </c>
      <c r="E6" s="584">
        <f>Revenue!$AA7</f>
        <v>0.3</v>
      </c>
      <c r="F6" s="584">
        <f>Revenue!$AM7</f>
        <v>0.5</v>
      </c>
      <c r="G6" s="584">
        <f>Revenue!$AY7</f>
        <v>0.7</v>
      </c>
      <c r="H6" s="584">
        <f>Revenue!$BK7</f>
        <v>0.85</v>
      </c>
      <c r="I6" s="584">
        <f>Revenue!$BW7</f>
        <v>0.85</v>
      </c>
      <c r="J6" s="584">
        <f>Revenue!$CI7</f>
        <v>0.85</v>
      </c>
      <c r="K6" s="584">
        <f>Revenue!$CU7</f>
        <v>0.85</v>
      </c>
      <c r="L6" s="584">
        <f>Revenue!$DG7</f>
        <v>0.85</v>
      </c>
      <c r="M6" s="584">
        <f>Revenue!$DS7</f>
        <v>0.85</v>
      </c>
      <c r="N6" s="584">
        <f>Revenue!$EE7</f>
        <v>0.85</v>
      </c>
      <c r="O6" s="584">
        <f>Revenue!$EQ7</f>
        <v>0.85</v>
      </c>
      <c r="P6" s="584">
        <f>Revenue!$FC7</f>
        <v>0.85</v>
      </c>
      <c r="Q6" s="584">
        <f>Revenue!$FO7</f>
        <v>0.85</v>
      </c>
      <c r="R6" s="584">
        <f>Revenue!$GA7</f>
        <v>0.85</v>
      </c>
      <c r="S6" s="584">
        <f>Revenue!$GM7</f>
        <v>0.85</v>
      </c>
      <c r="T6" s="584">
        <f>Revenue!$GY7</f>
        <v>0.85</v>
      </c>
      <c r="U6" s="584">
        <f>Revenue!$HK7</f>
        <v>0.85</v>
      </c>
      <c r="V6" s="583">
        <f>Revenue!$HW7</f>
        <v>0.85</v>
      </c>
    </row>
    <row r="7" spans="1:22" ht="16.149999999999999" hidden="1" customHeight="1" x14ac:dyDescent="0.4">
      <c r="A7" s="586" t="s">
        <v>193</v>
      </c>
      <c r="B7" s="585"/>
      <c r="C7" s="584">
        <f>Revenue!$C8</f>
        <v>0</v>
      </c>
      <c r="D7" s="584">
        <f>Revenue!$O8</f>
        <v>0</v>
      </c>
      <c r="E7" s="584">
        <f>Revenue!$AA8</f>
        <v>0.3</v>
      </c>
      <c r="F7" s="584">
        <f>Revenue!$AM8</f>
        <v>0.5</v>
      </c>
      <c r="G7" s="584">
        <f>Revenue!$AY8</f>
        <v>0.7</v>
      </c>
      <c r="H7" s="584">
        <f>Revenue!$BK8</f>
        <v>0.85</v>
      </c>
      <c r="I7" s="584">
        <f>Revenue!$BW8</f>
        <v>0.85</v>
      </c>
      <c r="J7" s="584">
        <f>Revenue!$CI8</f>
        <v>0.85</v>
      </c>
      <c r="K7" s="584">
        <f>Revenue!$CU8</f>
        <v>0.85</v>
      </c>
      <c r="L7" s="584">
        <f>Revenue!$DG8</f>
        <v>0.85</v>
      </c>
      <c r="M7" s="584">
        <f>Revenue!$DS8</f>
        <v>0.85</v>
      </c>
      <c r="N7" s="584">
        <f>Revenue!$EE8</f>
        <v>0.85</v>
      </c>
      <c r="O7" s="584">
        <f>Revenue!$EQ8</f>
        <v>0.85</v>
      </c>
      <c r="P7" s="584">
        <f>Revenue!$FC8</f>
        <v>0.85</v>
      </c>
      <c r="Q7" s="584">
        <f>Revenue!$FO8</f>
        <v>0.85</v>
      </c>
      <c r="R7" s="584">
        <f>Revenue!$GA8</f>
        <v>0.85</v>
      </c>
      <c r="S7" s="584">
        <f>Revenue!$GM8</f>
        <v>0.85</v>
      </c>
      <c r="T7" s="584">
        <f>Revenue!$GY8</f>
        <v>0.85</v>
      </c>
      <c r="U7" s="584">
        <f>Revenue!$HK8</f>
        <v>0.85</v>
      </c>
      <c r="V7" s="583">
        <f>Revenue!$HW8</f>
        <v>0.85</v>
      </c>
    </row>
    <row r="8" spans="1:22" ht="16.149999999999999" hidden="1" customHeight="1" x14ac:dyDescent="0.4">
      <c r="A8" s="586" t="s">
        <v>217</v>
      </c>
      <c r="B8" s="585"/>
      <c r="C8" s="584">
        <f>Revenue!$C9</f>
        <v>0</v>
      </c>
      <c r="D8" s="584">
        <f>Revenue!$O9</f>
        <v>0</v>
      </c>
      <c r="E8" s="584">
        <f>Revenue!$AA9</f>
        <v>0.3</v>
      </c>
      <c r="F8" s="584">
        <f>Revenue!$AM9</f>
        <v>0.5</v>
      </c>
      <c r="G8" s="584">
        <f>Revenue!$AY9</f>
        <v>0.7</v>
      </c>
      <c r="H8" s="584">
        <f>Revenue!$BK9</f>
        <v>0.85</v>
      </c>
      <c r="I8" s="584">
        <f>Revenue!$BW9</f>
        <v>0.85</v>
      </c>
      <c r="J8" s="584">
        <f>Revenue!$CI9</f>
        <v>0.85</v>
      </c>
      <c r="K8" s="584">
        <f>Revenue!$CU9</f>
        <v>0.85</v>
      </c>
      <c r="L8" s="584">
        <f>Revenue!$DG9</f>
        <v>0.85</v>
      </c>
      <c r="M8" s="584">
        <f>Revenue!$DS9</f>
        <v>0.85</v>
      </c>
      <c r="N8" s="584">
        <f>Revenue!$EE9</f>
        <v>0.85</v>
      </c>
      <c r="O8" s="584">
        <f>Revenue!$EQ9</f>
        <v>0.85</v>
      </c>
      <c r="P8" s="584">
        <f>Revenue!$FC9</f>
        <v>0.85</v>
      </c>
      <c r="Q8" s="584">
        <f>Revenue!$FO9</f>
        <v>0.85</v>
      </c>
      <c r="R8" s="584">
        <f>Revenue!$GA9</f>
        <v>0.85</v>
      </c>
      <c r="S8" s="584">
        <f>Revenue!$GM9</f>
        <v>0.85</v>
      </c>
      <c r="T8" s="584">
        <f>Revenue!$GY9</f>
        <v>0.85</v>
      </c>
      <c r="U8" s="584">
        <f>Revenue!$HK9</f>
        <v>0.85</v>
      </c>
      <c r="V8" s="583">
        <f>Revenue!$HW9</f>
        <v>0.85</v>
      </c>
    </row>
    <row r="9" spans="1:22" ht="16.149999999999999" hidden="1" customHeight="1" x14ac:dyDescent="0.4">
      <c r="A9" s="586" t="s">
        <v>218</v>
      </c>
      <c r="B9" s="585"/>
      <c r="C9" s="584">
        <f>Revenue!$C10</f>
        <v>0</v>
      </c>
      <c r="D9" s="584">
        <f>Revenue!$O10</f>
        <v>0</v>
      </c>
      <c r="E9" s="584">
        <f>Revenue!$AA10</f>
        <v>0.3</v>
      </c>
      <c r="F9" s="584">
        <f>Revenue!$AM10</f>
        <v>0.5</v>
      </c>
      <c r="G9" s="584">
        <f>Revenue!$AY10</f>
        <v>0.7</v>
      </c>
      <c r="H9" s="584">
        <f>Revenue!$BK10</f>
        <v>0.85</v>
      </c>
      <c r="I9" s="584">
        <f>Revenue!$BW10</f>
        <v>0.85</v>
      </c>
      <c r="J9" s="584">
        <f>Revenue!$CI10</f>
        <v>0.85</v>
      </c>
      <c r="K9" s="584">
        <f>Revenue!$CU10</f>
        <v>0.85</v>
      </c>
      <c r="L9" s="584">
        <f>Revenue!$DG10</f>
        <v>0.85</v>
      </c>
      <c r="M9" s="584">
        <f>Revenue!$DS10</f>
        <v>0.85</v>
      </c>
      <c r="N9" s="584">
        <f>Revenue!$EE10</f>
        <v>0.85</v>
      </c>
      <c r="O9" s="584">
        <f>Revenue!$EQ10</f>
        <v>0.85</v>
      </c>
      <c r="P9" s="584">
        <f>Revenue!$FC10</f>
        <v>0.85</v>
      </c>
      <c r="Q9" s="584">
        <f>Revenue!$FO10</f>
        <v>0.85</v>
      </c>
      <c r="R9" s="584">
        <f>Revenue!$GA10</f>
        <v>0.85</v>
      </c>
      <c r="S9" s="584">
        <f>Revenue!$GM10</f>
        <v>0.85</v>
      </c>
      <c r="T9" s="584">
        <f>Revenue!$GY10</f>
        <v>0.85</v>
      </c>
      <c r="U9" s="584">
        <f>Revenue!$HK10</f>
        <v>0.85</v>
      </c>
      <c r="V9" s="583">
        <f>Revenue!$HW10</f>
        <v>0.85</v>
      </c>
    </row>
    <row r="10" spans="1:22" ht="16.149999999999999" hidden="1" customHeight="1" x14ac:dyDescent="0.4">
      <c r="A10" s="586" t="s">
        <v>219</v>
      </c>
      <c r="B10" s="585"/>
      <c r="C10" s="584">
        <f>Revenue!$C11</f>
        <v>0</v>
      </c>
      <c r="D10" s="584">
        <f>Revenue!$O11</f>
        <v>0</v>
      </c>
      <c r="E10" s="584">
        <f>Revenue!$AA11</f>
        <v>0.3</v>
      </c>
      <c r="F10" s="584">
        <f>Revenue!$AM11</f>
        <v>0.5</v>
      </c>
      <c r="G10" s="584">
        <f>Revenue!$AY11</f>
        <v>0.7</v>
      </c>
      <c r="H10" s="584">
        <f>Revenue!$BK11</f>
        <v>0.85</v>
      </c>
      <c r="I10" s="584">
        <f>Revenue!$BW11</f>
        <v>0.85</v>
      </c>
      <c r="J10" s="584">
        <f>Revenue!$CI11</f>
        <v>0.85</v>
      </c>
      <c r="K10" s="584">
        <f>Revenue!$CU11</f>
        <v>0.85</v>
      </c>
      <c r="L10" s="584">
        <f>Revenue!$DG11</f>
        <v>0.85</v>
      </c>
      <c r="M10" s="584">
        <f>Revenue!$DS11</f>
        <v>0.85</v>
      </c>
      <c r="N10" s="584">
        <f>Revenue!$EE11</f>
        <v>0.85</v>
      </c>
      <c r="O10" s="584">
        <f>Revenue!$EQ11</f>
        <v>0.85</v>
      </c>
      <c r="P10" s="584">
        <f>Revenue!$FC11</f>
        <v>0.85</v>
      </c>
      <c r="Q10" s="584">
        <f>Revenue!$FO11</f>
        <v>0.85</v>
      </c>
      <c r="R10" s="584">
        <f>Revenue!$GA11</f>
        <v>0.85</v>
      </c>
      <c r="S10" s="584">
        <f>Revenue!$GM11</f>
        <v>0.85</v>
      </c>
      <c r="T10" s="584">
        <f>Revenue!$GY11</f>
        <v>0.85</v>
      </c>
      <c r="U10" s="584">
        <f>Revenue!$HK11</f>
        <v>0.85</v>
      </c>
      <c r="V10" s="583">
        <f>Revenue!$HW11</f>
        <v>0.85</v>
      </c>
    </row>
    <row r="11" spans="1:22" ht="16.149999999999999" hidden="1" customHeight="1" x14ac:dyDescent="0.4">
      <c r="A11" s="586" t="s">
        <v>220</v>
      </c>
      <c r="B11" s="585"/>
      <c r="C11" s="584">
        <f>Revenue!$C12</f>
        <v>0</v>
      </c>
      <c r="D11" s="584">
        <f>Revenue!$O12</f>
        <v>0</v>
      </c>
      <c r="E11" s="584">
        <f>Revenue!$AA12</f>
        <v>0.3</v>
      </c>
      <c r="F11" s="584">
        <f>Revenue!$AM12</f>
        <v>0.5</v>
      </c>
      <c r="G11" s="584">
        <f>Revenue!$AY12</f>
        <v>0.7</v>
      </c>
      <c r="H11" s="584">
        <f>Revenue!$BK12</f>
        <v>0.85</v>
      </c>
      <c r="I11" s="584">
        <f>Revenue!$BW12</f>
        <v>0.85</v>
      </c>
      <c r="J11" s="584">
        <f>Revenue!$CI12</f>
        <v>0.85</v>
      </c>
      <c r="K11" s="584">
        <f>Revenue!$CU12</f>
        <v>0.85</v>
      </c>
      <c r="L11" s="584">
        <f>Revenue!$DG12</f>
        <v>0.85</v>
      </c>
      <c r="M11" s="584">
        <f>Revenue!$DS12</f>
        <v>0.85</v>
      </c>
      <c r="N11" s="584">
        <f>Revenue!$EE12</f>
        <v>0.85</v>
      </c>
      <c r="O11" s="584">
        <f>Revenue!$EQ12</f>
        <v>0.85</v>
      </c>
      <c r="P11" s="584">
        <f>Revenue!$FC12</f>
        <v>0.85</v>
      </c>
      <c r="Q11" s="584">
        <f>Revenue!$FO12</f>
        <v>0.85</v>
      </c>
      <c r="R11" s="584">
        <f>Revenue!$GA12</f>
        <v>0.85</v>
      </c>
      <c r="S11" s="584">
        <f>Revenue!$GM12</f>
        <v>0.85</v>
      </c>
      <c r="T11" s="584">
        <f>Revenue!$GY12</f>
        <v>0.85</v>
      </c>
      <c r="U11" s="584">
        <f>Revenue!$HK12</f>
        <v>0.85</v>
      </c>
      <c r="V11" s="583">
        <f>Revenue!$HW12</f>
        <v>0.85</v>
      </c>
    </row>
    <row r="12" spans="1:22" ht="16.149999999999999" hidden="1" customHeight="1" x14ac:dyDescent="0.4">
      <c r="A12" s="586" t="s">
        <v>373</v>
      </c>
      <c r="B12" s="585"/>
      <c r="C12" s="584">
        <f>Revenue!$C13</f>
        <v>0</v>
      </c>
      <c r="D12" s="584">
        <f>Revenue!$O13</f>
        <v>0</v>
      </c>
      <c r="E12" s="584">
        <f>Revenue!$AA13</f>
        <v>0.3</v>
      </c>
      <c r="F12" s="584">
        <f>Revenue!$AM13</f>
        <v>0.5</v>
      </c>
      <c r="G12" s="584">
        <f>Revenue!$AY13</f>
        <v>0.7</v>
      </c>
      <c r="H12" s="584">
        <f>Revenue!$BK13</f>
        <v>0.85</v>
      </c>
      <c r="I12" s="584">
        <f>Revenue!$BW13</f>
        <v>0.85</v>
      </c>
      <c r="J12" s="584">
        <f>Revenue!$CI13</f>
        <v>0.85</v>
      </c>
      <c r="K12" s="584">
        <f>Revenue!$CU13</f>
        <v>0.85</v>
      </c>
      <c r="L12" s="584">
        <f>Revenue!$DG13</f>
        <v>0.85</v>
      </c>
      <c r="M12" s="584">
        <f>Revenue!$DS13</f>
        <v>0.85</v>
      </c>
      <c r="N12" s="584">
        <f>Revenue!$EE13</f>
        <v>0.85</v>
      </c>
      <c r="O12" s="584">
        <f>Revenue!$EQ13</f>
        <v>0.85</v>
      </c>
      <c r="P12" s="584">
        <f>Revenue!$FC13</f>
        <v>0.85</v>
      </c>
      <c r="Q12" s="584">
        <f>Revenue!$FO13</f>
        <v>0.85</v>
      </c>
      <c r="R12" s="584">
        <f>Revenue!$GA13</f>
        <v>0.85</v>
      </c>
      <c r="S12" s="584">
        <f>Revenue!$GM13</f>
        <v>0.85</v>
      </c>
      <c r="T12" s="584">
        <f>Revenue!$GY13</f>
        <v>0.85</v>
      </c>
      <c r="U12" s="584">
        <f>Revenue!$HK13</f>
        <v>0.85</v>
      </c>
      <c r="V12" s="583">
        <f>Revenue!$HW13</f>
        <v>0.85</v>
      </c>
    </row>
    <row r="13" spans="1:22" ht="16.149999999999999" hidden="1" customHeight="1" x14ac:dyDescent="0.4">
      <c r="A13" s="586" t="s">
        <v>56</v>
      </c>
      <c r="B13" s="585"/>
      <c r="C13" s="584">
        <f>Revenue!$C14</f>
        <v>0</v>
      </c>
      <c r="D13" s="584">
        <f>Revenue!$O14</f>
        <v>0</v>
      </c>
      <c r="E13" s="584">
        <f>Revenue!$AA14</f>
        <v>0.3</v>
      </c>
      <c r="F13" s="584">
        <f>Revenue!$AM14</f>
        <v>0.5</v>
      </c>
      <c r="G13" s="584">
        <f>Revenue!$AY14</f>
        <v>0.7</v>
      </c>
      <c r="H13" s="584">
        <f>Revenue!$BK14</f>
        <v>0.85</v>
      </c>
      <c r="I13" s="584">
        <f>Revenue!$BW14</f>
        <v>0.85</v>
      </c>
      <c r="J13" s="584">
        <f>Revenue!$CI14</f>
        <v>0.85</v>
      </c>
      <c r="K13" s="584">
        <f>Revenue!$CU14</f>
        <v>0.85</v>
      </c>
      <c r="L13" s="584">
        <f>Revenue!$DG14</f>
        <v>0.85</v>
      </c>
      <c r="M13" s="584">
        <f>Revenue!$DS14</f>
        <v>0.85</v>
      </c>
      <c r="N13" s="584">
        <f>Revenue!$EE14</f>
        <v>0.85</v>
      </c>
      <c r="O13" s="584">
        <f>Revenue!$EQ14</f>
        <v>0.85</v>
      </c>
      <c r="P13" s="584">
        <f>Revenue!$FC14</f>
        <v>0.85</v>
      </c>
      <c r="Q13" s="584">
        <f>Revenue!$FO14</f>
        <v>0.85</v>
      </c>
      <c r="R13" s="584">
        <f>Revenue!$GA14</f>
        <v>0.85</v>
      </c>
      <c r="S13" s="584">
        <f>Revenue!$GM14</f>
        <v>0.85</v>
      </c>
      <c r="T13" s="584">
        <f>Revenue!$GY14</f>
        <v>0.85</v>
      </c>
      <c r="U13" s="584">
        <f>Revenue!$HK14</f>
        <v>0.85</v>
      </c>
      <c r="V13" s="583">
        <f>Revenue!$HW14</f>
        <v>0.85</v>
      </c>
    </row>
    <row r="14" spans="1:22" ht="16.149999999999999" hidden="1" customHeight="1" x14ac:dyDescent="0.4">
      <c r="A14" s="586" t="s">
        <v>66</v>
      </c>
      <c r="B14" s="585"/>
      <c r="C14" s="584">
        <f>Revenue!$C15</f>
        <v>0</v>
      </c>
      <c r="D14" s="584">
        <f>Revenue!$O15</f>
        <v>0</v>
      </c>
      <c r="E14" s="584">
        <f>Revenue!$AA15</f>
        <v>0.3</v>
      </c>
      <c r="F14" s="584">
        <f>Revenue!$AM15</f>
        <v>0.5</v>
      </c>
      <c r="G14" s="584">
        <f>Revenue!$AY15</f>
        <v>0.7</v>
      </c>
      <c r="H14" s="584">
        <f>Revenue!$BK15</f>
        <v>0.85</v>
      </c>
      <c r="I14" s="584">
        <f>Revenue!$BW15</f>
        <v>0.85</v>
      </c>
      <c r="J14" s="584">
        <f>Revenue!$CI15</f>
        <v>0.85</v>
      </c>
      <c r="K14" s="584">
        <f>Revenue!$CU15</f>
        <v>0.85</v>
      </c>
      <c r="L14" s="584">
        <f>Revenue!$DG15</f>
        <v>0.85</v>
      </c>
      <c r="M14" s="584">
        <f>Revenue!$DS15</f>
        <v>0.85</v>
      </c>
      <c r="N14" s="584">
        <f>Revenue!$EE15</f>
        <v>0.85</v>
      </c>
      <c r="O14" s="584">
        <f>Revenue!$EQ15</f>
        <v>0.85</v>
      </c>
      <c r="P14" s="584">
        <f>Revenue!$FC15</f>
        <v>0.85</v>
      </c>
      <c r="Q14" s="584">
        <f>Revenue!$FO15</f>
        <v>0.85</v>
      </c>
      <c r="R14" s="584">
        <f>Revenue!$GA15</f>
        <v>0.85</v>
      </c>
      <c r="S14" s="584">
        <f>Revenue!$GM15</f>
        <v>0.85</v>
      </c>
      <c r="T14" s="584">
        <f>Revenue!$GY15</f>
        <v>0.85</v>
      </c>
      <c r="U14" s="584">
        <f>Revenue!$HK15</f>
        <v>0.85</v>
      </c>
      <c r="V14" s="583">
        <f>Revenue!$HW15</f>
        <v>0.85</v>
      </c>
    </row>
    <row r="15" spans="1:22" ht="16.149999999999999" customHeight="1" thickBot="1" x14ac:dyDescent="0.45">
      <c r="A15" s="582" t="s">
        <v>153</v>
      </c>
      <c r="B15" s="581"/>
      <c r="C15" s="580">
        <f>Revenue!$C16</f>
        <v>0</v>
      </c>
      <c r="D15" s="580">
        <f>Revenue!$O16</f>
        <v>0</v>
      </c>
      <c r="E15" s="580">
        <f>Revenue!$AA16</f>
        <v>1</v>
      </c>
      <c r="F15" s="580">
        <f>Revenue!$AM16</f>
        <v>1</v>
      </c>
      <c r="G15" s="580">
        <f>Revenue!$AY16</f>
        <v>1</v>
      </c>
      <c r="H15" s="580">
        <f>Revenue!$BK16</f>
        <v>1</v>
      </c>
      <c r="I15" s="580">
        <f>Revenue!$BW16</f>
        <v>1</v>
      </c>
      <c r="J15" s="580">
        <f>Revenue!$CI16</f>
        <v>1</v>
      </c>
      <c r="K15" s="580">
        <f>Revenue!$CU16</f>
        <v>1</v>
      </c>
      <c r="L15" s="580">
        <f>Revenue!$DG16</f>
        <v>1</v>
      </c>
      <c r="M15" s="580">
        <f>Revenue!$DS16</f>
        <v>1</v>
      </c>
      <c r="N15" s="580">
        <f>Revenue!$EE16</f>
        <v>1</v>
      </c>
      <c r="O15" s="580">
        <f>Revenue!$EQ16</f>
        <v>1</v>
      </c>
      <c r="P15" s="580">
        <f>Revenue!$FC16</f>
        <v>1</v>
      </c>
      <c r="Q15" s="580">
        <f>Revenue!$FO16</f>
        <v>1</v>
      </c>
      <c r="R15" s="580">
        <f>Revenue!$GA16</f>
        <v>1</v>
      </c>
      <c r="S15" s="580">
        <f>Revenue!$GM16</f>
        <v>1</v>
      </c>
      <c r="T15" s="580">
        <f>Revenue!$GY16</f>
        <v>1</v>
      </c>
      <c r="U15" s="580">
        <f>Revenue!$HK16</f>
        <v>1</v>
      </c>
      <c r="V15" s="579">
        <f>Revenue!$HW16</f>
        <v>1</v>
      </c>
    </row>
    <row r="16" spans="1:22" ht="16.149999999999999" hidden="1" customHeight="1" x14ac:dyDescent="0.4">
      <c r="A16" s="284" t="s">
        <v>152</v>
      </c>
      <c r="C16" s="554">
        <f>Revenue!$C17</f>
        <v>0</v>
      </c>
      <c r="D16" s="554">
        <f>Revenue!$O17</f>
        <v>0</v>
      </c>
      <c r="E16" s="554">
        <f>Revenue!$AA17</f>
        <v>0.3</v>
      </c>
      <c r="F16" s="554">
        <f>Revenue!$AM17</f>
        <v>0.5</v>
      </c>
      <c r="G16" s="554">
        <f>Revenue!$AY17</f>
        <v>0.7</v>
      </c>
      <c r="H16" s="554">
        <f>Revenue!$BK17</f>
        <v>0.85</v>
      </c>
      <c r="I16" s="554">
        <f>Revenue!$BW17</f>
        <v>0.85</v>
      </c>
      <c r="J16" s="554">
        <f>Revenue!$CI17</f>
        <v>0.85</v>
      </c>
      <c r="K16" s="554">
        <f>Revenue!$CU17</f>
        <v>0.85</v>
      </c>
      <c r="L16" s="554">
        <f>Revenue!$DG17</f>
        <v>0.85</v>
      </c>
      <c r="M16" s="554">
        <f>Revenue!$DS17</f>
        <v>0.85</v>
      </c>
      <c r="N16" s="554">
        <f>Revenue!$EE17</f>
        <v>0.85</v>
      </c>
      <c r="O16" s="554">
        <f>Revenue!$EQ17</f>
        <v>0.85</v>
      </c>
      <c r="P16" s="554">
        <f>Revenue!$FC17</f>
        <v>0.85</v>
      </c>
      <c r="Q16" s="554">
        <f>Revenue!$FO17</f>
        <v>0.85</v>
      </c>
      <c r="R16" s="554">
        <f>Revenue!$GA17</f>
        <v>0.85</v>
      </c>
      <c r="S16" s="554">
        <f>Revenue!$GM17</f>
        <v>0.85</v>
      </c>
      <c r="T16" s="554">
        <f>Revenue!$GY17</f>
        <v>0.85</v>
      </c>
      <c r="U16" s="554">
        <f>Revenue!$HK17</f>
        <v>0.85</v>
      </c>
      <c r="V16" s="554">
        <f>Revenue!$HW17</f>
        <v>0.85</v>
      </c>
    </row>
    <row r="17" spans="1:22" ht="16.149999999999999" hidden="1" customHeight="1" x14ac:dyDescent="0.4">
      <c r="A17" s="284" t="s">
        <v>95</v>
      </c>
      <c r="C17" s="554">
        <f>Revenue!$C18</f>
        <v>0</v>
      </c>
      <c r="D17" s="554">
        <f>Revenue!$O18</f>
        <v>0</v>
      </c>
      <c r="E17" s="554">
        <f>Revenue!$AA18</f>
        <v>0.3</v>
      </c>
      <c r="F17" s="554">
        <f>Revenue!$AM18</f>
        <v>0.5</v>
      </c>
      <c r="G17" s="554">
        <f>Revenue!$AY18</f>
        <v>0.7</v>
      </c>
      <c r="H17" s="554">
        <f>Revenue!$BK18</f>
        <v>0.85</v>
      </c>
      <c r="I17" s="554">
        <f>Revenue!$BW18</f>
        <v>0.85</v>
      </c>
      <c r="J17" s="554">
        <f>Revenue!$CI18</f>
        <v>0.85</v>
      </c>
      <c r="K17" s="554">
        <f>Revenue!$CU18</f>
        <v>0.85</v>
      </c>
      <c r="L17" s="554">
        <f>Revenue!$DG18</f>
        <v>0.85</v>
      </c>
      <c r="M17" s="554">
        <f>Revenue!$DS18</f>
        <v>0.85</v>
      </c>
      <c r="N17" s="554">
        <f>Revenue!$EE18</f>
        <v>0.85</v>
      </c>
      <c r="O17" s="554">
        <f>Revenue!$EQ18</f>
        <v>0.85</v>
      </c>
      <c r="P17" s="554">
        <f>Revenue!$FC18</f>
        <v>0.85</v>
      </c>
      <c r="Q17" s="554">
        <f>Revenue!$FO18</f>
        <v>0.85</v>
      </c>
      <c r="R17" s="554">
        <f>Revenue!$GA18</f>
        <v>0.85</v>
      </c>
      <c r="S17" s="554">
        <f>Revenue!$GM18</f>
        <v>0.85</v>
      </c>
      <c r="T17" s="554">
        <f>Revenue!$GY18</f>
        <v>0.85</v>
      </c>
      <c r="U17" s="554">
        <f>Revenue!$HK18</f>
        <v>0.85</v>
      </c>
      <c r="V17" s="554">
        <f>Revenue!$HW18</f>
        <v>0.85</v>
      </c>
    </row>
    <row r="18" spans="1:22" ht="16.149999999999999" hidden="1" customHeight="1" thickBot="1" x14ac:dyDescent="0.45">
      <c r="C18" s="554"/>
      <c r="D18" s="554"/>
      <c r="E18" s="554"/>
      <c r="F18" s="554"/>
      <c r="G18" s="554"/>
      <c r="H18" s="554"/>
      <c r="I18" s="554"/>
      <c r="J18" s="554"/>
      <c r="K18" s="554"/>
      <c r="L18" s="554"/>
      <c r="M18" s="554"/>
      <c r="N18" s="554"/>
      <c r="O18" s="554"/>
      <c r="P18" s="554"/>
      <c r="Q18" s="554"/>
      <c r="R18" s="554"/>
      <c r="S18" s="554"/>
      <c r="T18" s="554"/>
      <c r="U18" s="554"/>
      <c r="V18" s="554"/>
    </row>
    <row r="19" spans="1:22" s="565" customFormat="1" ht="16.149999999999999" customHeight="1" thickBot="1" x14ac:dyDescent="0.4">
      <c r="A19" s="578" t="s">
        <v>182</v>
      </c>
      <c r="B19" s="577"/>
      <c r="C19" s="576">
        <f>Revenue!$C20</f>
        <v>1</v>
      </c>
      <c r="D19" s="576">
        <f>Revenue!$O20</f>
        <v>1</v>
      </c>
      <c r="E19" s="576">
        <f>Revenue!$AA20</f>
        <v>1</v>
      </c>
      <c r="F19" s="576">
        <f>Revenue!$AM20</f>
        <v>1</v>
      </c>
      <c r="G19" s="576">
        <f>Revenue!$AY20</f>
        <v>1.05</v>
      </c>
      <c r="H19" s="576">
        <f>Revenue!$BK20</f>
        <v>1.05</v>
      </c>
      <c r="I19" s="576">
        <f>Revenue!$BW20</f>
        <v>1.1000000000000001</v>
      </c>
      <c r="J19" s="576">
        <f>Revenue!$CI20</f>
        <v>1.1000000000000001</v>
      </c>
      <c r="K19" s="576">
        <f>Revenue!$CU20</f>
        <v>1.1500000000000001</v>
      </c>
      <c r="L19" s="576">
        <f>Revenue!$DG20</f>
        <v>1.1500000000000001</v>
      </c>
      <c r="M19" s="576">
        <f>Revenue!$DS20</f>
        <v>1.2000000000000002</v>
      </c>
      <c r="N19" s="576">
        <f>Revenue!$EE20</f>
        <v>1.2000000000000002</v>
      </c>
      <c r="O19" s="576">
        <f>Revenue!$EQ20</f>
        <v>1.2500000000000002</v>
      </c>
      <c r="P19" s="576">
        <f>Revenue!$FC20</f>
        <v>1.2500000000000002</v>
      </c>
      <c r="Q19" s="576">
        <f>Revenue!$FO20</f>
        <v>1.3000000000000003</v>
      </c>
      <c r="R19" s="576">
        <f>Revenue!$GA20</f>
        <v>1.3000000000000003</v>
      </c>
      <c r="S19" s="576">
        <f>Revenue!$GM20</f>
        <v>1.3500000000000003</v>
      </c>
      <c r="T19" s="576">
        <f>Revenue!$GY20</f>
        <v>1.3500000000000003</v>
      </c>
      <c r="U19" s="576">
        <f>Revenue!$HK20</f>
        <v>1.4000000000000004</v>
      </c>
      <c r="V19" s="575">
        <f>Revenue!$HW20</f>
        <v>1.4000000000000004</v>
      </c>
    </row>
    <row r="20" spans="1:22" ht="16.149999999999999" customHeight="1" x14ac:dyDescent="0.4"/>
    <row r="21" spans="1:22" ht="16.149999999999999" hidden="1" customHeight="1" x14ac:dyDescent="0.4">
      <c r="A21" s="565" t="s">
        <v>330</v>
      </c>
      <c r="G21" s="574"/>
      <c r="H21" s="574"/>
      <c r="I21" s="574"/>
      <c r="J21" s="574"/>
      <c r="K21" s="574"/>
      <c r="L21" s="574"/>
      <c r="M21" s="574"/>
      <c r="N21" s="574"/>
      <c r="O21" s="574"/>
      <c r="P21" s="574"/>
      <c r="Q21" s="574"/>
      <c r="R21" s="574"/>
      <c r="S21" s="574"/>
      <c r="T21" s="574"/>
      <c r="U21" s="574"/>
      <c r="V21" s="574"/>
    </row>
    <row r="22" spans="1:22" ht="16.149999999999999" customHeight="1" thickBot="1" x14ac:dyDescent="0.45">
      <c r="A22" s="565" t="s">
        <v>163</v>
      </c>
      <c r="B22" s="565" t="s">
        <v>330</v>
      </c>
      <c r="C22" s="572"/>
      <c r="D22" s="572"/>
      <c r="E22" s="573" t="s">
        <v>681</v>
      </c>
      <c r="F22" s="572"/>
      <c r="G22" s="572"/>
      <c r="H22" s="572"/>
      <c r="I22" s="572"/>
      <c r="J22" s="572"/>
      <c r="K22" s="572"/>
      <c r="L22" s="572"/>
      <c r="M22" s="572"/>
      <c r="N22" s="572"/>
      <c r="O22" s="572"/>
      <c r="P22" s="572"/>
      <c r="Q22" s="572"/>
      <c r="R22" s="572"/>
      <c r="S22" s="572"/>
      <c r="T22" s="572"/>
      <c r="U22" s="572"/>
      <c r="V22" s="572"/>
    </row>
    <row r="23" spans="1:22" ht="16.149999999999999" customHeight="1" x14ac:dyDescent="0.4">
      <c r="A23" s="563" t="s">
        <v>190</v>
      </c>
      <c r="B23" s="562">
        <f>Input!$G40</f>
        <v>45.625</v>
      </c>
      <c r="C23" s="571">
        <f>Revenue!$C24</f>
        <v>45.625</v>
      </c>
      <c r="D23" s="570">
        <f>Revenue!$O24</f>
        <v>45.625</v>
      </c>
      <c r="E23" s="570">
        <f>Revenue!$AA24</f>
        <v>45.625</v>
      </c>
      <c r="F23" s="570">
        <f>Revenue!$AM24</f>
        <v>45.625</v>
      </c>
      <c r="G23" s="570">
        <f>Revenue!$AY24</f>
        <v>47.90625</v>
      </c>
      <c r="H23" s="570">
        <f>Revenue!$BK24</f>
        <v>47.90625</v>
      </c>
      <c r="I23" s="570">
        <f>Revenue!$BW24</f>
        <v>50.187500000000007</v>
      </c>
      <c r="J23" s="570">
        <f>Revenue!$CI24</f>
        <v>50.187500000000007</v>
      </c>
      <c r="K23" s="570">
        <f>Revenue!$CU24</f>
        <v>52.468750000000007</v>
      </c>
      <c r="L23" s="570">
        <f>Revenue!$DG24</f>
        <v>52.468750000000007</v>
      </c>
      <c r="M23" s="570">
        <f>Revenue!$DS24</f>
        <v>54.750000000000007</v>
      </c>
      <c r="N23" s="570">
        <f>Revenue!$EE24</f>
        <v>54.750000000000007</v>
      </c>
      <c r="O23" s="570">
        <f>Revenue!$EQ24</f>
        <v>57.031250000000007</v>
      </c>
      <c r="P23" s="570">
        <f>Revenue!$FC24</f>
        <v>57.031250000000007</v>
      </c>
      <c r="Q23" s="570">
        <f>Revenue!$FO24</f>
        <v>59.312500000000014</v>
      </c>
      <c r="R23" s="570">
        <f>Revenue!$GA24</f>
        <v>59.312500000000014</v>
      </c>
      <c r="S23" s="570">
        <f>Revenue!$GM24</f>
        <v>61.593750000000014</v>
      </c>
      <c r="T23" s="570">
        <f>Revenue!$GY24</f>
        <v>61.593750000000014</v>
      </c>
      <c r="U23" s="570">
        <f>Revenue!$HK24</f>
        <v>63.875000000000014</v>
      </c>
      <c r="V23" s="570">
        <f>Revenue!$HW24</f>
        <v>63.875000000000014</v>
      </c>
    </row>
    <row r="24" spans="1:22" ht="16.149999999999999" customHeight="1" x14ac:dyDescent="0.4">
      <c r="A24" s="561" t="s">
        <v>191</v>
      </c>
      <c r="B24" s="560">
        <f>Input!$G41</f>
        <v>65</v>
      </c>
      <c r="C24" s="559">
        <f>Revenue!$C25</f>
        <v>65</v>
      </c>
      <c r="D24" s="558">
        <f>Revenue!$O25</f>
        <v>65</v>
      </c>
      <c r="E24" s="558">
        <f>Revenue!$AA25</f>
        <v>65</v>
      </c>
      <c r="F24" s="558">
        <f>Revenue!$AM25</f>
        <v>65</v>
      </c>
      <c r="G24" s="558">
        <f>Revenue!$AY25</f>
        <v>68.25</v>
      </c>
      <c r="H24" s="558">
        <f>Revenue!$BK25</f>
        <v>68.25</v>
      </c>
      <c r="I24" s="558">
        <f>Revenue!$BW25</f>
        <v>71.5</v>
      </c>
      <c r="J24" s="558">
        <f>Revenue!$CI25</f>
        <v>71.5</v>
      </c>
      <c r="K24" s="558">
        <f>Revenue!$CU25</f>
        <v>74.750000000000014</v>
      </c>
      <c r="L24" s="558">
        <f>Revenue!$DG25</f>
        <v>74.750000000000014</v>
      </c>
      <c r="M24" s="558">
        <f>Revenue!$DS25</f>
        <v>78.000000000000014</v>
      </c>
      <c r="N24" s="558">
        <f>Revenue!$EE25</f>
        <v>78.000000000000014</v>
      </c>
      <c r="O24" s="558">
        <f>Revenue!$EQ25</f>
        <v>81.250000000000014</v>
      </c>
      <c r="P24" s="558">
        <f>Revenue!$FC25</f>
        <v>81.250000000000014</v>
      </c>
      <c r="Q24" s="558">
        <f>Revenue!$FO25</f>
        <v>84.500000000000014</v>
      </c>
      <c r="R24" s="558">
        <f>Revenue!$GA25</f>
        <v>84.500000000000014</v>
      </c>
      <c r="S24" s="558">
        <f>Revenue!$GM25</f>
        <v>87.750000000000014</v>
      </c>
      <c r="T24" s="558">
        <f>Revenue!$GY25</f>
        <v>87.750000000000014</v>
      </c>
      <c r="U24" s="558">
        <f>Revenue!$HK25</f>
        <v>91.000000000000028</v>
      </c>
      <c r="V24" s="558">
        <f>Revenue!$HW25</f>
        <v>91.000000000000028</v>
      </c>
    </row>
    <row r="25" spans="1:22" ht="16.149999999999999" customHeight="1" x14ac:dyDescent="0.4">
      <c r="A25" s="561" t="s">
        <v>192</v>
      </c>
      <c r="B25" s="560">
        <f>Input!$G42</f>
        <v>120</v>
      </c>
      <c r="C25" s="559">
        <f>Revenue!$C26</f>
        <v>120</v>
      </c>
      <c r="D25" s="558">
        <f>Revenue!$O26</f>
        <v>120</v>
      </c>
      <c r="E25" s="558">
        <f>Revenue!$AA26</f>
        <v>120</v>
      </c>
      <c r="F25" s="558">
        <f>Revenue!$AM26</f>
        <v>120</v>
      </c>
      <c r="G25" s="558">
        <f>Revenue!$AY26</f>
        <v>126</v>
      </c>
      <c r="H25" s="558">
        <f>Revenue!$BK26</f>
        <v>126</v>
      </c>
      <c r="I25" s="558">
        <f>Revenue!$BW26</f>
        <v>132</v>
      </c>
      <c r="J25" s="558">
        <f>Revenue!$CI26</f>
        <v>132</v>
      </c>
      <c r="K25" s="558">
        <f>Revenue!$CU26</f>
        <v>138.00000000000003</v>
      </c>
      <c r="L25" s="558">
        <f>Revenue!$DG26</f>
        <v>138.00000000000003</v>
      </c>
      <c r="M25" s="558">
        <f>Revenue!$DS26</f>
        <v>144.00000000000003</v>
      </c>
      <c r="N25" s="558">
        <f>Revenue!$EE26</f>
        <v>144.00000000000003</v>
      </c>
      <c r="O25" s="558">
        <f>Revenue!$EQ26</f>
        <v>150.00000000000003</v>
      </c>
      <c r="P25" s="558">
        <f>Revenue!$FC26</f>
        <v>150.00000000000003</v>
      </c>
      <c r="Q25" s="558">
        <f>Revenue!$FO26</f>
        <v>156.00000000000003</v>
      </c>
      <c r="R25" s="558">
        <f>Revenue!$GA26</f>
        <v>156.00000000000003</v>
      </c>
      <c r="S25" s="558">
        <f>Revenue!$GM26</f>
        <v>162.00000000000003</v>
      </c>
      <c r="T25" s="558">
        <f>Revenue!$GY26</f>
        <v>162.00000000000003</v>
      </c>
      <c r="U25" s="558">
        <f>Revenue!$HK26</f>
        <v>168.00000000000006</v>
      </c>
      <c r="V25" s="558">
        <f>Revenue!$HW26</f>
        <v>168.00000000000006</v>
      </c>
    </row>
    <row r="26" spans="1:22" ht="16.149999999999999" customHeight="1" x14ac:dyDescent="0.4">
      <c r="A26" s="561" t="s">
        <v>193</v>
      </c>
      <c r="B26" s="560">
        <f>Input!$G43</f>
        <v>120</v>
      </c>
      <c r="C26" s="559">
        <f>Revenue!$C27</f>
        <v>120</v>
      </c>
      <c r="D26" s="558">
        <f>Revenue!$O27</f>
        <v>120</v>
      </c>
      <c r="E26" s="558">
        <f>Revenue!$AA27</f>
        <v>120</v>
      </c>
      <c r="F26" s="558">
        <f>Revenue!$AM27</f>
        <v>120</v>
      </c>
      <c r="G26" s="558">
        <f>Revenue!$AY27</f>
        <v>126</v>
      </c>
      <c r="H26" s="558">
        <f>Revenue!$BK27</f>
        <v>126</v>
      </c>
      <c r="I26" s="558">
        <f>Revenue!$BW27</f>
        <v>132</v>
      </c>
      <c r="J26" s="558">
        <f>Revenue!$CI27</f>
        <v>132</v>
      </c>
      <c r="K26" s="558">
        <f>Revenue!$CU27</f>
        <v>138.00000000000003</v>
      </c>
      <c r="L26" s="558">
        <f>Revenue!$DG27</f>
        <v>138.00000000000003</v>
      </c>
      <c r="M26" s="558">
        <f>Revenue!$DS27</f>
        <v>144.00000000000003</v>
      </c>
      <c r="N26" s="558">
        <f>Revenue!$EE27</f>
        <v>144.00000000000003</v>
      </c>
      <c r="O26" s="558">
        <f>Revenue!$EQ27</f>
        <v>150.00000000000003</v>
      </c>
      <c r="P26" s="558">
        <f>Revenue!$FC27</f>
        <v>150.00000000000003</v>
      </c>
      <c r="Q26" s="558">
        <f>Revenue!$FO27</f>
        <v>156.00000000000003</v>
      </c>
      <c r="R26" s="558">
        <f>Revenue!$GA27</f>
        <v>156.00000000000003</v>
      </c>
      <c r="S26" s="558">
        <f>Revenue!$GM27</f>
        <v>162.00000000000003</v>
      </c>
      <c r="T26" s="558">
        <f>Revenue!$GY27</f>
        <v>162.00000000000003</v>
      </c>
      <c r="U26" s="558">
        <f>Revenue!$HK27</f>
        <v>168.00000000000006</v>
      </c>
      <c r="V26" s="558">
        <f>Revenue!$HW27</f>
        <v>168.00000000000006</v>
      </c>
    </row>
    <row r="27" spans="1:22" ht="16.149999999999999" customHeight="1" x14ac:dyDescent="0.4">
      <c r="A27" s="561" t="s">
        <v>217</v>
      </c>
      <c r="B27" s="560">
        <f>Input!$G49</f>
        <v>45.625</v>
      </c>
      <c r="C27" s="559">
        <f>Revenue!$C28</f>
        <v>45.625</v>
      </c>
      <c r="D27" s="558">
        <f>Revenue!$O28</f>
        <v>45.625</v>
      </c>
      <c r="E27" s="558">
        <f>Revenue!$AA28</f>
        <v>45.625</v>
      </c>
      <c r="F27" s="558">
        <f>Revenue!$AM28</f>
        <v>45.625</v>
      </c>
      <c r="G27" s="558">
        <f>Revenue!$AY28</f>
        <v>47.90625</v>
      </c>
      <c r="H27" s="558">
        <f>Revenue!$BK28</f>
        <v>47.90625</v>
      </c>
      <c r="I27" s="558">
        <f>Revenue!$BW28</f>
        <v>50.187500000000007</v>
      </c>
      <c r="J27" s="558">
        <f>Revenue!$CI28</f>
        <v>50.187500000000007</v>
      </c>
      <c r="K27" s="558">
        <f>Revenue!$CU28</f>
        <v>52.468750000000007</v>
      </c>
      <c r="L27" s="558">
        <f>Revenue!$DG28</f>
        <v>52.468750000000007</v>
      </c>
      <c r="M27" s="558">
        <f>Revenue!$DS28</f>
        <v>54.750000000000007</v>
      </c>
      <c r="N27" s="558">
        <f>Revenue!$EE28</f>
        <v>54.750000000000007</v>
      </c>
      <c r="O27" s="558">
        <f>Revenue!$EQ28</f>
        <v>57.031250000000007</v>
      </c>
      <c r="P27" s="558">
        <f>Revenue!$FC28</f>
        <v>57.031250000000007</v>
      </c>
      <c r="Q27" s="558">
        <f>Revenue!$FO28</f>
        <v>59.312500000000014</v>
      </c>
      <c r="R27" s="558">
        <f>Revenue!$GA28</f>
        <v>59.312500000000014</v>
      </c>
      <c r="S27" s="558">
        <f>Revenue!$GM28</f>
        <v>61.593750000000014</v>
      </c>
      <c r="T27" s="558">
        <f>Revenue!$GY28</f>
        <v>61.593750000000014</v>
      </c>
      <c r="U27" s="558">
        <f>Revenue!$HK28</f>
        <v>63.875000000000014</v>
      </c>
      <c r="V27" s="558">
        <f>Revenue!$HW28</f>
        <v>63.875000000000014</v>
      </c>
    </row>
    <row r="28" spans="1:22" ht="16.149999999999999" customHeight="1" x14ac:dyDescent="0.4">
      <c r="A28" s="561" t="s">
        <v>218</v>
      </c>
      <c r="B28" s="560">
        <f>Input!$G50</f>
        <v>63.875</v>
      </c>
      <c r="C28" s="559">
        <f>Revenue!$C29</f>
        <v>63.875</v>
      </c>
      <c r="D28" s="558">
        <f>Revenue!$O29</f>
        <v>63.875</v>
      </c>
      <c r="E28" s="558">
        <f>Revenue!$AA29</f>
        <v>63.875</v>
      </c>
      <c r="F28" s="558">
        <f>Revenue!$AM29</f>
        <v>63.875</v>
      </c>
      <c r="G28" s="558">
        <f>Revenue!$AY29</f>
        <v>67.068750000000009</v>
      </c>
      <c r="H28" s="558">
        <f>Revenue!$BK29</f>
        <v>67.068750000000009</v>
      </c>
      <c r="I28" s="558">
        <f>Revenue!$BW29</f>
        <v>70.262500000000003</v>
      </c>
      <c r="J28" s="558">
        <f>Revenue!$CI29</f>
        <v>70.262500000000003</v>
      </c>
      <c r="K28" s="558">
        <f>Revenue!$CU29</f>
        <v>73.456250000000011</v>
      </c>
      <c r="L28" s="558">
        <f>Revenue!$DG29</f>
        <v>73.456250000000011</v>
      </c>
      <c r="M28" s="558">
        <f>Revenue!$DS29</f>
        <v>76.650000000000006</v>
      </c>
      <c r="N28" s="558">
        <f>Revenue!$EE29</f>
        <v>76.650000000000006</v>
      </c>
      <c r="O28" s="558">
        <f>Revenue!$EQ29</f>
        <v>79.843750000000014</v>
      </c>
      <c r="P28" s="558">
        <f>Revenue!$FC29</f>
        <v>79.843750000000014</v>
      </c>
      <c r="Q28" s="558">
        <f>Revenue!$FO29</f>
        <v>83.037500000000023</v>
      </c>
      <c r="R28" s="558">
        <f>Revenue!$GA29</f>
        <v>83.037500000000023</v>
      </c>
      <c r="S28" s="558">
        <f>Revenue!$GM29</f>
        <v>86.231250000000017</v>
      </c>
      <c r="T28" s="558">
        <f>Revenue!$GY29</f>
        <v>86.231250000000017</v>
      </c>
      <c r="U28" s="558">
        <f>Revenue!$HK29</f>
        <v>89.425000000000026</v>
      </c>
      <c r="V28" s="558">
        <f>Revenue!$HW29</f>
        <v>89.425000000000026</v>
      </c>
    </row>
    <row r="29" spans="1:22" ht="16.149999999999999" customHeight="1" x14ac:dyDescent="0.4">
      <c r="A29" s="561" t="s">
        <v>219</v>
      </c>
      <c r="B29" s="560">
        <f>Input!$G51</f>
        <v>120</v>
      </c>
      <c r="C29" s="559">
        <f>Revenue!$C30</f>
        <v>120</v>
      </c>
      <c r="D29" s="558">
        <f>Revenue!$O30</f>
        <v>120</v>
      </c>
      <c r="E29" s="558">
        <f>Revenue!$AA30</f>
        <v>120</v>
      </c>
      <c r="F29" s="558">
        <f>Revenue!$AM30</f>
        <v>120</v>
      </c>
      <c r="G29" s="558">
        <f>Revenue!$AY30</f>
        <v>126</v>
      </c>
      <c r="H29" s="558">
        <f>Revenue!$BK30</f>
        <v>126</v>
      </c>
      <c r="I29" s="558">
        <f>Revenue!$BW30</f>
        <v>132</v>
      </c>
      <c r="J29" s="558">
        <f>Revenue!$CI30</f>
        <v>132</v>
      </c>
      <c r="K29" s="558">
        <f>Revenue!$CU30</f>
        <v>138.00000000000003</v>
      </c>
      <c r="L29" s="558">
        <f>Revenue!$DG30</f>
        <v>138.00000000000003</v>
      </c>
      <c r="M29" s="558">
        <f>Revenue!$DS30</f>
        <v>144.00000000000003</v>
      </c>
      <c r="N29" s="558">
        <f>Revenue!$EE30</f>
        <v>144.00000000000003</v>
      </c>
      <c r="O29" s="558">
        <f>Revenue!$EQ30</f>
        <v>150.00000000000003</v>
      </c>
      <c r="P29" s="558">
        <f>Revenue!$FC30</f>
        <v>150.00000000000003</v>
      </c>
      <c r="Q29" s="558">
        <f>Revenue!$FO30</f>
        <v>156.00000000000003</v>
      </c>
      <c r="R29" s="558">
        <f>Revenue!$GA30</f>
        <v>156.00000000000003</v>
      </c>
      <c r="S29" s="558">
        <f>Revenue!$GM30</f>
        <v>162.00000000000003</v>
      </c>
      <c r="T29" s="558">
        <f>Revenue!$GY30</f>
        <v>162.00000000000003</v>
      </c>
      <c r="U29" s="558">
        <f>Revenue!$HK30</f>
        <v>168.00000000000006</v>
      </c>
      <c r="V29" s="558">
        <f>Revenue!$HW30</f>
        <v>168.00000000000006</v>
      </c>
    </row>
    <row r="30" spans="1:22" ht="16.149999999999999" customHeight="1" x14ac:dyDescent="0.4">
      <c r="A30" s="561" t="s">
        <v>220</v>
      </c>
      <c r="B30" s="560">
        <f>Input!$G52</f>
        <v>120</v>
      </c>
      <c r="C30" s="559">
        <f>Revenue!$C31</f>
        <v>120</v>
      </c>
      <c r="D30" s="558">
        <f>Revenue!$O31</f>
        <v>120</v>
      </c>
      <c r="E30" s="558">
        <f>Revenue!$AA31</f>
        <v>120</v>
      </c>
      <c r="F30" s="558">
        <f>Revenue!$AM31</f>
        <v>120</v>
      </c>
      <c r="G30" s="558">
        <f>Revenue!$AY31</f>
        <v>126</v>
      </c>
      <c r="H30" s="558">
        <f>Revenue!$BK31</f>
        <v>126</v>
      </c>
      <c r="I30" s="558">
        <f>Revenue!$BW31</f>
        <v>132</v>
      </c>
      <c r="J30" s="558">
        <f>Revenue!$CI31</f>
        <v>132</v>
      </c>
      <c r="K30" s="558">
        <f>Revenue!$CU31</f>
        <v>138.00000000000003</v>
      </c>
      <c r="L30" s="558">
        <f>Revenue!$DG31</f>
        <v>138.00000000000003</v>
      </c>
      <c r="M30" s="558">
        <f>Revenue!$DS31</f>
        <v>144.00000000000003</v>
      </c>
      <c r="N30" s="558">
        <f>Revenue!$EE31</f>
        <v>144.00000000000003</v>
      </c>
      <c r="O30" s="558">
        <f>Revenue!$EQ31</f>
        <v>150.00000000000003</v>
      </c>
      <c r="P30" s="558">
        <f>Revenue!$FC31</f>
        <v>150.00000000000003</v>
      </c>
      <c r="Q30" s="558">
        <f>Revenue!$FO31</f>
        <v>156.00000000000003</v>
      </c>
      <c r="R30" s="558">
        <f>Revenue!$GA31</f>
        <v>156.00000000000003</v>
      </c>
      <c r="S30" s="558">
        <f>Revenue!$GM31</f>
        <v>162.00000000000003</v>
      </c>
      <c r="T30" s="558">
        <f>Revenue!$GY31</f>
        <v>162.00000000000003</v>
      </c>
      <c r="U30" s="558">
        <f>Revenue!$HK31</f>
        <v>168.00000000000006</v>
      </c>
      <c r="V30" s="558">
        <f>Revenue!$HW31</f>
        <v>168.00000000000006</v>
      </c>
    </row>
    <row r="31" spans="1:22" ht="16.149999999999999" customHeight="1" x14ac:dyDescent="0.4">
      <c r="A31" s="561" t="s">
        <v>373</v>
      </c>
      <c r="B31" s="560">
        <f>Input!$G53</f>
        <v>70</v>
      </c>
      <c r="C31" s="559">
        <f>Revenue!$C32</f>
        <v>70</v>
      </c>
      <c r="D31" s="558">
        <f>Revenue!$O32</f>
        <v>70</v>
      </c>
      <c r="E31" s="558">
        <f>Revenue!$AA32</f>
        <v>70</v>
      </c>
      <c r="F31" s="558">
        <f>Revenue!$AM32</f>
        <v>70</v>
      </c>
      <c r="G31" s="558">
        <f>Revenue!$AY32</f>
        <v>73.5</v>
      </c>
      <c r="H31" s="558">
        <f>Revenue!$BK32</f>
        <v>73.5</v>
      </c>
      <c r="I31" s="558">
        <f>Revenue!$BW32</f>
        <v>77</v>
      </c>
      <c r="J31" s="558">
        <f>Revenue!$CI32</f>
        <v>77</v>
      </c>
      <c r="K31" s="558">
        <f>Revenue!$CU32</f>
        <v>80.500000000000014</v>
      </c>
      <c r="L31" s="558">
        <f>Revenue!$DG32</f>
        <v>80.500000000000014</v>
      </c>
      <c r="M31" s="558">
        <f>Revenue!$DS32</f>
        <v>84.000000000000014</v>
      </c>
      <c r="N31" s="558">
        <f>Revenue!$EE32</f>
        <v>84.000000000000014</v>
      </c>
      <c r="O31" s="558">
        <f>Revenue!$EQ32</f>
        <v>87.500000000000014</v>
      </c>
      <c r="P31" s="558">
        <f>Revenue!$FC32</f>
        <v>87.500000000000014</v>
      </c>
      <c r="Q31" s="558">
        <f>Revenue!$FO32</f>
        <v>91.000000000000014</v>
      </c>
      <c r="R31" s="558">
        <f>Revenue!$GA32</f>
        <v>91.000000000000014</v>
      </c>
      <c r="S31" s="558">
        <f>Revenue!$GM32</f>
        <v>94.500000000000028</v>
      </c>
      <c r="T31" s="558">
        <f>Revenue!$GY32</f>
        <v>94.500000000000028</v>
      </c>
      <c r="U31" s="558">
        <f>Revenue!$HK32</f>
        <v>98.000000000000028</v>
      </c>
      <c r="V31" s="558">
        <f>Revenue!$HW32</f>
        <v>98.000000000000028</v>
      </c>
    </row>
    <row r="32" spans="1:22" ht="16.149999999999999" customHeight="1" x14ac:dyDescent="0.4">
      <c r="A32" s="561" t="s">
        <v>56</v>
      </c>
      <c r="B32" s="560">
        <f>Input!$G44</f>
        <v>30</v>
      </c>
      <c r="C32" s="559">
        <f>Revenue!$C33</f>
        <v>30</v>
      </c>
      <c r="D32" s="558">
        <f>Revenue!$O33</f>
        <v>30</v>
      </c>
      <c r="E32" s="558">
        <f>Revenue!$AA33</f>
        <v>30</v>
      </c>
      <c r="F32" s="558">
        <f>Revenue!$AM33</f>
        <v>30</v>
      </c>
      <c r="G32" s="558">
        <f>Revenue!$AY33</f>
        <v>31.5</v>
      </c>
      <c r="H32" s="558">
        <f>Revenue!$BK33</f>
        <v>31.5</v>
      </c>
      <c r="I32" s="558">
        <f>Revenue!$BW33</f>
        <v>33</v>
      </c>
      <c r="J32" s="558">
        <f>Revenue!$CI33</f>
        <v>33</v>
      </c>
      <c r="K32" s="558">
        <f>Revenue!$CU33</f>
        <v>34.500000000000007</v>
      </c>
      <c r="L32" s="558">
        <f>Revenue!$DG33</f>
        <v>34.500000000000007</v>
      </c>
      <c r="M32" s="558">
        <f>Revenue!$DS33</f>
        <v>36.000000000000007</v>
      </c>
      <c r="N32" s="558">
        <f>Revenue!$EE33</f>
        <v>36.000000000000007</v>
      </c>
      <c r="O32" s="558">
        <f>Revenue!$EQ33</f>
        <v>37.500000000000007</v>
      </c>
      <c r="P32" s="558">
        <f>Revenue!$FC33</f>
        <v>37.500000000000007</v>
      </c>
      <c r="Q32" s="558">
        <f>Revenue!$FO33</f>
        <v>39.000000000000007</v>
      </c>
      <c r="R32" s="558">
        <f>Revenue!$GA33</f>
        <v>39.000000000000007</v>
      </c>
      <c r="S32" s="558">
        <f>Revenue!$GM33</f>
        <v>40.500000000000007</v>
      </c>
      <c r="T32" s="558">
        <f>Revenue!$GY33</f>
        <v>40.500000000000007</v>
      </c>
      <c r="U32" s="558">
        <f>Revenue!$HK33</f>
        <v>42.000000000000014</v>
      </c>
      <c r="V32" s="558">
        <f>Revenue!$HW33</f>
        <v>42.000000000000014</v>
      </c>
    </row>
    <row r="33" spans="1:22" ht="16.149999999999999" customHeight="1" x14ac:dyDescent="0.4">
      <c r="A33" s="561" t="s">
        <v>66</v>
      </c>
      <c r="B33" s="560">
        <f>Input!$G45</f>
        <v>80</v>
      </c>
      <c r="C33" s="559">
        <f>Revenue!$C34</f>
        <v>80</v>
      </c>
      <c r="D33" s="558">
        <f>Revenue!$O34</f>
        <v>80</v>
      </c>
      <c r="E33" s="558">
        <f>Revenue!$AA34</f>
        <v>80</v>
      </c>
      <c r="F33" s="558">
        <f>Revenue!$AM34</f>
        <v>80</v>
      </c>
      <c r="G33" s="558">
        <f>Revenue!$AY34</f>
        <v>84</v>
      </c>
      <c r="H33" s="558">
        <f>Revenue!$BK34</f>
        <v>84</v>
      </c>
      <c r="I33" s="558">
        <f>Revenue!$BW34</f>
        <v>88</v>
      </c>
      <c r="J33" s="558">
        <f>Revenue!$CI34</f>
        <v>88</v>
      </c>
      <c r="K33" s="558">
        <f>Revenue!$CU34</f>
        <v>92.000000000000014</v>
      </c>
      <c r="L33" s="558">
        <f>Revenue!$DG34</f>
        <v>92.000000000000014</v>
      </c>
      <c r="M33" s="558">
        <f>Revenue!$DS34</f>
        <v>96.000000000000014</v>
      </c>
      <c r="N33" s="558">
        <f>Revenue!$EE34</f>
        <v>96.000000000000014</v>
      </c>
      <c r="O33" s="558">
        <f>Revenue!$EQ34</f>
        <v>100.00000000000001</v>
      </c>
      <c r="P33" s="558">
        <f>Revenue!$FC34</f>
        <v>100.00000000000001</v>
      </c>
      <c r="Q33" s="558">
        <f>Revenue!$FO34</f>
        <v>104.00000000000003</v>
      </c>
      <c r="R33" s="558">
        <f>Revenue!$GA34</f>
        <v>104.00000000000003</v>
      </c>
      <c r="S33" s="558">
        <f>Revenue!$GM34</f>
        <v>108.00000000000003</v>
      </c>
      <c r="T33" s="558">
        <f>Revenue!$GY34</f>
        <v>108.00000000000003</v>
      </c>
      <c r="U33" s="558">
        <f>Revenue!$HK34</f>
        <v>112.00000000000003</v>
      </c>
      <c r="V33" s="558">
        <f>Revenue!$HW34</f>
        <v>112.00000000000003</v>
      </c>
    </row>
    <row r="34" spans="1:22" ht="16.149999999999999" customHeight="1" x14ac:dyDescent="0.4">
      <c r="A34" s="561" t="s">
        <v>153</v>
      </c>
      <c r="B34" s="560">
        <f>Input!$G48</f>
        <v>45</v>
      </c>
      <c r="C34" s="559">
        <f>Revenue!$C35</f>
        <v>45</v>
      </c>
      <c r="D34" s="558">
        <f>Revenue!$O35</f>
        <v>45</v>
      </c>
      <c r="E34" s="558">
        <f>Revenue!$AA35</f>
        <v>45</v>
      </c>
      <c r="F34" s="558">
        <f>Revenue!$AM35</f>
        <v>45</v>
      </c>
      <c r="G34" s="558">
        <f>Revenue!$AY35</f>
        <v>47.25</v>
      </c>
      <c r="H34" s="558">
        <f>Revenue!$BK35</f>
        <v>47.25</v>
      </c>
      <c r="I34" s="558">
        <f>Revenue!$BW35</f>
        <v>49.500000000000007</v>
      </c>
      <c r="J34" s="558">
        <f>Revenue!$CI35</f>
        <v>49.500000000000007</v>
      </c>
      <c r="K34" s="558">
        <f>Revenue!$CU35</f>
        <v>51.750000000000007</v>
      </c>
      <c r="L34" s="558">
        <f>Revenue!$DG35</f>
        <v>51.750000000000007</v>
      </c>
      <c r="M34" s="558">
        <f>Revenue!$DS35</f>
        <v>54.000000000000007</v>
      </c>
      <c r="N34" s="558">
        <f>Revenue!$EE35</f>
        <v>54.000000000000007</v>
      </c>
      <c r="O34" s="558">
        <f>Revenue!$EQ35</f>
        <v>56.250000000000007</v>
      </c>
      <c r="P34" s="558">
        <f>Revenue!$FC35</f>
        <v>56.250000000000007</v>
      </c>
      <c r="Q34" s="558">
        <f>Revenue!$FO35</f>
        <v>58.500000000000014</v>
      </c>
      <c r="R34" s="558">
        <f>Revenue!$GA35</f>
        <v>58.500000000000014</v>
      </c>
      <c r="S34" s="558">
        <f>Revenue!$GM35</f>
        <v>60.750000000000014</v>
      </c>
      <c r="T34" s="558">
        <f>Revenue!$GY35</f>
        <v>60.750000000000014</v>
      </c>
      <c r="U34" s="558">
        <f>Revenue!$HK35</f>
        <v>63.000000000000014</v>
      </c>
      <c r="V34" s="558">
        <f>Revenue!$HW35</f>
        <v>63.000000000000014</v>
      </c>
    </row>
    <row r="35" spans="1:22" ht="16.149999999999999" customHeight="1" x14ac:dyDescent="0.4">
      <c r="A35" s="561" t="s">
        <v>152</v>
      </c>
      <c r="B35" s="560">
        <f>Input!$G47</f>
        <v>39.45945945945946</v>
      </c>
      <c r="C35" s="559">
        <f>Revenue!$C36</f>
        <v>39.45945945945946</v>
      </c>
      <c r="D35" s="558">
        <f>Revenue!$O36</f>
        <v>39.45945945945946</v>
      </c>
      <c r="E35" s="558">
        <f>Revenue!$AA36</f>
        <v>39.45945945945946</v>
      </c>
      <c r="F35" s="558">
        <f>Revenue!$AM36</f>
        <v>39.45945945945946</v>
      </c>
      <c r="G35" s="558">
        <f>Revenue!$AY36</f>
        <v>41.432432432432435</v>
      </c>
      <c r="H35" s="558">
        <f>Revenue!$BK36</f>
        <v>41.432432432432435</v>
      </c>
      <c r="I35" s="558">
        <f>Revenue!$BW36</f>
        <v>43.405405405405411</v>
      </c>
      <c r="J35" s="558">
        <f>Revenue!$CI36</f>
        <v>43.405405405405411</v>
      </c>
      <c r="K35" s="558">
        <f>Revenue!$CU36</f>
        <v>45.378378378378386</v>
      </c>
      <c r="L35" s="558">
        <f>Revenue!$DG36</f>
        <v>45.378378378378386</v>
      </c>
      <c r="M35" s="558">
        <f>Revenue!$DS36</f>
        <v>47.351351351351362</v>
      </c>
      <c r="N35" s="558">
        <f>Revenue!$EE36</f>
        <v>47.351351351351362</v>
      </c>
      <c r="O35" s="558">
        <f>Revenue!$EQ36</f>
        <v>49.32432432432433</v>
      </c>
      <c r="P35" s="558">
        <f>Revenue!$FC36</f>
        <v>49.32432432432433</v>
      </c>
      <c r="Q35" s="558">
        <f>Revenue!$FO36</f>
        <v>51.297297297297305</v>
      </c>
      <c r="R35" s="558">
        <f>Revenue!$GA36</f>
        <v>51.297297297297305</v>
      </c>
      <c r="S35" s="558">
        <f>Revenue!$GM36</f>
        <v>53.270270270270281</v>
      </c>
      <c r="T35" s="558">
        <f>Revenue!$GY36</f>
        <v>53.270270270270281</v>
      </c>
      <c r="U35" s="558">
        <f>Revenue!$HK36</f>
        <v>55.243243243243256</v>
      </c>
      <c r="V35" s="558">
        <f>Revenue!$HW36</f>
        <v>55.243243243243256</v>
      </c>
    </row>
    <row r="36" spans="1:22" ht="16.149999999999999" customHeight="1" thickBot="1" x14ac:dyDescent="0.45">
      <c r="A36" s="569" t="s">
        <v>95</v>
      </c>
      <c r="B36" s="568">
        <f>Input!$G46</f>
        <v>150</v>
      </c>
      <c r="C36" s="567">
        <f>Revenue!$C37</f>
        <v>150</v>
      </c>
      <c r="D36" s="566">
        <f>Revenue!$O37</f>
        <v>150</v>
      </c>
      <c r="E36" s="566">
        <f>Revenue!$AA37</f>
        <v>150</v>
      </c>
      <c r="F36" s="566">
        <f>Revenue!$AM37</f>
        <v>150</v>
      </c>
      <c r="G36" s="566">
        <f>Revenue!$AY37</f>
        <v>157.5</v>
      </c>
      <c r="H36" s="566">
        <f>Revenue!$BK37</f>
        <v>157.5</v>
      </c>
      <c r="I36" s="566">
        <f>Revenue!$BW37</f>
        <v>165</v>
      </c>
      <c r="J36" s="566">
        <f>Revenue!$CI37</f>
        <v>165</v>
      </c>
      <c r="K36" s="566">
        <f>Revenue!$CU37</f>
        <v>172.50000000000003</v>
      </c>
      <c r="L36" s="566">
        <f>Revenue!$DG37</f>
        <v>172.50000000000003</v>
      </c>
      <c r="M36" s="566">
        <f>Revenue!$DS37</f>
        <v>180.00000000000003</v>
      </c>
      <c r="N36" s="566">
        <f>Revenue!$EE37</f>
        <v>180.00000000000003</v>
      </c>
      <c r="O36" s="566">
        <f>Revenue!$EQ37</f>
        <v>187.50000000000003</v>
      </c>
      <c r="P36" s="566">
        <f>Revenue!$FC37</f>
        <v>187.50000000000003</v>
      </c>
      <c r="Q36" s="566">
        <f>Revenue!$FO37</f>
        <v>195.00000000000003</v>
      </c>
      <c r="R36" s="566">
        <f>Revenue!$GA37</f>
        <v>195.00000000000003</v>
      </c>
      <c r="S36" s="566">
        <f>Revenue!$GM37</f>
        <v>202.50000000000006</v>
      </c>
      <c r="T36" s="566">
        <f>Revenue!$GY37</f>
        <v>202.50000000000006</v>
      </c>
      <c r="U36" s="566">
        <f>Revenue!$HK37</f>
        <v>210.00000000000006</v>
      </c>
      <c r="V36" s="566">
        <f>Revenue!$HW37</f>
        <v>210.00000000000006</v>
      </c>
    </row>
    <row r="37" spans="1:22" ht="16.149999999999999" customHeight="1" x14ac:dyDescent="0.4"/>
    <row r="38" spans="1:22" ht="16.149999999999999" customHeight="1" x14ac:dyDescent="0.4">
      <c r="A38" s="284" t="s">
        <v>180</v>
      </c>
      <c r="B38" s="284" t="s">
        <v>54</v>
      </c>
      <c r="E38" s="565" t="s">
        <v>680</v>
      </c>
    </row>
    <row r="39" spans="1:22" ht="16.149999999999999" hidden="1" customHeight="1" thickBot="1" x14ac:dyDescent="0.45">
      <c r="B39" s="564"/>
      <c r="E39" s="564"/>
    </row>
    <row r="40" spans="1:22" ht="16.5" customHeight="1" thickBot="1" x14ac:dyDescent="0.45">
      <c r="A40" s="757"/>
      <c r="B40" s="758"/>
      <c r="C40" s="767" t="str">
        <f>RIGHT(C1,2)</f>
        <v>16</v>
      </c>
      <c r="D40" s="768" t="str">
        <f>RIGHT(D1,2)</f>
        <v>17</v>
      </c>
      <c r="E40" s="768" t="str">
        <f t="shared" ref="E40:V40" si="0">RIGHT(E1,2)</f>
        <v>18</v>
      </c>
      <c r="F40" s="768" t="str">
        <f t="shared" si="0"/>
        <v>19</v>
      </c>
      <c r="G40" s="768" t="str">
        <f t="shared" si="0"/>
        <v>20</v>
      </c>
      <c r="H40" s="768" t="str">
        <f t="shared" si="0"/>
        <v>21</v>
      </c>
      <c r="I40" s="768" t="str">
        <f t="shared" si="0"/>
        <v>22</v>
      </c>
      <c r="J40" s="768" t="str">
        <f t="shared" si="0"/>
        <v>23</v>
      </c>
      <c r="K40" s="768" t="str">
        <f t="shared" si="0"/>
        <v>24</v>
      </c>
      <c r="L40" s="768" t="str">
        <f t="shared" si="0"/>
        <v>25</v>
      </c>
      <c r="M40" s="768" t="str">
        <f t="shared" si="0"/>
        <v>26</v>
      </c>
      <c r="N40" s="768" t="str">
        <f t="shared" si="0"/>
        <v>27</v>
      </c>
      <c r="O40" s="768" t="str">
        <f t="shared" si="0"/>
        <v>28</v>
      </c>
      <c r="P40" s="768" t="str">
        <f t="shared" si="0"/>
        <v>29</v>
      </c>
      <c r="Q40" s="768" t="str">
        <f t="shared" si="0"/>
        <v>30</v>
      </c>
      <c r="R40" s="768" t="str">
        <f t="shared" si="0"/>
        <v>31</v>
      </c>
      <c r="S40" s="768" t="str">
        <f t="shared" si="0"/>
        <v>32</v>
      </c>
      <c r="T40" s="768" t="str">
        <f t="shared" si="0"/>
        <v>33</v>
      </c>
      <c r="U40" s="768" t="str">
        <f t="shared" si="0"/>
        <v>34</v>
      </c>
      <c r="V40" s="768" t="str">
        <f t="shared" si="0"/>
        <v>35</v>
      </c>
    </row>
    <row r="41" spans="1:22" ht="16.149999999999999" customHeight="1" thickTop="1" x14ac:dyDescent="0.4">
      <c r="A41" s="769" t="s">
        <v>773</v>
      </c>
      <c r="B41" s="761">
        <f>Revenue!B41</f>
        <v>117712.22400000002</v>
      </c>
      <c r="C41" s="762">
        <f t="shared" ref="C41:V41" si="1">$B41*C23*12/1000*C$4</f>
        <v>0</v>
      </c>
      <c r="D41" s="762">
        <f t="shared" si="1"/>
        <v>0</v>
      </c>
      <c r="E41" s="762">
        <f t="shared" si="1"/>
        <v>19334.232792000003</v>
      </c>
      <c r="F41" s="762">
        <f t="shared" si="1"/>
        <v>32223.721320000004</v>
      </c>
      <c r="G41" s="762">
        <f t="shared" si="1"/>
        <v>47368.870340400004</v>
      </c>
      <c r="H41" s="762">
        <f t="shared" si="1"/>
        <v>57519.342556200012</v>
      </c>
      <c r="I41" s="762">
        <f t="shared" si="1"/>
        <v>60258.358868400013</v>
      </c>
      <c r="J41" s="762">
        <f t="shared" si="1"/>
        <v>60258.358868400013</v>
      </c>
      <c r="K41" s="762">
        <f t="shared" si="1"/>
        <v>62997.375180600015</v>
      </c>
      <c r="L41" s="762">
        <f t="shared" si="1"/>
        <v>62997.375180600015</v>
      </c>
      <c r="M41" s="762">
        <f t="shared" si="1"/>
        <v>65736.391492800001</v>
      </c>
      <c r="N41" s="762">
        <f t="shared" si="1"/>
        <v>65736.391492800001</v>
      </c>
      <c r="O41" s="762">
        <f t="shared" si="1"/>
        <v>68475.407805000024</v>
      </c>
      <c r="P41" s="762">
        <f t="shared" si="1"/>
        <v>68475.407805000024</v>
      </c>
      <c r="Q41" s="762">
        <f t="shared" si="1"/>
        <v>71214.424117200033</v>
      </c>
      <c r="R41" s="762">
        <f t="shared" si="1"/>
        <v>71214.424117200033</v>
      </c>
      <c r="S41" s="762">
        <f t="shared" si="1"/>
        <v>73953.440429400027</v>
      </c>
      <c r="T41" s="762">
        <f t="shared" si="1"/>
        <v>73953.440429400027</v>
      </c>
      <c r="U41" s="762">
        <f t="shared" si="1"/>
        <v>76692.456741600035</v>
      </c>
      <c r="V41" s="762">
        <f t="shared" si="1"/>
        <v>76692.456741600035</v>
      </c>
    </row>
    <row r="42" spans="1:22" ht="16.149999999999999" customHeight="1" x14ac:dyDescent="0.4">
      <c r="A42" s="770" t="s">
        <v>69</v>
      </c>
      <c r="B42" s="763">
        <f>Revenue!B42</f>
        <v>58856.112000000008</v>
      </c>
      <c r="C42" s="764">
        <f t="shared" ref="C42:V42" si="2">$B42*C24*12/1000*C$4</f>
        <v>0</v>
      </c>
      <c r="D42" s="764">
        <f t="shared" si="2"/>
        <v>0</v>
      </c>
      <c r="E42" s="764">
        <f t="shared" si="2"/>
        <v>13772.330208000001</v>
      </c>
      <c r="F42" s="764">
        <f t="shared" si="2"/>
        <v>22953.883680000003</v>
      </c>
      <c r="G42" s="764">
        <f t="shared" si="2"/>
        <v>33742.209009600003</v>
      </c>
      <c r="H42" s="764">
        <f t="shared" si="2"/>
        <v>40972.6823688</v>
      </c>
      <c r="I42" s="764">
        <f t="shared" si="2"/>
        <v>42923.762481599995</v>
      </c>
      <c r="J42" s="764">
        <f t="shared" si="2"/>
        <v>42923.762481599995</v>
      </c>
      <c r="K42" s="764">
        <f t="shared" si="2"/>
        <v>44874.842594400012</v>
      </c>
      <c r="L42" s="764">
        <f t="shared" si="2"/>
        <v>44874.842594400012</v>
      </c>
      <c r="M42" s="764">
        <f t="shared" si="2"/>
        <v>46825.922707200014</v>
      </c>
      <c r="N42" s="764">
        <f t="shared" si="2"/>
        <v>46825.922707200014</v>
      </c>
      <c r="O42" s="764">
        <f t="shared" si="2"/>
        <v>48777.002820000016</v>
      </c>
      <c r="P42" s="764">
        <f t="shared" si="2"/>
        <v>48777.002820000016</v>
      </c>
      <c r="Q42" s="764">
        <f t="shared" si="2"/>
        <v>50728.082932800018</v>
      </c>
      <c r="R42" s="764">
        <f t="shared" si="2"/>
        <v>50728.082932800018</v>
      </c>
      <c r="S42" s="764">
        <f t="shared" si="2"/>
        <v>52679.163045600013</v>
      </c>
      <c r="T42" s="764">
        <f t="shared" si="2"/>
        <v>52679.163045600013</v>
      </c>
      <c r="U42" s="764">
        <f t="shared" si="2"/>
        <v>54630.24315840003</v>
      </c>
      <c r="V42" s="764">
        <f t="shared" si="2"/>
        <v>54630.24315840003</v>
      </c>
    </row>
    <row r="43" spans="1:22" ht="16.149999999999999" customHeight="1" x14ac:dyDescent="0.4">
      <c r="A43" s="770" t="s">
        <v>774</v>
      </c>
      <c r="B43" s="763">
        <f>Revenue!B43</f>
        <v>23122.044000000002</v>
      </c>
      <c r="C43" s="764">
        <f t="shared" ref="C43:V43" si="3">$B43*C25*12/1000*C$4</f>
        <v>0</v>
      </c>
      <c r="D43" s="764">
        <f t="shared" si="3"/>
        <v>0</v>
      </c>
      <c r="E43" s="764">
        <f t="shared" si="3"/>
        <v>9988.723007999999</v>
      </c>
      <c r="F43" s="764">
        <f t="shared" si="3"/>
        <v>16647.87168</v>
      </c>
      <c r="G43" s="764">
        <f t="shared" si="3"/>
        <v>24472.371369600001</v>
      </c>
      <c r="H43" s="764">
        <f t="shared" si="3"/>
        <v>29716.4509488</v>
      </c>
      <c r="I43" s="764">
        <f t="shared" si="3"/>
        <v>31131.520041600004</v>
      </c>
      <c r="J43" s="764">
        <f t="shared" si="3"/>
        <v>31131.520041600004</v>
      </c>
      <c r="K43" s="764">
        <f t="shared" si="3"/>
        <v>32546.589134400012</v>
      </c>
      <c r="L43" s="764">
        <f t="shared" si="3"/>
        <v>32546.589134400012</v>
      </c>
      <c r="M43" s="764">
        <f t="shared" si="3"/>
        <v>33961.658227200009</v>
      </c>
      <c r="N43" s="764">
        <f t="shared" si="3"/>
        <v>33961.658227200009</v>
      </c>
      <c r="O43" s="764">
        <f t="shared" si="3"/>
        <v>35376.727320000013</v>
      </c>
      <c r="P43" s="764">
        <f t="shared" si="3"/>
        <v>35376.727320000013</v>
      </c>
      <c r="Q43" s="764">
        <f t="shared" si="3"/>
        <v>36791.796412800009</v>
      </c>
      <c r="R43" s="764">
        <f t="shared" si="3"/>
        <v>36791.796412800009</v>
      </c>
      <c r="S43" s="764">
        <f t="shared" si="3"/>
        <v>38206.865505600006</v>
      </c>
      <c r="T43" s="764">
        <f t="shared" si="3"/>
        <v>38206.865505600006</v>
      </c>
      <c r="U43" s="764">
        <f t="shared" si="3"/>
        <v>39621.934598400017</v>
      </c>
      <c r="V43" s="764">
        <f t="shared" si="3"/>
        <v>39621.934598400017</v>
      </c>
    </row>
    <row r="44" spans="1:22" ht="16.149999999999999" customHeight="1" x14ac:dyDescent="0.4">
      <c r="A44" s="770" t="s">
        <v>775</v>
      </c>
      <c r="B44" s="763">
        <f>Revenue!B44</f>
        <v>10510.02</v>
      </c>
      <c r="C44" s="764">
        <f t="shared" ref="C44:V44" si="4">$B44*C26*12/1000*C$4</f>
        <v>0</v>
      </c>
      <c r="D44" s="764">
        <f t="shared" si="4"/>
        <v>0</v>
      </c>
      <c r="E44" s="764">
        <f t="shared" si="4"/>
        <v>4540.3286400000006</v>
      </c>
      <c r="F44" s="764">
        <f t="shared" si="4"/>
        <v>7567.2144000000008</v>
      </c>
      <c r="G44" s="764">
        <f t="shared" si="4"/>
        <v>11123.805168000001</v>
      </c>
      <c r="H44" s="764">
        <f t="shared" si="4"/>
        <v>13507.477704000001</v>
      </c>
      <c r="I44" s="764">
        <f t="shared" si="4"/>
        <v>14150.690928</v>
      </c>
      <c r="J44" s="764">
        <f t="shared" si="4"/>
        <v>14150.690928</v>
      </c>
      <c r="K44" s="764">
        <f t="shared" si="4"/>
        <v>14793.904152000005</v>
      </c>
      <c r="L44" s="764">
        <f t="shared" si="4"/>
        <v>14793.904152000005</v>
      </c>
      <c r="M44" s="764">
        <f t="shared" si="4"/>
        <v>15437.117376000002</v>
      </c>
      <c r="N44" s="764">
        <f t="shared" si="4"/>
        <v>15437.117376000002</v>
      </c>
      <c r="O44" s="764">
        <f t="shared" si="4"/>
        <v>16080.330600000007</v>
      </c>
      <c r="P44" s="764">
        <f t="shared" si="4"/>
        <v>16080.330600000007</v>
      </c>
      <c r="Q44" s="764">
        <f t="shared" si="4"/>
        <v>16723.543824000004</v>
      </c>
      <c r="R44" s="764">
        <f t="shared" si="4"/>
        <v>16723.543824000004</v>
      </c>
      <c r="S44" s="764">
        <f t="shared" si="4"/>
        <v>17366.757048000003</v>
      </c>
      <c r="T44" s="764">
        <f t="shared" si="4"/>
        <v>17366.757048000003</v>
      </c>
      <c r="U44" s="764">
        <f t="shared" si="4"/>
        <v>18009.970272000006</v>
      </c>
      <c r="V44" s="764">
        <f t="shared" si="4"/>
        <v>18009.970272000006</v>
      </c>
    </row>
    <row r="45" spans="1:22" ht="16.149999999999999" hidden="1" customHeight="1" thickBot="1" x14ac:dyDescent="0.45">
      <c r="A45" s="770" t="s">
        <v>202</v>
      </c>
      <c r="B45" s="763">
        <f>Revenue!B45</f>
        <v>0</v>
      </c>
      <c r="C45" s="764">
        <f t="shared" ref="C45:V45" si="5">$B45*C27*12/1000*C$4</f>
        <v>0</v>
      </c>
      <c r="D45" s="764">
        <f t="shared" si="5"/>
        <v>0</v>
      </c>
      <c r="E45" s="764">
        <f t="shared" si="5"/>
        <v>0</v>
      </c>
      <c r="F45" s="764">
        <f t="shared" si="5"/>
        <v>0</v>
      </c>
      <c r="G45" s="764">
        <f t="shared" si="5"/>
        <v>0</v>
      </c>
      <c r="H45" s="764">
        <f t="shared" si="5"/>
        <v>0</v>
      </c>
      <c r="I45" s="764">
        <f t="shared" si="5"/>
        <v>0</v>
      </c>
      <c r="J45" s="764">
        <f t="shared" si="5"/>
        <v>0</v>
      </c>
      <c r="K45" s="764">
        <f t="shared" si="5"/>
        <v>0</v>
      </c>
      <c r="L45" s="764">
        <f t="shared" si="5"/>
        <v>0</v>
      </c>
      <c r="M45" s="764">
        <f t="shared" si="5"/>
        <v>0</v>
      </c>
      <c r="N45" s="764">
        <f t="shared" si="5"/>
        <v>0</v>
      </c>
      <c r="O45" s="764">
        <f t="shared" si="5"/>
        <v>0</v>
      </c>
      <c r="P45" s="764">
        <f t="shared" si="5"/>
        <v>0</v>
      </c>
      <c r="Q45" s="764">
        <f t="shared" si="5"/>
        <v>0</v>
      </c>
      <c r="R45" s="764">
        <f t="shared" si="5"/>
        <v>0</v>
      </c>
      <c r="S45" s="764">
        <f t="shared" si="5"/>
        <v>0</v>
      </c>
      <c r="T45" s="764">
        <f t="shared" si="5"/>
        <v>0</v>
      </c>
      <c r="U45" s="764">
        <f t="shared" si="5"/>
        <v>0</v>
      </c>
      <c r="V45" s="764">
        <f t="shared" si="5"/>
        <v>0</v>
      </c>
    </row>
    <row r="46" spans="1:22" ht="16.149999999999999" hidden="1" customHeight="1" thickBot="1" x14ac:dyDescent="0.45">
      <c r="A46" s="770" t="s">
        <v>204</v>
      </c>
      <c r="B46" s="763">
        <f>Revenue!B46</f>
        <v>0</v>
      </c>
      <c r="C46" s="764">
        <f t="shared" ref="C46:V46" si="6">$B46*C28*12/1000*C$4</f>
        <v>0</v>
      </c>
      <c r="D46" s="764">
        <f t="shared" si="6"/>
        <v>0</v>
      </c>
      <c r="E46" s="764">
        <f t="shared" si="6"/>
        <v>0</v>
      </c>
      <c r="F46" s="764">
        <f t="shared" si="6"/>
        <v>0</v>
      </c>
      <c r="G46" s="764">
        <f t="shared" si="6"/>
        <v>0</v>
      </c>
      <c r="H46" s="764">
        <f t="shared" si="6"/>
        <v>0</v>
      </c>
      <c r="I46" s="764">
        <f t="shared" si="6"/>
        <v>0</v>
      </c>
      <c r="J46" s="764">
        <f t="shared" si="6"/>
        <v>0</v>
      </c>
      <c r="K46" s="764">
        <f t="shared" si="6"/>
        <v>0</v>
      </c>
      <c r="L46" s="764">
        <f t="shared" si="6"/>
        <v>0</v>
      </c>
      <c r="M46" s="764">
        <f t="shared" si="6"/>
        <v>0</v>
      </c>
      <c r="N46" s="764">
        <f t="shared" si="6"/>
        <v>0</v>
      </c>
      <c r="O46" s="764">
        <f t="shared" si="6"/>
        <v>0</v>
      </c>
      <c r="P46" s="764">
        <f t="shared" si="6"/>
        <v>0</v>
      </c>
      <c r="Q46" s="764">
        <f t="shared" si="6"/>
        <v>0</v>
      </c>
      <c r="R46" s="764">
        <f t="shared" si="6"/>
        <v>0</v>
      </c>
      <c r="S46" s="764">
        <f t="shared" si="6"/>
        <v>0</v>
      </c>
      <c r="T46" s="764">
        <f t="shared" si="6"/>
        <v>0</v>
      </c>
      <c r="U46" s="764">
        <f t="shared" si="6"/>
        <v>0</v>
      </c>
      <c r="V46" s="764">
        <f t="shared" si="6"/>
        <v>0</v>
      </c>
    </row>
    <row r="47" spans="1:22" ht="16.149999999999999" hidden="1" customHeight="1" thickBot="1" x14ac:dyDescent="0.45">
      <c r="A47" s="770" t="s">
        <v>205</v>
      </c>
      <c r="B47" s="763">
        <f>Revenue!B47</f>
        <v>0</v>
      </c>
      <c r="C47" s="764">
        <f t="shared" ref="C47:V47" si="7">$B47*C29*12/1000*C$4</f>
        <v>0</v>
      </c>
      <c r="D47" s="764">
        <f t="shared" si="7"/>
        <v>0</v>
      </c>
      <c r="E47" s="764">
        <f t="shared" si="7"/>
        <v>0</v>
      </c>
      <c r="F47" s="764">
        <f t="shared" si="7"/>
        <v>0</v>
      </c>
      <c r="G47" s="764">
        <f t="shared" si="7"/>
        <v>0</v>
      </c>
      <c r="H47" s="764">
        <f t="shared" si="7"/>
        <v>0</v>
      </c>
      <c r="I47" s="764">
        <f t="shared" si="7"/>
        <v>0</v>
      </c>
      <c r="J47" s="764">
        <f t="shared" si="7"/>
        <v>0</v>
      </c>
      <c r="K47" s="764">
        <f t="shared" si="7"/>
        <v>0</v>
      </c>
      <c r="L47" s="764">
        <f t="shared" si="7"/>
        <v>0</v>
      </c>
      <c r="M47" s="764">
        <f t="shared" si="7"/>
        <v>0</v>
      </c>
      <c r="N47" s="764">
        <f t="shared" si="7"/>
        <v>0</v>
      </c>
      <c r="O47" s="764">
        <f t="shared" si="7"/>
        <v>0</v>
      </c>
      <c r="P47" s="764">
        <f t="shared" si="7"/>
        <v>0</v>
      </c>
      <c r="Q47" s="764">
        <f t="shared" si="7"/>
        <v>0</v>
      </c>
      <c r="R47" s="764">
        <f t="shared" si="7"/>
        <v>0</v>
      </c>
      <c r="S47" s="764">
        <f t="shared" si="7"/>
        <v>0</v>
      </c>
      <c r="T47" s="764">
        <f t="shared" si="7"/>
        <v>0</v>
      </c>
      <c r="U47" s="764">
        <f t="shared" si="7"/>
        <v>0</v>
      </c>
      <c r="V47" s="764">
        <f t="shared" si="7"/>
        <v>0</v>
      </c>
    </row>
    <row r="48" spans="1:22" ht="16.149999999999999" hidden="1" customHeight="1" thickBot="1" x14ac:dyDescent="0.45">
      <c r="A48" s="770" t="s">
        <v>201</v>
      </c>
      <c r="B48" s="763">
        <f>Revenue!B48</f>
        <v>0</v>
      </c>
      <c r="C48" s="764">
        <f t="shared" ref="C48:V48" si="8">$B48*C30*12/1000*C$4</f>
        <v>0</v>
      </c>
      <c r="D48" s="764">
        <f t="shared" si="8"/>
        <v>0</v>
      </c>
      <c r="E48" s="764">
        <f t="shared" si="8"/>
        <v>0</v>
      </c>
      <c r="F48" s="764">
        <f t="shared" si="8"/>
        <v>0</v>
      </c>
      <c r="G48" s="764">
        <f t="shared" si="8"/>
        <v>0</v>
      </c>
      <c r="H48" s="764">
        <f t="shared" si="8"/>
        <v>0</v>
      </c>
      <c r="I48" s="764">
        <f t="shared" si="8"/>
        <v>0</v>
      </c>
      <c r="J48" s="764">
        <f t="shared" si="8"/>
        <v>0</v>
      </c>
      <c r="K48" s="764">
        <f t="shared" si="8"/>
        <v>0</v>
      </c>
      <c r="L48" s="764">
        <f t="shared" si="8"/>
        <v>0</v>
      </c>
      <c r="M48" s="764">
        <f t="shared" si="8"/>
        <v>0</v>
      </c>
      <c r="N48" s="764">
        <f t="shared" si="8"/>
        <v>0</v>
      </c>
      <c r="O48" s="764">
        <f t="shared" si="8"/>
        <v>0</v>
      </c>
      <c r="P48" s="764">
        <f t="shared" si="8"/>
        <v>0</v>
      </c>
      <c r="Q48" s="764">
        <f t="shared" si="8"/>
        <v>0</v>
      </c>
      <c r="R48" s="764">
        <f t="shared" si="8"/>
        <v>0</v>
      </c>
      <c r="S48" s="764">
        <f t="shared" si="8"/>
        <v>0</v>
      </c>
      <c r="T48" s="764">
        <f t="shared" si="8"/>
        <v>0</v>
      </c>
      <c r="U48" s="764">
        <f t="shared" si="8"/>
        <v>0</v>
      </c>
      <c r="V48" s="764">
        <f t="shared" si="8"/>
        <v>0</v>
      </c>
    </row>
    <row r="49" spans="1:22" ht="16.149999999999999" customHeight="1" x14ac:dyDescent="0.4">
      <c r="A49" s="770" t="s">
        <v>376</v>
      </c>
      <c r="B49" s="763">
        <f>Revenue!B49</f>
        <v>12250</v>
      </c>
      <c r="C49" s="764">
        <f t="shared" ref="C49:V49" si="9">$B49*C31*12/1000*C$4</f>
        <v>0</v>
      </c>
      <c r="D49" s="764">
        <f t="shared" si="9"/>
        <v>0</v>
      </c>
      <c r="E49" s="764">
        <f t="shared" si="9"/>
        <v>3087</v>
      </c>
      <c r="F49" s="764">
        <f t="shared" si="9"/>
        <v>5145</v>
      </c>
      <c r="G49" s="764">
        <f t="shared" si="9"/>
        <v>7563.15</v>
      </c>
      <c r="H49" s="764">
        <f t="shared" si="9"/>
        <v>9183.8249999999989</v>
      </c>
      <c r="I49" s="764">
        <f t="shared" si="9"/>
        <v>9621.15</v>
      </c>
      <c r="J49" s="764">
        <f t="shared" si="9"/>
        <v>9621.15</v>
      </c>
      <c r="K49" s="764">
        <f t="shared" si="9"/>
        <v>10058.475000000002</v>
      </c>
      <c r="L49" s="764">
        <f t="shared" si="9"/>
        <v>10058.475000000002</v>
      </c>
      <c r="M49" s="764">
        <f t="shared" si="9"/>
        <v>10495.800000000001</v>
      </c>
      <c r="N49" s="764">
        <f t="shared" si="9"/>
        <v>10495.800000000001</v>
      </c>
      <c r="O49" s="764">
        <f t="shared" si="9"/>
        <v>10933.125000000004</v>
      </c>
      <c r="P49" s="764">
        <f t="shared" si="9"/>
        <v>10933.125000000004</v>
      </c>
      <c r="Q49" s="764">
        <f t="shared" si="9"/>
        <v>11370.450000000003</v>
      </c>
      <c r="R49" s="764">
        <f t="shared" si="9"/>
        <v>11370.450000000003</v>
      </c>
      <c r="S49" s="764">
        <f t="shared" si="9"/>
        <v>11807.775000000003</v>
      </c>
      <c r="T49" s="764">
        <f t="shared" si="9"/>
        <v>11807.775000000003</v>
      </c>
      <c r="U49" s="764">
        <f t="shared" si="9"/>
        <v>12245.100000000002</v>
      </c>
      <c r="V49" s="764">
        <f t="shared" si="9"/>
        <v>12245.100000000002</v>
      </c>
    </row>
    <row r="50" spans="1:22" ht="16.149999999999999" customHeight="1" x14ac:dyDescent="0.4">
      <c r="A50" s="770" t="s">
        <v>56</v>
      </c>
      <c r="B50" s="763">
        <f>Revenue!B50</f>
        <v>54520.5</v>
      </c>
      <c r="C50" s="764">
        <f t="shared" ref="C50:V50" si="10">$B50*C32*12/1000*C$4</f>
        <v>0</v>
      </c>
      <c r="D50" s="764">
        <f t="shared" si="10"/>
        <v>0</v>
      </c>
      <c r="E50" s="764">
        <f t="shared" si="10"/>
        <v>5888.2139999999999</v>
      </c>
      <c r="F50" s="764">
        <f t="shared" si="10"/>
        <v>9813.69</v>
      </c>
      <c r="G50" s="764">
        <f t="shared" si="10"/>
        <v>14426.124299999999</v>
      </c>
      <c r="H50" s="764">
        <f t="shared" si="10"/>
        <v>17517.43665</v>
      </c>
      <c r="I50" s="764">
        <f t="shared" si="10"/>
        <v>18351.600299999998</v>
      </c>
      <c r="J50" s="764">
        <f t="shared" si="10"/>
        <v>18351.600299999998</v>
      </c>
      <c r="K50" s="764">
        <f t="shared" si="10"/>
        <v>19185.763950000008</v>
      </c>
      <c r="L50" s="764">
        <f t="shared" si="10"/>
        <v>19185.763950000008</v>
      </c>
      <c r="M50" s="764">
        <f t="shared" si="10"/>
        <v>20019.927600000006</v>
      </c>
      <c r="N50" s="764">
        <f t="shared" si="10"/>
        <v>20019.927600000006</v>
      </c>
      <c r="O50" s="764">
        <f t="shared" si="10"/>
        <v>20854.091250000005</v>
      </c>
      <c r="P50" s="764">
        <f t="shared" si="10"/>
        <v>20854.091250000005</v>
      </c>
      <c r="Q50" s="764">
        <f t="shared" si="10"/>
        <v>21688.254900000007</v>
      </c>
      <c r="R50" s="764">
        <f t="shared" si="10"/>
        <v>21688.254900000007</v>
      </c>
      <c r="S50" s="764">
        <f t="shared" si="10"/>
        <v>22522.418550000006</v>
      </c>
      <c r="T50" s="764">
        <f t="shared" si="10"/>
        <v>22522.418550000006</v>
      </c>
      <c r="U50" s="764">
        <f t="shared" si="10"/>
        <v>23356.582200000008</v>
      </c>
      <c r="V50" s="764">
        <f t="shared" si="10"/>
        <v>23356.582200000008</v>
      </c>
    </row>
    <row r="51" spans="1:22" ht="16.149999999999999" customHeight="1" x14ac:dyDescent="0.4">
      <c r="A51" s="770" t="s">
        <v>66</v>
      </c>
      <c r="B51" s="763">
        <f>Revenue!B51</f>
        <v>22440</v>
      </c>
      <c r="C51" s="764">
        <f t="shared" ref="C51:V51" si="11">$B51*C33*12/1000*C$4</f>
        <v>0</v>
      </c>
      <c r="D51" s="764">
        <f t="shared" si="11"/>
        <v>0</v>
      </c>
      <c r="E51" s="764">
        <f t="shared" si="11"/>
        <v>6462.72</v>
      </c>
      <c r="F51" s="764">
        <f t="shared" si="11"/>
        <v>10771.2</v>
      </c>
      <c r="G51" s="764">
        <f t="shared" si="11"/>
        <v>15833.663999999999</v>
      </c>
      <c r="H51" s="764">
        <f t="shared" si="11"/>
        <v>19226.592000000001</v>
      </c>
      <c r="I51" s="764">
        <f t="shared" si="11"/>
        <v>20142.144</v>
      </c>
      <c r="J51" s="764">
        <f t="shared" si="11"/>
        <v>20142.144</v>
      </c>
      <c r="K51" s="764">
        <f t="shared" si="11"/>
        <v>21057.696</v>
      </c>
      <c r="L51" s="764">
        <f t="shared" si="11"/>
        <v>21057.696</v>
      </c>
      <c r="M51" s="764">
        <f t="shared" si="11"/>
        <v>21973.248000000007</v>
      </c>
      <c r="N51" s="764">
        <f t="shared" si="11"/>
        <v>21973.248000000007</v>
      </c>
      <c r="O51" s="764">
        <f t="shared" si="11"/>
        <v>22888.800000000007</v>
      </c>
      <c r="P51" s="764">
        <f t="shared" si="11"/>
        <v>22888.800000000007</v>
      </c>
      <c r="Q51" s="764">
        <f t="shared" si="11"/>
        <v>23804.352000000006</v>
      </c>
      <c r="R51" s="764">
        <f t="shared" si="11"/>
        <v>23804.352000000006</v>
      </c>
      <c r="S51" s="764">
        <f t="shared" si="11"/>
        <v>24719.904000000006</v>
      </c>
      <c r="T51" s="764">
        <f t="shared" si="11"/>
        <v>24719.904000000006</v>
      </c>
      <c r="U51" s="764">
        <f t="shared" si="11"/>
        <v>25635.456000000006</v>
      </c>
      <c r="V51" s="764">
        <f t="shared" si="11"/>
        <v>25635.456000000006</v>
      </c>
    </row>
    <row r="52" spans="1:22" ht="16.149999999999999" customHeight="1" x14ac:dyDescent="0.4">
      <c r="A52" s="770" t="s">
        <v>104</v>
      </c>
      <c r="B52" s="763">
        <f>Revenue!B52</f>
        <v>2280</v>
      </c>
      <c r="C52" s="764">
        <f t="shared" ref="C52:V52" si="12">$B52*C34*12/1000*C$15</f>
        <v>0</v>
      </c>
      <c r="D52" s="764">
        <f t="shared" si="12"/>
        <v>0</v>
      </c>
      <c r="E52" s="764">
        <f t="shared" si="12"/>
        <v>1231.2</v>
      </c>
      <c r="F52" s="764">
        <f t="shared" si="12"/>
        <v>1231.2</v>
      </c>
      <c r="G52" s="764">
        <f t="shared" si="12"/>
        <v>1292.76</v>
      </c>
      <c r="H52" s="764">
        <f t="shared" si="12"/>
        <v>1292.76</v>
      </c>
      <c r="I52" s="764">
        <f t="shared" si="12"/>
        <v>1354.3200000000002</v>
      </c>
      <c r="J52" s="764">
        <f t="shared" si="12"/>
        <v>1354.3200000000002</v>
      </c>
      <c r="K52" s="764">
        <f t="shared" si="12"/>
        <v>1415.8800000000003</v>
      </c>
      <c r="L52" s="764">
        <f t="shared" si="12"/>
        <v>1415.8800000000003</v>
      </c>
      <c r="M52" s="764">
        <f t="shared" si="12"/>
        <v>1477.4400000000003</v>
      </c>
      <c r="N52" s="764">
        <f t="shared" si="12"/>
        <v>1477.4400000000003</v>
      </c>
      <c r="O52" s="764">
        <f t="shared" si="12"/>
        <v>1539.0000000000002</v>
      </c>
      <c r="P52" s="764">
        <f t="shared" si="12"/>
        <v>1539.0000000000002</v>
      </c>
      <c r="Q52" s="764">
        <f t="shared" si="12"/>
        <v>1600.5600000000004</v>
      </c>
      <c r="R52" s="764">
        <f t="shared" si="12"/>
        <v>1600.5600000000004</v>
      </c>
      <c r="S52" s="764">
        <f t="shared" si="12"/>
        <v>1662.1200000000006</v>
      </c>
      <c r="T52" s="764">
        <f t="shared" si="12"/>
        <v>1662.1200000000006</v>
      </c>
      <c r="U52" s="764">
        <f t="shared" si="12"/>
        <v>1723.6800000000005</v>
      </c>
      <c r="V52" s="764">
        <f t="shared" si="12"/>
        <v>1723.6800000000005</v>
      </c>
    </row>
    <row r="53" spans="1:22" ht="16.149999999999999" customHeight="1" x14ac:dyDescent="0.4">
      <c r="A53" s="770" t="s">
        <v>110</v>
      </c>
      <c r="B53" s="763">
        <f>Revenue!B53</f>
        <v>9354</v>
      </c>
      <c r="C53" s="764">
        <f t="shared" ref="C53:V53" si="13">$B53*C35*12/1000*C$4</f>
        <v>0</v>
      </c>
      <c r="D53" s="764">
        <f t="shared" si="13"/>
        <v>0</v>
      </c>
      <c r="E53" s="764">
        <f t="shared" si="13"/>
        <v>1328.7736216216217</v>
      </c>
      <c r="F53" s="764">
        <f t="shared" si="13"/>
        <v>2214.622702702703</v>
      </c>
      <c r="G53" s="764">
        <f t="shared" si="13"/>
        <v>3255.4953729729732</v>
      </c>
      <c r="H53" s="764">
        <f t="shared" si="13"/>
        <v>3953.1015243243246</v>
      </c>
      <c r="I53" s="764">
        <f t="shared" si="13"/>
        <v>4141.3444540540549</v>
      </c>
      <c r="J53" s="764">
        <f t="shared" si="13"/>
        <v>4141.3444540540549</v>
      </c>
      <c r="K53" s="764">
        <f t="shared" si="13"/>
        <v>4329.5873837837844</v>
      </c>
      <c r="L53" s="764">
        <f t="shared" si="13"/>
        <v>4329.5873837837844</v>
      </c>
      <c r="M53" s="764">
        <f t="shared" si="13"/>
        <v>4517.8303135135147</v>
      </c>
      <c r="N53" s="764">
        <f t="shared" si="13"/>
        <v>4517.8303135135147</v>
      </c>
      <c r="O53" s="764">
        <f t="shared" si="13"/>
        <v>4706.0732432432442</v>
      </c>
      <c r="P53" s="764">
        <f t="shared" si="13"/>
        <v>4706.0732432432442</v>
      </c>
      <c r="Q53" s="764">
        <f t="shared" si="13"/>
        <v>4894.3161729729736</v>
      </c>
      <c r="R53" s="764">
        <f t="shared" si="13"/>
        <v>4894.3161729729736</v>
      </c>
      <c r="S53" s="764">
        <f t="shared" si="13"/>
        <v>5082.559102702704</v>
      </c>
      <c r="T53" s="764">
        <f t="shared" si="13"/>
        <v>5082.559102702704</v>
      </c>
      <c r="U53" s="764">
        <f t="shared" si="13"/>
        <v>5270.8020324324334</v>
      </c>
      <c r="V53" s="764">
        <f t="shared" si="13"/>
        <v>5270.8020324324334</v>
      </c>
    </row>
    <row r="54" spans="1:22" ht="16.149999999999999" customHeight="1" x14ac:dyDescent="0.4">
      <c r="A54" s="771" t="s">
        <v>95</v>
      </c>
      <c r="B54" s="765">
        <f>Revenue!B54</f>
        <v>5040</v>
      </c>
      <c r="C54" s="766">
        <f t="shared" ref="C54:V54" si="14">$B54*C36*12/1000*C$4</f>
        <v>0</v>
      </c>
      <c r="D54" s="766">
        <f t="shared" si="14"/>
        <v>0</v>
      </c>
      <c r="E54" s="766">
        <f t="shared" si="14"/>
        <v>2721.6</v>
      </c>
      <c r="F54" s="766">
        <f t="shared" si="14"/>
        <v>4536</v>
      </c>
      <c r="G54" s="766">
        <f t="shared" si="14"/>
        <v>6667.92</v>
      </c>
      <c r="H54" s="766">
        <f t="shared" si="14"/>
        <v>8096.76</v>
      </c>
      <c r="I54" s="766">
        <f t="shared" si="14"/>
        <v>8482.32</v>
      </c>
      <c r="J54" s="766">
        <f t="shared" si="14"/>
        <v>8482.32</v>
      </c>
      <c r="K54" s="766">
        <f t="shared" si="14"/>
        <v>8867.880000000001</v>
      </c>
      <c r="L54" s="766">
        <f t="shared" si="14"/>
        <v>8867.880000000001</v>
      </c>
      <c r="M54" s="766">
        <f t="shared" si="14"/>
        <v>9253.44</v>
      </c>
      <c r="N54" s="766">
        <f t="shared" si="14"/>
        <v>9253.44</v>
      </c>
      <c r="O54" s="766">
        <f t="shared" si="14"/>
        <v>9639.0000000000018</v>
      </c>
      <c r="P54" s="766">
        <f t="shared" si="14"/>
        <v>9639.0000000000018</v>
      </c>
      <c r="Q54" s="766">
        <f t="shared" si="14"/>
        <v>10024.560000000001</v>
      </c>
      <c r="R54" s="766">
        <f t="shared" si="14"/>
        <v>10024.560000000001</v>
      </c>
      <c r="S54" s="766">
        <f t="shared" si="14"/>
        <v>10410.120000000003</v>
      </c>
      <c r="T54" s="766">
        <f t="shared" si="14"/>
        <v>10410.120000000003</v>
      </c>
      <c r="U54" s="766">
        <f t="shared" si="14"/>
        <v>10795.680000000002</v>
      </c>
      <c r="V54" s="766">
        <f t="shared" si="14"/>
        <v>10795.680000000002</v>
      </c>
    </row>
    <row r="55" spans="1:22" s="557" customFormat="1" ht="16.149999999999999" customHeight="1" x14ac:dyDescent="0.35">
      <c r="A55" s="759"/>
      <c r="B55" s="760"/>
      <c r="C55" s="824">
        <f t="shared" ref="C55:V55" si="15">SUM(C41:C54)</f>
        <v>0</v>
      </c>
      <c r="D55" s="825">
        <f t="shared" si="15"/>
        <v>0</v>
      </c>
      <c r="E55" s="825">
        <f t="shared" si="15"/>
        <v>68355.122269621628</v>
      </c>
      <c r="F55" s="825">
        <f t="shared" si="15"/>
        <v>113104.40378270271</v>
      </c>
      <c r="G55" s="825">
        <f t="shared" si="15"/>
        <v>165746.36956057302</v>
      </c>
      <c r="H55" s="825">
        <f t="shared" si="15"/>
        <v>200986.42875212437</v>
      </c>
      <c r="I55" s="825">
        <f t="shared" si="15"/>
        <v>210557.21107365406</v>
      </c>
      <c r="J55" s="825">
        <f t="shared" si="15"/>
        <v>210557.21107365406</v>
      </c>
      <c r="K55" s="825">
        <f t="shared" si="15"/>
        <v>220127.99339518382</v>
      </c>
      <c r="L55" s="825">
        <f t="shared" si="15"/>
        <v>220127.99339518382</v>
      </c>
      <c r="M55" s="825">
        <f t="shared" si="15"/>
        <v>229698.77571671357</v>
      </c>
      <c r="N55" s="825">
        <f t="shared" si="15"/>
        <v>229698.77571671357</v>
      </c>
      <c r="O55" s="825">
        <f t="shared" si="15"/>
        <v>239269.55803824333</v>
      </c>
      <c r="P55" s="825">
        <f t="shared" si="15"/>
        <v>239269.55803824333</v>
      </c>
      <c r="Q55" s="825">
        <f t="shared" si="15"/>
        <v>248840.34035977302</v>
      </c>
      <c r="R55" s="825">
        <f t="shared" si="15"/>
        <v>248840.34035977302</v>
      </c>
      <c r="S55" s="825">
        <f t="shared" si="15"/>
        <v>258411.12268130275</v>
      </c>
      <c r="T55" s="825">
        <f t="shared" si="15"/>
        <v>258411.12268130275</v>
      </c>
      <c r="U55" s="825">
        <f t="shared" si="15"/>
        <v>267981.90500283253</v>
      </c>
      <c r="V55" s="825">
        <f t="shared" si="15"/>
        <v>267981.90500283253</v>
      </c>
    </row>
    <row r="56" spans="1:22" s="556" customFormat="1" x14ac:dyDescent="0.4">
      <c r="C56" s="555"/>
      <c r="D56" s="555"/>
      <c r="E56" s="555"/>
      <c r="F56" s="555"/>
      <c r="G56" s="555"/>
      <c r="H56" s="555"/>
      <c r="I56" s="555"/>
      <c r="J56" s="555"/>
      <c r="K56" s="555"/>
      <c r="L56" s="555"/>
      <c r="M56" s="555"/>
      <c r="N56" s="555"/>
      <c r="O56" s="555"/>
      <c r="P56" s="555"/>
      <c r="Q56" s="555"/>
      <c r="R56" s="555"/>
      <c r="S56" s="555"/>
      <c r="T56" s="555"/>
      <c r="U56" s="555"/>
      <c r="V56" s="555"/>
    </row>
    <row r="57" spans="1:22" x14ac:dyDescent="0.4">
      <c r="C57" s="555"/>
      <c r="D57" s="555"/>
      <c r="E57" s="555"/>
      <c r="F57" s="555"/>
      <c r="G57" s="554"/>
      <c r="H57" s="554"/>
      <c r="I57" s="554"/>
      <c r="J57" s="554"/>
      <c r="K57" s="554"/>
      <c r="L57" s="554"/>
      <c r="M57" s="554"/>
      <c r="N57" s="554"/>
      <c r="O57" s="554"/>
      <c r="P57" s="554"/>
      <c r="Q57" s="554"/>
      <c r="R57" s="554"/>
      <c r="S57" s="554"/>
      <c r="T57" s="554"/>
      <c r="U57" s="554"/>
      <c r="V57" s="554"/>
    </row>
    <row r="58" spans="1:22" ht="16.149999999999999" customHeight="1" x14ac:dyDescent="0.4">
      <c r="A58" s="284" t="s">
        <v>787</v>
      </c>
      <c r="B58" s="284" t="s">
        <v>54</v>
      </c>
      <c r="E58" s="565"/>
    </row>
    <row r="59" spans="1:22" ht="16.149999999999999" hidden="1" customHeight="1" x14ac:dyDescent="0.4">
      <c r="B59" s="564"/>
      <c r="E59" s="564"/>
    </row>
    <row r="60" spans="1:22" ht="16.5" customHeight="1" thickBot="1" x14ac:dyDescent="0.45">
      <c r="A60" s="757"/>
      <c r="B60" s="758"/>
      <c r="C60" s="767" t="str">
        <f>C40</f>
        <v>16</v>
      </c>
      <c r="D60" s="767" t="str">
        <f t="shared" ref="D60:V60" si="16">D40</f>
        <v>17</v>
      </c>
      <c r="E60" s="767" t="str">
        <f t="shared" si="16"/>
        <v>18</v>
      </c>
      <c r="F60" s="767" t="str">
        <f t="shared" si="16"/>
        <v>19</v>
      </c>
      <c r="G60" s="767" t="str">
        <f t="shared" si="16"/>
        <v>20</v>
      </c>
      <c r="H60" s="767" t="str">
        <f t="shared" si="16"/>
        <v>21</v>
      </c>
      <c r="I60" s="767" t="str">
        <f t="shared" si="16"/>
        <v>22</v>
      </c>
      <c r="J60" s="767" t="str">
        <f t="shared" si="16"/>
        <v>23</v>
      </c>
      <c r="K60" s="767" t="str">
        <f t="shared" si="16"/>
        <v>24</v>
      </c>
      <c r="L60" s="767" t="str">
        <f t="shared" si="16"/>
        <v>25</v>
      </c>
      <c r="M60" s="767" t="str">
        <f t="shared" si="16"/>
        <v>26</v>
      </c>
      <c r="N60" s="767" t="str">
        <f t="shared" si="16"/>
        <v>27</v>
      </c>
      <c r="O60" s="767" t="str">
        <f t="shared" si="16"/>
        <v>28</v>
      </c>
      <c r="P60" s="767" t="str">
        <f t="shared" si="16"/>
        <v>29</v>
      </c>
      <c r="Q60" s="767" t="str">
        <f t="shared" si="16"/>
        <v>30</v>
      </c>
      <c r="R60" s="767" t="str">
        <f t="shared" si="16"/>
        <v>31</v>
      </c>
      <c r="S60" s="767" t="str">
        <f t="shared" si="16"/>
        <v>32</v>
      </c>
      <c r="T60" s="767" t="str">
        <f t="shared" si="16"/>
        <v>33</v>
      </c>
      <c r="U60" s="767" t="str">
        <f t="shared" si="16"/>
        <v>34</v>
      </c>
      <c r="V60" s="767" t="str">
        <f t="shared" si="16"/>
        <v>35</v>
      </c>
    </row>
    <row r="61" spans="1:22" ht="16.149999999999999" customHeight="1" thickTop="1" x14ac:dyDescent="0.4">
      <c r="A61" s="769" t="str">
        <f>A41</f>
        <v>DRY</v>
      </c>
      <c r="B61" s="761">
        <f>B41</f>
        <v>117712.22400000002</v>
      </c>
      <c r="C61" s="762">
        <f>$B61*C4</f>
        <v>0</v>
      </c>
      <c r="D61" s="762">
        <f t="shared" ref="D61:P61" si="17">$B61*D4</f>
        <v>0</v>
      </c>
      <c r="E61" s="762">
        <f t="shared" si="17"/>
        <v>35313.667200000004</v>
      </c>
      <c r="F61" s="762">
        <f t="shared" si="17"/>
        <v>58856.112000000008</v>
      </c>
      <c r="G61" s="762">
        <f t="shared" si="17"/>
        <v>82398.556800000006</v>
      </c>
      <c r="H61" s="762">
        <f t="shared" si="17"/>
        <v>100055.39040000002</v>
      </c>
      <c r="I61" s="762">
        <f t="shared" si="17"/>
        <v>100055.39040000002</v>
      </c>
      <c r="J61" s="762">
        <f t="shared" si="17"/>
        <v>100055.39040000002</v>
      </c>
      <c r="K61" s="762">
        <f t="shared" si="17"/>
        <v>100055.39040000002</v>
      </c>
      <c r="L61" s="762">
        <f t="shared" si="17"/>
        <v>100055.39040000002</v>
      </c>
      <c r="M61" s="762">
        <f t="shared" si="17"/>
        <v>100055.39040000002</v>
      </c>
      <c r="N61" s="762">
        <f t="shared" si="17"/>
        <v>100055.39040000002</v>
      </c>
      <c r="O61" s="762">
        <f t="shared" si="17"/>
        <v>100055.39040000002</v>
      </c>
      <c r="P61" s="762">
        <f t="shared" si="17"/>
        <v>100055.39040000002</v>
      </c>
      <c r="Q61" s="762">
        <f>$B61*Q4</f>
        <v>100055.39040000002</v>
      </c>
      <c r="R61" s="762">
        <f t="shared" ref="R61:V61" si="18">$B61*R4</f>
        <v>100055.39040000002</v>
      </c>
      <c r="S61" s="762">
        <f t="shared" si="18"/>
        <v>100055.39040000002</v>
      </c>
      <c r="T61" s="762">
        <f t="shared" si="18"/>
        <v>100055.39040000002</v>
      </c>
      <c r="U61" s="762">
        <f t="shared" si="18"/>
        <v>100055.39040000002</v>
      </c>
      <c r="V61" s="762">
        <f t="shared" si="18"/>
        <v>100055.39040000002</v>
      </c>
    </row>
    <row r="62" spans="1:22" ht="16.149999999999999" customHeight="1" x14ac:dyDescent="0.4">
      <c r="A62" s="769" t="str">
        <f t="shared" ref="A62:A74" si="19">A42</f>
        <v>AC</v>
      </c>
      <c r="B62" s="761">
        <f t="shared" ref="B62:B74" si="20">B42</f>
        <v>58856.112000000008</v>
      </c>
      <c r="C62" s="762">
        <f t="shared" ref="C62:P74" si="21">$B62*C5</f>
        <v>0</v>
      </c>
      <c r="D62" s="762">
        <f t="shared" si="21"/>
        <v>0</v>
      </c>
      <c r="E62" s="762">
        <f t="shared" si="21"/>
        <v>17656.833600000002</v>
      </c>
      <c r="F62" s="762">
        <f t="shared" si="21"/>
        <v>29428.056000000004</v>
      </c>
      <c r="G62" s="762">
        <f t="shared" si="21"/>
        <v>41199.278400000003</v>
      </c>
      <c r="H62" s="762">
        <f t="shared" si="21"/>
        <v>50027.695200000009</v>
      </c>
      <c r="I62" s="762">
        <f t="shared" si="21"/>
        <v>50027.695200000009</v>
      </c>
      <c r="J62" s="762">
        <f t="shared" si="21"/>
        <v>50027.695200000009</v>
      </c>
      <c r="K62" s="762">
        <f t="shared" si="21"/>
        <v>50027.695200000009</v>
      </c>
      <c r="L62" s="762">
        <f t="shared" si="21"/>
        <v>50027.695200000009</v>
      </c>
      <c r="M62" s="762">
        <f t="shared" si="21"/>
        <v>50027.695200000009</v>
      </c>
      <c r="N62" s="762">
        <f t="shared" si="21"/>
        <v>50027.695200000009</v>
      </c>
      <c r="O62" s="762">
        <f t="shared" si="21"/>
        <v>50027.695200000009</v>
      </c>
      <c r="P62" s="762">
        <f t="shared" si="21"/>
        <v>50027.695200000009</v>
      </c>
      <c r="Q62" s="762">
        <f t="shared" ref="Q62:V62" si="22">$B62*Q5</f>
        <v>50027.695200000009</v>
      </c>
      <c r="R62" s="762">
        <f t="shared" si="22"/>
        <v>50027.695200000009</v>
      </c>
      <c r="S62" s="762">
        <f t="shared" si="22"/>
        <v>50027.695200000009</v>
      </c>
      <c r="T62" s="762">
        <f t="shared" si="22"/>
        <v>50027.695200000009</v>
      </c>
      <c r="U62" s="762">
        <f t="shared" si="22"/>
        <v>50027.695200000009</v>
      </c>
      <c r="V62" s="762">
        <f t="shared" si="22"/>
        <v>50027.695200000009</v>
      </c>
    </row>
    <row r="63" spans="1:22" ht="16.149999999999999" customHeight="1" x14ac:dyDescent="0.4">
      <c r="A63" s="769" t="str">
        <f t="shared" si="19"/>
        <v>CHILLED</v>
      </c>
      <c r="B63" s="761">
        <f t="shared" si="20"/>
        <v>23122.044000000002</v>
      </c>
      <c r="C63" s="762">
        <f t="shared" si="21"/>
        <v>0</v>
      </c>
      <c r="D63" s="762">
        <f t="shared" si="21"/>
        <v>0</v>
      </c>
      <c r="E63" s="762">
        <f t="shared" si="21"/>
        <v>6936.6132000000007</v>
      </c>
      <c r="F63" s="762">
        <f t="shared" si="21"/>
        <v>11561.022000000001</v>
      </c>
      <c r="G63" s="762">
        <f t="shared" si="21"/>
        <v>16185.4308</v>
      </c>
      <c r="H63" s="762">
        <f t="shared" si="21"/>
        <v>19653.737400000002</v>
      </c>
      <c r="I63" s="762">
        <f t="shared" si="21"/>
        <v>19653.737400000002</v>
      </c>
      <c r="J63" s="762">
        <f t="shared" si="21"/>
        <v>19653.737400000002</v>
      </c>
      <c r="K63" s="762">
        <f t="shared" si="21"/>
        <v>19653.737400000002</v>
      </c>
      <c r="L63" s="762">
        <f t="shared" si="21"/>
        <v>19653.737400000002</v>
      </c>
      <c r="M63" s="762">
        <f t="shared" si="21"/>
        <v>19653.737400000002</v>
      </c>
      <c r="N63" s="762">
        <f t="shared" si="21"/>
        <v>19653.737400000002</v>
      </c>
      <c r="O63" s="762">
        <f t="shared" si="21"/>
        <v>19653.737400000002</v>
      </c>
      <c r="P63" s="762">
        <f t="shared" si="21"/>
        <v>19653.737400000002</v>
      </c>
      <c r="Q63" s="762">
        <f t="shared" ref="Q63:V63" si="23">$B63*Q6</f>
        <v>19653.737400000002</v>
      </c>
      <c r="R63" s="762">
        <f t="shared" si="23"/>
        <v>19653.737400000002</v>
      </c>
      <c r="S63" s="762">
        <f t="shared" si="23"/>
        <v>19653.737400000002</v>
      </c>
      <c r="T63" s="762">
        <f t="shared" si="23"/>
        <v>19653.737400000002</v>
      </c>
      <c r="U63" s="762">
        <f t="shared" si="23"/>
        <v>19653.737400000002</v>
      </c>
      <c r="V63" s="762">
        <f t="shared" si="23"/>
        <v>19653.737400000002</v>
      </c>
    </row>
    <row r="64" spans="1:22" ht="16.149999999999999" customHeight="1" x14ac:dyDescent="0.4">
      <c r="A64" s="769" t="str">
        <f t="shared" si="19"/>
        <v>FROZEN</v>
      </c>
      <c r="B64" s="761">
        <f t="shared" si="20"/>
        <v>10510.02</v>
      </c>
      <c r="C64" s="762">
        <f t="shared" si="21"/>
        <v>0</v>
      </c>
      <c r="D64" s="762">
        <f t="shared" si="21"/>
        <v>0</v>
      </c>
      <c r="E64" s="762">
        <f t="shared" si="21"/>
        <v>3153.0059999999999</v>
      </c>
      <c r="F64" s="762">
        <f t="shared" si="21"/>
        <v>5255.01</v>
      </c>
      <c r="G64" s="762">
        <f t="shared" si="21"/>
        <v>7357.0140000000001</v>
      </c>
      <c r="H64" s="762">
        <f t="shared" si="21"/>
        <v>8933.5169999999998</v>
      </c>
      <c r="I64" s="762">
        <f t="shared" si="21"/>
        <v>8933.5169999999998</v>
      </c>
      <c r="J64" s="762">
        <f t="shared" si="21"/>
        <v>8933.5169999999998</v>
      </c>
      <c r="K64" s="762">
        <f t="shared" si="21"/>
        <v>8933.5169999999998</v>
      </c>
      <c r="L64" s="762">
        <f t="shared" si="21"/>
        <v>8933.5169999999998</v>
      </c>
      <c r="M64" s="762">
        <f t="shared" si="21"/>
        <v>8933.5169999999998</v>
      </c>
      <c r="N64" s="762">
        <f t="shared" si="21"/>
        <v>8933.5169999999998</v>
      </c>
      <c r="O64" s="762">
        <f t="shared" si="21"/>
        <v>8933.5169999999998</v>
      </c>
      <c r="P64" s="762">
        <f t="shared" si="21"/>
        <v>8933.5169999999998</v>
      </c>
      <c r="Q64" s="762">
        <f t="shared" ref="Q64:V64" si="24">$B64*Q7</f>
        <v>8933.5169999999998</v>
      </c>
      <c r="R64" s="762">
        <f t="shared" si="24"/>
        <v>8933.5169999999998</v>
      </c>
      <c r="S64" s="762">
        <f t="shared" si="24"/>
        <v>8933.5169999999998</v>
      </c>
      <c r="T64" s="762">
        <f t="shared" si="24"/>
        <v>8933.5169999999998</v>
      </c>
      <c r="U64" s="762">
        <f t="shared" si="24"/>
        <v>8933.5169999999998</v>
      </c>
      <c r="V64" s="762">
        <f t="shared" si="24"/>
        <v>8933.5169999999998</v>
      </c>
    </row>
    <row r="65" spans="1:22" ht="16.149999999999999" hidden="1" customHeight="1" x14ac:dyDescent="0.4">
      <c r="A65" s="769" t="str">
        <f t="shared" si="19"/>
        <v>DRY - M</v>
      </c>
      <c r="B65" s="761">
        <f t="shared" si="20"/>
        <v>0</v>
      </c>
      <c r="C65" s="762">
        <f t="shared" si="21"/>
        <v>0</v>
      </c>
      <c r="D65" s="762">
        <f t="shared" si="21"/>
        <v>0</v>
      </c>
      <c r="E65" s="762">
        <f t="shared" si="21"/>
        <v>0</v>
      </c>
      <c r="F65" s="762">
        <f t="shared" si="21"/>
        <v>0</v>
      </c>
      <c r="G65" s="762">
        <f t="shared" si="21"/>
        <v>0</v>
      </c>
      <c r="H65" s="762">
        <f t="shared" si="21"/>
        <v>0</v>
      </c>
      <c r="I65" s="762">
        <f t="shared" si="21"/>
        <v>0</v>
      </c>
      <c r="J65" s="762">
        <f t="shared" si="21"/>
        <v>0</v>
      </c>
      <c r="K65" s="762">
        <f t="shared" si="21"/>
        <v>0</v>
      </c>
      <c r="L65" s="762">
        <f t="shared" si="21"/>
        <v>0</v>
      </c>
      <c r="M65" s="762">
        <f t="shared" si="21"/>
        <v>0</v>
      </c>
      <c r="N65" s="762">
        <f t="shared" si="21"/>
        <v>0</v>
      </c>
      <c r="O65" s="762">
        <f t="shared" si="21"/>
        <v>0</v>
      </c>
      <c r="P65" s="762">
        <f t="shared" si="21"/>
        <v>0</v>
      </c>
      <c r="Q65" s="762">
        <f t="shared" ref="Q65:V65" si="25">$B65*Q8</f>
        <v>0</v>
      </c>
      <c r="R65" s="762">
        <f t="shared" si="25"/>
        <v>0</v>
      </c>
      <c r="S65" s="762">
        <f t="shared" si="25"/>
        <v>0</v>
      </c>
      <c r="T65" s="762">
        <f t="shared" si="25"/>
        <v>0</v>
      </c>
      <c r="U65" s="762">
        <f t="shared" si="25"/>
        <v>0</v>
      </c>
      <c r="V65" s="762">
        <f t="shared" si="25"/>
        <v>0</v>
      </c>
    </row>
    <row r="66" spans="1:22" ht="16.149999999999999" hidden="1" customHeight="1" x14ac:dyDescent="0.4">
      <c r="A66" s="769" t="str">
        <f t="shared" si="19"/>
        <v>AC - M</v>
      </c>
      <c r="B66" s="761">
        <f t="shared" si="20"/>
        <v>0</v>
      </c>
      <c r="C66" s="762">
        <f t="shared" si="21"/>
        <v>0</v>
      </c>
      <c r="D66" s="762">
        <f t="shared" si="21"/>
        <v>0</v>
      </c>
      <c r="E66" s="762">
        <f t="shared" si="21"/>
        <v>0</v>
      </c>
      <c r="F66" s="762">
        <f t="shared" si="21"/>
        <v>0</v>
      </c>
      <c r="G66" s="762">
        <f t="shared" si="21"/>
        <v>0</v>
      </c>
      <c r="H66" s="762">
        <f t="shared" si="21"/>
        <v>0</v>
      </c>
      <c r="I66" s="762">
        <f t="shared" si="21"/>
        <v>0</v>
      </c>
      <c r="J66" s="762">
        <f t="shared" si="21"/>
        <v>0</v>
      </c>
      <c r="K66" s="762">
        <f t="shared" si="21"/>
        <v>0</v>
      </c>
      <c r="L66" s="762">
        <f t="shared" si="21"/>
        <v>0</v>
      </c>
      <c r="M66" s="762">
        <f t="shared" si="21"/>
        <v>0</v>
      </c>
      <c r="N66" s="762">
        <f t="shared" si="21"/>
        <v>0</v>
      </c>
      <c r="O66" s="762">
        <f t="shared" si="21"/>
        <v>0</v>
      </c>
      <c r="P66" s="762">
        <f t="shared" si="21"/>
        <v>0</v>
      </c>
      <c r="Q66" s="762">
        <f t="shared" ref="Q66:V66" si="26">$B66*Q9</f>
        <v>0</v>
      </c>
      <c r="R66" s="762">
        <f t="shared" si="26"/>
        <v>0</v>
      </c>
      <c r="S66" s="762">
        <f t="shared" si="26"/>
        <v>0</v>
      </c>
      <c r="T66" s="762">
        <f t="shared" si="26"/>
        <v>0</v>
      </c>
      <c r="U66" s="762">
        <f t="shared" si="26"/>
        <v>0</v>
      </c>
      <c r="V66" s="762">
        <f t="shared" si="26"/>
        <v>0</v>
      </c>
    </row>
    <row r="67" spans="1:22" ht="16.149999999999999" hidden="1" customHeight="1" x14ac:dyDescent="0.4">
      <c r="A67" s="769" t="str">
        <f t="shared" si="19"/>
        <v>CHILLED - M</v>
      </c>
      <c r="B67" s="761">
        <f t="shared" si="20"/>
        <v>0</v>
      </c>
      <c r="C67" s="762">
        <f t="shared" si="21"/>
        <v>0</v>
      </c>
      <c r="D67" s="762">
        <f t="shared" si="21"/>
        <v>0</v>
      </c>
      <c r="E67" s="762">
        <f t="shared" si="21"/>
        <v>0</v>
      </c>
      <c r="F67" s="762">
        <f t="shared" si="21"/>
        <v>0</v>
      </c>
      <c r="G67" s="762">
        <f t="shared" si="21"/>
        <v>0</v>
      </c>
      <c r="H67" s="762">
        <f t="shared" si="21"/>
        <v>0</v>
      </c>
      <c r="I67" s="762">
        <f t="shared" si="21"/>
        <v>0</v>
      </c>
      <c r="J67" s="762">
        <f t="shared" si="21"/>
        <v>0</v>
      </c>
      <c r="K67" s="762">
        <f t="shared" si="21"/>
        <v>0</v>
      </c>
      <c r="L67" s="762">
        <f t="shared" si="21"/>
        <v>0</v>
      </c>
      <c r="M67" s="762">
        <f t="shared" si="21"/>
        <v>0</v>
      </c>
      <c r="N67" s="762">
        <f t="shared" si="21"/>
        <v>0</v>
      </c>
      <c r="O67" s="762">
        <f t="shared" si="21"/>
        <v>0</v>
      </c>
      <c r="P67" s="762">
        <f t="shared" si="21"/>
        <v>0</v>
      </c>
      <c r="Q67" s="762">
        <f t="shared" ref="Q67:V67" si="27">$B67*Q10</f>
        <v>0</v>
      </c>
      <c r="R67" s="762">
        <f t="shared" si="27"/>
        <v>0</v>
      </c>
      <c r="S67" s="762">
        <f t="shared" si="27"/>
        <v>0</v>
      </c>
      <c r="T67" s="762">
        <f t="shared" si="27"/>
        <v>0</v>
      </c>
      <c r="U67" s="762">
        <f t="shared" si="27"/>
        <v>0</v>
      </c>
      <c r="V67" s="762">
        <f t="shared" si="27"/>
        <v>0</v>
      </c>
    </row>
    <row r="68" spans="1:22" ht="16.149999999999999" hidden="1" customHeight="1" x14ac:dyDescent="0.4">
      <c r="A68" s="769" t="str">
        <f t="shared" si="19"/>
        <v>FROZEN - M</v>
      </c>
      <c r="B68" s="761">
        <f t="shared" si="20"/>
        <v>0</v>
      </c>
      <c r="C68" s="762">
        <f t="shared" si="21"/>
        <v>0</v>
      </c>
      <c r="D68" s="762">
        <f t="shared" si="21"/>
        <v>0</v>
      </c>
      <c r="E68" s="762">
        <f t="shared" si="21"/>
        <v>0</v>
      </c>
      <c r="F68" s="762">
        <f t="shared" si="21"/>
        <v>0</v>
      </c>
      <c r="G68" s="762">
        <f t="shared" si="21"/>
        <v>0</v>
      </c>
      <c r="H68" s="762">
        <f t="shared" si="21"/>
        <v>0</v>
      </c>
      <c r="I68" s="762">
        <f t="shared" si="21"/>
        <v>0</v>
      </c>
      <c r="J68" s="762">
        <f t="shared" si="21"/>
        <v>0</v>
      </c>
      <c r="K68" s="762">
        <f t="shared" si="21"/>
        <v>0</v>
      </c>
      <c r="L68" s="762">
        <f t="shared" si="21"/>
        <v>0</v>
      </c>
      <c r="M68" s="762">
        <f t="shared" si="21"/>
        <v>0</v>
      </c>
      <c r="N68" s="762">
        <f t="shared" si="21"/>
        <v>0</v>
      </c>
      <c r="O68" s="762">
        <f t="shared" si="21"/>
        <v>0</v>
      </c>
      <c r="P68" s="762">
        <f t="shared" si="21"/>
        <v>0</v>
      </c>
      <c r="Q68" s="762">
        <f t="shared" ref="Q68:V68" si="28">$B68*Q11</f>
        <v>0</v>
      </c>
      <c r="R68" s="762">
        <f t="shared" si="28"/>
        <v>0</v>
      </c>
      <c r="S68" s="762">
        <f t="shared" si="28"/>
        <v>0</v>
      </c>
      <c r="T68" s="762">
        <f t="shared" si="28"/>
        <v>0</v>
      </c>
      <c r="U68" s="762">
        <f t="shared" si="28"/>
        <v>0</v>
      </c>
      <c r="V68" s="762">
        <f t="shared" si="28"/>
        <v>0</v>
      </c>
    </row>
    <row r="69" spans="1:22" ht="16.149999999999999" customHeight="1" x14ac:dyDescent="0.4">
      <c r="A69" s="769" t="str">
        <f t="shared" si="19"/>
        <v>Dedicated Warehouses</v>
      </c>
      <c r="B69" s="761">
        <f t="shared" si="20"/>
        <v>12250</v>
      </c>
      <c r="C69" s="762">
        <f t="shared" si="21"/>
        <v>0</v>
      </c>
      <c r="D69" s="762">
        <f t="shared" si="21"/>
        <v>0</v>
      </c>
      <c r="E69" s="762">
        <f t="shared" si="21"/>
        <v>3675</v>
      </c>
      <c r="F69" s="762">
        <f t="shared" si="21"/>
        <v>6125</v>
      </c>
      <c r="G69" s="762">
        <f t="shared" si="21"/>
        <v>8575</v>
      </c>
      <c r="H69" s="762">
        <f t="shared" si="21"/>
        <v>10412.5</v>
      </c>
      <c r="I69" s="762">
        <f t="shared" si="21"/>
        <v>10412.5</v>
      </c>
      <c r="J69" s="762">
        <f t="shared" si="21"/>
        <v>10412.5</v>
      </c>
      <c r="K69" s="762">
        <f t="shared" si="21"/>
        <v>10412.5</v>
      </c>
      <c r="L69" s="762">
        <f t="shared" si="21"/>
        <v>10412.5</v>
      </c>
      <c r="M69" s="762">
        <f t="shared" si="21"/>
        <v>10412.5</v>
      </c>
      <c r="N69" s="762">
        <f t="shared" si="21"/>
        <v>10412.5</v>
      </c>
      <c r="O69" s="762">
        <f t="shared" si="21"/>
        <v>10412.5</v>
      </c>
      <c r="P69" s="762">
        <f t="shared" si="21"/>
        <v>10412.5</v>
      </c>
      <c r="Q69" s="762">
        <f t="shared" ref="Q69:V69" si="29">$B69*Q12</f>
        <v>10412.5</v>
      </c>
      <c r="R69" s="762">
        <f t="shared" si="29"/>
        <v>10412.5</v>
      </c>
      <c r="S69" s="762">
        <f t="shared" si="29"/>
        <v>10412.5</v>
      </c>
      <c r="T69" s="762">
        <f t="shared" si="29"/>
        <v>10412.5</v>
      </c>
      <c r="U69" s="762">
        <f t="shared" si="29"/>
        <v>10412.5</v>
      </c>
      <c r="V69" s="762">
        <f t="shared" si="29"/>
        <v>10412.5</v>
      </c>
    </row>
    <row r="70" spans="1:22" ht="16.149999999999999" customHeight="1" x14ac:dyDescent="0.4">
      <c r="A70" s="769" t="str">
        <f t="shared" si="19"/>
        <v>Yard</v>
      </c>
      <c r="B70" s="761">
        <f t="shared" si="20"/>
        <v>54520.5</v>
      </c>
      <c r="C70" s="762">
        <f t="shared" si="21"/>
        <v>0</v>
      </c>
      <c r="D70" s="762">
        <f t="shared" si="21"/>
        <v>0</v>
      </c>
      <c r="E70" s="762">
        <f t="shared" si="21"/>
        <v>16356.15</v>
      </c>
      <c r="F70" s="762">
        <f t="shared" si="21"/>
        <v>27260.25</v>
      </c>
      <c r="G70" s="762">
        <f t="shared" si="21"/>
        <v>38164.35</v>
      </c>
      <c r="H70" s="762">
        <f t="shared" si="21"/>
        <v>46342.424999999996</v>
      </c>
      <c r="I70" s="762">
        <f t="shared" si="21"/>
        <v>46342.424999999996</v>
      </c>
      <c r="J70" s="762">
        <f t="shared" si="21"/>
        <v>46342.424999999996</v>
      </c>
      <c r="K70" s="762">
        <f t="shared" si="21"/>
        <v>46342.424999999996</v>
      </c>
      <c r="L70" s="762">
        <f t="shared" si="21"/>
        <v>46342.424999999996</v>
      </c>
      <c r="M70" s="762">
        <f t="shared" si="21"/>
        <v>46342.424999999996</v>
      </c>
      <c r="N70" s="762">
        <f t="shared" si="21"/>
        <v>46342.424999999996</v>
      </c>
      <c r="O70" s="762">
        <f t="shared" si="21"/>
        <v>46342.424999999996</v>
      </c>
      <c r="P70" s="762">
        <f t="shared" si="21"/>
        <v>46342.424999999996</v>
      </c>
      <c r="Q70" s="762">
        <f t="shared" ref="Q70:V70" si="30">$B70*Q13</f>
        <v>46342.424999999996</v>
      </c>
      <c r="R70" s="762">
        <f t="shared" si="30"/>
        <v>46342.424999999996</v>
      </c>
      <c r="S70" s="762">
        <f t="shared" si="30"/>
        <v>46342.424999999996</v>
      </c>
      <c r="T70" s="762">
        <f t="shared" si="30"/>
        <v>46342.424999999996</v>
      </c>
      <c r="U70" s="762">
        <f t="shared" si="30"/>
        <v>46342.424999999996</v>
      </c>
      <c r="V70" s="762">
        <f t="shared" si="30"/>
        <v>46342.424999999996</v>
      </c>
    </row>
    <row r="71" spans="1:22" ht="16.149999999999999" customHeight="1" x14ac:dyDescent="0.4">
      <c r="A71" s="769" t="str">
        <f t="shared" si="19"/>
        <v>Accommodation</v>
      </c>
      <c r="B71" s="761">
        <f t="shared" si="20"/>
        <v>22440</v>
      </c>
      <c r="C71" s="762">
        <f t="shared" si="21"/>
        <v>0</v>
      </c>
      <c r="D71" s="762">
        <f t="shared" si="21"/>
        <v>0</v>
      </c>
      <c r="E71" s="762">
        <f t="shared" si="21"/>
        <v>6732</v>
      </c>
      <c r="F71" s="762">
        <f t="shared" si="21"/>
        <v>11220</v>
      </c>
      <c r="G71" s="762">
        <f t="shared" si="21"/>
        <v>15707.999999999998</v>
      </c>
      <c r="H71" s="762">
        <f t="shared" si="21"/>
        <v>19074</v>
      </c>
      <c r="I71" s="762">
        <f t="shared" si="21"/>
        <v>19074</v>
      </c>
      <c r="J71" s="762">
        <f t="shared" si="21"/>
        <v>19074</v>
      </c>
      <c r="K71" s="762">
        <f t="shared" si="21"/>
        <v>19074</v>
      </c>
      <c r="L71" s="762">
        <f t="shared" si="21"/>
        <v>19074</v>
      </c>
      <c r="M71" s="762">
        <f t="shared" si="21"/>
        <v>19074</v>
      </c>
      <c r="N71" s="762">
        <f t="shared" si="21"/>
        <v>19074</v>
      </c>
      <c r="O71" s="762">
        <f t="shared" si="21"/>
        <v>19074</v>
      </c>
      <c r="P71" s="762">
        <f t="shared" si="21"/>
        <v>19074</v>
      </c>
      <c r="Q71" s="762">
        <f t="shared" ref="Q71:V71" si="31">$B71*Q14</f>
        <v>19074</v>
      </c>
      <c r="R71" s="762">
        <f t="shared" si="31"/>
        <v>19074</v>
      </c>
      <c r="S71" s="762">
        <f t="shared" si="31"/>
        <v>19074</v>
      </c>
      <c r="T71" s="762">
        <f t="shared" si="31"/>
        <v>19074</v>
      </c>
      <c r="U71" s="762">
        <f t="shared" si="31"/>
        <v>19074</v>
      </c>
      <c r="V71" s="762">
        <f t="shared" si="31"/>
        <v>19074</v>
      </c>
    </row>
    <row r="72" spans="1:22" ht="16.149999999999999" customHeight="1" x14ac:dyDescent="0.4">
      <c r="A72" s="769" t="str">
        <f t="shared" si="19"/>
        <v>Petrol Station</v>
      </c>
      <c r="B72" s="761">
        <f t="shared" si="20"/>
        <v>2280</v>
      </c>
      <c r="C72" s="762">
        <f t="shared" si="21"/>
        <v>0</v>
      </c>
      <c r="D72" s="762">
        <f t="shared" si="21"/>
        <v>0</v>
      </c>
      <c r="E72" s="762">
        <f t="shared" si="21"/>
        <v>2280</v>
      </c>
      <c r="F72" s="762">
        <f t="shared" si="21"/>
        <v>2280</v>
      </c>
      <c r="G72" s="762">
        <f t="shared" si="21"/>
        <v>2280</v>
      </c>
      <c r="H72" s="762">
        <f t="shared" si="21"/>
        <v>2280</v>
      </c>
      <c r="I72" s="762">
        <f t="shared" si="21"/>
        <v>2280</v>
      </c>
      <c r="J72" s="762">
        <f t="shared" si="21"/>
        <v>2280</v>
      </c>
      <c r="K72" s="762">
        <f t="shared" si="21"/>
        <v>2280</v>
      </c>
      <c r="L72" s="762">
        <f t="shared" si="21"/>
        <v>2280</v>
      </c>
      <c r="M72" s="762">
        <f t="shared" si="21"/>
        <v>2280</v>
      </c>
      <c r="N72" s="762">
        <f t="shared" si="21"/>
        <v>2280</v>
      </c>
      <c r="O72" s="762">
        <f t="shared" si="21"/>
        <v>2280</v>
      </c>
      <c r="P72" s="762">
        <f t="shared" si="21"/>
        <v>2280</v>
      </c>
      <c r="Q72" s="762">
        <f t="shared" ref="Q72:V72" si="32">$B72*Q15</f>
        <v>2280</v>
      </c>
      <c r="R72" s="762">
        <f t="shared" si="32"/>
        <v>2280</v>
      </c>
      <c r="S72" s="762">
        <f t="shared" si="32"/>
        <v>2280</v>
      </c>
      <c r="T72" s="762">
        <f t="shared" si="32"/>
        <v>2280</v>
      </c>
      <c r="U72" s="762">
        <f t="shared" si="32"/>
        <v>2280</v>
      </c>
      <c r="V72" s="762">
        <f t="shared" si="32"/>
        <v>2280</v>
      </c>
    </row>
    <row r="73" spans="1:22" ht="16.149999999999999" customHeight="1" x14ac:dyDescent="0.4">
      <c r="A73" s="769" t="str">
        <f t="shared" si="19"/>
        <v>Vehicle Maintenance</v>
      </c>
      <c r="B73" s="761">
        <f t="shared" si="20"/>
        <v>9354</v>
      </c>
      <c r="C73" s="762">
        <f t="shared" si="21"/>
        <v>0</v>
      </c>
      <c r="D73" s="762">
        <f t="shared" si="21"/>
        <v>0</v>
      </c>
      <c r="E73" s="762">
        <f t="shared" si="21"/>
        <v>2806.2</v>
      </c>
      <c r="F73" s="762">
        <f t="shared" si="21"/>
        <v>4677</v>
      </c>
      <c r="G73" s="762">
        <f t="shared" si="21"/>
        <v>6547.7999999999993</v>
      </c>
      <c r="H73" s="762">
        <f t="shared" si="21"/>
        <v>7950.9</v>
      </c>
      <c r="I73" s="762">
        <f t="shared" si="21"/>
        <v>7950.9</v>
      </c>
      <c r="J73" s="762">
        <f t="shared" si="21"/>
        <v>7950.9</v>
      </c>
      <c r="K73" s="762">
        <f t="shared" si="21"/>
        <v>7950.9</v>
      </c>
      <c r="L73" s="762">
        <f t="shared" si="21"/>
        <v>7950.9</v>
      </c>
      <c r="M73" s="762">
        <f t="shared" si="21"/>
        <v>7950.9</v>
      </c>
      <c r="N73" s="762">
        <f t="shared" si="21"/>
        <v>7950.9</v>
      </c>
      <c r="O73" s="762">
        <f t="shared" si="21"/>
        <v>7950.9</v>
      </c>
      <c r="P73" s="762">
        <f t="shared" si="21"/>
        <v>7950.9</v>
      </c>
      <c r="Q73" s="762">
        <f t="shared" ref="Q73:V73" si="33">$B73*Q16</f>
        <v>7950.9</v>
      </c>
      <c r="R73" s="762">
        <f t="shared" si="33"/>
        <v>7950.9</v>
      </c>
      <c r="S73" s="762">
        <f t="shared" si="33"/>
        <v>7950.9</v>
      </c>
      <c r="T73" s="762">
        <f t="shared" si="33"/>
        <v>7950.9</v>
      </c>
      <c r="U73" s="762">
        <f t="shared" si="33"/>
        <v>7950.9</v>
      </c>
      <c r="V73" s="762">
        <f t="shared" si="33"/>
        <v>7950.9</v>
      </c>
    </row>
    <row r="74" spans="1:22" ht="16.149999999999999" customHeight="1" x14ac:dyDescent="0.4">
      <c r="A74" s="769" t="str">
        <f t="shared" si="19"/>
        <v>Commercial</v>
      </c>
      <c r="B74" s="761">
        <f t="shared" si="20"/>
        <v>5040</v>
      </c>
      <c r="C74" s="762">
        <f t="shared" si="21"/>
        <v>0</v>
      </c>
      <c r="D74" s="762">
        <f t="shared" si="21"/>
        <v>0</v>
      </c>
      <c r="E74" s="762">
        <f t="shared" si="21"/>
        <v>1512</v>
      </c>
      <c r="F74" s="762">
        <f t="shared" si="21"/>
        <v>2520</v>
      </c>
      <c r="G74" s="762">
        <f t="shared" si="21"/>
        <v>3528</v>
      </c>
      <c r="H74" s="762">
        <f t="shared" si="21"/>
        <v>4284</v>
      </c>
      <c r="I74" s="762">
        <f t="shared" si="21"/>
        <v>4284</v>
      </c>
      <c r="J74" s="762">
        <f t="shared" si="21"/>
        <v>4284</v>
      </c>
      <c r="K74" s="762">
        <f t="shared" si="21"/>
        <v>4284</v>
      </c>
      <c r="L74" s="762">
        <f t="shared" si="21"/>
        <v>4284</v>
      </c>
      <c r="M74" s="762">
        <f t="shared" si="21"/>
        <v>4284</v>
      </c>
      <c r="N74" s="762">
        <f t="shared" si="21"/>
        <v>4284</v>
      </c>
      <c r="O74" s="762">
        <f t="shared" si="21"/>
        <v>4284</v>
      </c>
      <c r="P74" s="762">
        <f t="shared" si="21"/>
        <v>4284</v>
      </c>
      <c r="Q74" s="762">
        <f t="shared" ref="Q74:V74" si="34">$B74*Q17</f>
        <v>4284</v>
      </c>
      <c r="R74" s="762">
        <f t="shared" si="34"/>
        <v>4284</v>
      </c>
      <c r="S74" s="762">
        <f t="shared" si="34"/>
        <v>4284</v>
      </c>
      <c r="T74" s="762">
        <f t="shared" si="34"/>
        <v>4284</v>
      </c>
      <c r="U74" s="762">
        <f t="shared" si="34"/>
        <v>4284</v>
      </c>
      <c r="V74" s="762">
        <f t="shared" si="34"/>
        <v>4284</v>
      </c>
    </row>
    <row r="75" spans="1:22" s="557" customFormat="1" ht="16.149999999999999" customHeight="1" x14ac:dyDescent="0.35">
      <c r="A75" s="759"/>
      <c r="B75" s="760"/>
      <c r="C75" s="824">
        <f t="shared" ref="C75:V75" si="35">SUM(C61:C74)</f>
        <v>0</v>
      </c>
      <c r="D75" s="825">
        <f t="shared" si="35"/>
        <v>0</v>
      </c>
      <c r="E75" s="825">
        <f t="shared" si="35"/>
        <v>96421.47</v>
      </c>
      <c r="F75" s="825">
        <f t="shared" si="35"/>
        <v>159182.45000000001</v>
      </c>
      <c r="G75" s="825">
        <f t="shared" si="35"/>
        <v>221943.43</v>
      </c>
      <c r="H75" s="825">
        <f t="shared" si="35"/>
        <v>269014.16500000004</v>
      </c>
      <c r="I75" s="825">
        <f t="shared" si="35"/>
        <v>269014.16500000004</v>
      </c>
      <c r="J75" s="825">
        <f t="shared" si="35"/>
        <v>269014.16500000004</v>
      </c>
      <c r="K75" s="825">
        <f t="shared" si="35"/>
        <v>269014.16500000004</v>
      </c>
      <c r="L75" s="825">
        <f t="shared" si="35"/>
        <v>269014.16500000004</v>
      </c>
      <c r="M75" s="825">
        <f t="shared" si="35"/>
        <v>269014.16500000004</v>
      </c>
      <c r="N75" s="825">
        <f t="shared" si="35"/>
        <v>269014.16500000004</v>
      </c>
      <c r="O75" s="825">
        <f t="shared" si="35"/>
        <v>269014.16500000004</v>
      </c>
      <c r="P75" s="825">
        <f t="shared" si="35"/>
        <v>269014.16500000004</v>
      </c>
      <c r="Q75" s="825">
        <f t="shared" si="35"/>
        <v>269014.16500000004</v>
      </c>
      <c r="R75" s="825">
        <f t="shared" si="35"/>
        <v>269014.16500000004</v>
      </c>
      <c r="S75" s="825">
        <f t="shared" si="35"/>
        <v>269014.16500000004</v>
      </c>
      <c r="T75" s="825">
        <f t="shared" si="35"/>
        <v>269014.16500000004</v>
      </c>
      <c r="U75" s="825">
        <f t="shared" si="35"/>
        <v>269014.16500000004</v>
      </c>
      <c r="V75" s="825">
        <f t="shared" si="35"/>
        <v>269014.16500000004</v>
      </c>
    </row>
    <row r="77" spans="1:22" x14ac:dyDescent="0.4">
      <c r="B77" s="284" t="s">
        <v>788</v>
      </c>
      <c r="C77" s="824">
        <f>C75</f>
        <v>0</v>
      </c>
      <c r="D77" s="824">
        <f t="shared" ref="D77:V77" si="36">D75</f>
        <v>0</v>
      </c>
      <c r="E77" s="824">
        <f t="shared" si="36"/>
        <v>96421.47</v>
      </c>
      <c r="F77" s="824">
        <f t="shared" si="36"/>
        <v>159182.45000000001</v>
      </c>
      <c r="G77" s="824">
        <f t="shared" si="36"/>
        <v>221943.43</v>
      </c>
      <c r="H77" s="824">
        <f t="shared" si="36"/>
        <v>269014.16500000004</v>
      </c>
      <c r="I77" s="824">
        <f t="shared" si="36"/>
        <v>269014.16500000004</v>
      </c>
      <c r="J77" s="824">
        <f t="shared" si="36"/>
        <v>269014.16500000004</v>
      </c>
      <c r="K77" s="824">
        <f t="shared" si="36"/>
        <v>269014.16500000004</v>
      </c>
      <c r="L77" s="824">
        <f t="shared" si="36"/>
        <v>269014.16500000004</v>
      </c>
      <c r="M77" s="824">
        <f t="shared" si="36"/>
        <v>269014.16500000004</v>
      </c>
      <c r="N77" s="824">
        <f t="shared" si="36"/>
        <v>269014.16500000004</v>
      </c>
      <c r="O77" s="824">
        <f t="shared" si="36"/>
        <v>269014.16500000004</v>
      </c>
      <c r="P77" s="824">
        <f t="shared" si="36"/>
        <v>269014.16500000004</v>
      </c>
      <c r="Q77" s="824">
        <f t="shared" si="36"/>
        <v>269014.16500000004</v>
      </c>
      <c r="R77" s="824">
        <f t="shared" si="36"/>
        <v>269014.16500000004</v>
      </c>
      <c r="S77" s="824">
        <f t="shared" si="36"/>
        <v>269014.16500000004</v>
      </c>
      <c r="T77" s="824">
        <f t="shared" si="36"/>
        <v>269014.16500000004</v>
      </c>
      <c r="U77" s="824">
        <f t="shared" si="36"/>
        <v>269014.16500000004</v>
      </c>
      <c r="V77" s="824">
        <f t="shared" si="36"/>
        <v>269014.16500000004</v>
      </c>
    </row>
    <row r="78" spans="1:22" x14ac:dyDescent="0.4">
      <c r="B78" s="284" t="s">
        <v>165</v>
      </c>
      <c r="C78" s="824">
        <f>SUM(B61:B74)</f>
        <v>316084.90000000002</v>
      </c>
      <c r="D78" s="825">
        <f>$C$78</f>
        <v>316084.90000000002</v>
      </c>
      <c r="E78" s="825">
        <f t="shared" ref="E78:V78" si="37">$C$78</f>
        <v>316084.90000000002</v>
      </c>
      <c r="F78" s="825">
        <f t="shared" si="37"/>
        <v>316084.90000000002</v>
      </c>
      <c r="G78" s="825">
        <f t="shared" si="37"/>
        <v>316084.90000000002</v>
      </c>
      <c r="H78" s="825">
        <f t="shared" si="37"/>
        <v>316084.90000000002</v>
      </c>
      <c r="I78" s="825">
        <f t="shared" si="37"/>
        <v>316084.90000000002</v>
      </c>
      <c r="J78" s="825">
        <f t="shared" si="37"/>
        <v>316084.90000000002</v>
      </c>
      <c r="K78" s="825">
        <f t="shared" si="37"/>
        <v>316084.90000000002</v>
      </c>
      <c r="L78" s="825">
        <f t="shared" si="37"/>
        <v>316084.90000000002</v>
      </c>
      <c r="M78" s="825">
        <f t="shared" si="37"/>
        <v>316084.90000000002</v>
      </c>
      <c r="N78" s="825">
        <f t="shared" si="37"/>
        <v>316084.90000000002</v>
      </c>
      <c r="O78" s="825">
        <f t="shared" si="37"/>
        <v>316084.90000000002</v>
      </c>
      <c r="P78" s="825">
        <f t="shared" si="37"/>
        <v>316084.90000000002</v>
      </c>
      <c r="Q78" s="825">
        <f t="shared" si="37"/>
        <v>316084.90000000002</v>
      </c>
      <c r="R78" s="825">
        <f t="shared" si="37"/>
        <v>316084.90000000002</v>
      </c>
      <c r="S78" s="825">
        <f t="shared" si="37"/>
        <v>316084.90000000002</v>
      </c>
      <c r="T78" s="825">
        <f t="shared" si="37"/>
        <v>316084.90000000002</v>
      </c>
      <c r="U78" s="825">
        <f t="shared" si="37"/>
        <v>316084.90000000002</v>
      </c>
      <c r="V78" s="825">
        <f t="shared" si="37"/>
        <v>316084.90000000002</v>
      </c>
    </row>
  </sheetData>
  <printOptions horizontalCentered="1"/>
  <pageMargins left="0.2" right="0.45" top="0.75" bottom="0.75" header="0.3" footer="0.3"/>
  <pageSetup paperSize="9" scale="69" orientation="landscape" r:id="rId1"/>
  <headerFooter scaleWithDoc="0" alignWithMargins="0"/>
  <ignoredErrors>
    <ignoredError sqref="T52:V52 C52:E52 K52:L52 G52:J52 F52"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103</vt:i4>
      </vt:variant>
    </vt:vector>
  </HeadingPairs>
  <TitlesOfParts>
    <vt:vector size="145" baseType="lpstr">
      <vt:lpstr>Instructions</vt:lpstr>
      <vt:lpstr>Notes</vt:lpstr>
      <vt:lpstr>Assumptions</vt:lpstr>
      <vt:lpstr>Rates - Research</vt:lpstr>
      <vt:lpstr>Imports 2014</vt:lpstr>
      <vt:lpstr>Input</vt:lpstr>
      <vt:lpstr>Summary</vt:lpstr>
      <vt:lpstr>WH Schedule</vt:lpstr>
      <vt:lpstr>Building Cost Schedule</vt:lpstr>
      <vt:lpstr>WH area by temp</vt:lpstr>
      <vt:lpstr>Buildings &amp; Spaces</vt:lpstr>
      <vt:lpstr>Unit Details</vt:lpstr>
      <vt:lpstr>Other Schedule</vt:lpstr>
      <vt:lpstr>WH Cost PPT</vt:lpstr>
      <vt:lpstr>Other Cost PPT</vt:lpstr>
      <vt:lpstr>Cooling Requirements</vt:lpstr>
      <vt:lpstr>Staffing</vt:lpstr>
      <vt:lpstr>Costs</vt:lpstr>
      <vt:lpstr>Revenue</vt:lpstr>
      <vt:lpstr>Costs Charts</vt:lpstr>
      <vt:lpstr>CAPEX Schedule</vt:lpstr>
      <vt:lpstr>Depreciation Schedule</vt:lpstr>
      <vt:lpstr>Interest Revenue</vt:lpstr>
      <vt:lpstr>STD</vt:lpstr>
      <vt:lpstr>LTD</vt:lpstr>
      <vt:lpstr>Income Stmt</vt:lpstr>
      <vt:lpstr>Balance Sheet</vt:lpstr>
      <vt:lpstr>Cash Flow</vt:lpstr>
      <vt:lpstr>Ratio Analysis</vt:lpstr>
      <vt:lpstr>Investment Analysis</vt:lpstr>
      <vt:lpstr>Charts</vt:lpstr>
      <vt:lpstr>Rev</vt:lpstr>
      <vt:lpstr>Scenario_Sheet</vt:lpstr>
      <vt:lpstr>PL_Extract</vt:lpstr>
      <vt:lpstr>Capex</vt:lpstr>
      <vt:lpstr>BS</vt:lpstr>
      <vt:lpstr>CF</vt:lpstr>
      <vt:lpstr>Loan Plan</vt:lpstr>
      <vt:lpstr>Capex_Funding</vt:lpstr>
      <vt:lpstr>Project_Staff Cost </vt:lpstr>
      <vt:lpstr>Operations_Staff Cost</vt:lpstr>
      <vt:lpstr>Rental Rate and Capacity</vt:lpstr>
      <vt:lpstr>CST_ABA_FIN_VALUE</vt:lpstr>
      <vt:lpstr>CST_AC_PCT</vt:lpstr>
      <vt:lpstr>CST_AC_SQM</vt:lpstr>
      <vt:lpstr>CST_ACC_PCT</vt:lpstr>
      <vt:lpstr>CST_ACC_SQM</vt:lpstr>
      <vt:lpstr>CST_AR_PCT</vt:lpstr>
      <vt:lpstr>CST_BLD_AC</vt:lpstr>
      <vt:lpstr>CST_BLD_AC_M</vt:lpstr>
      <vt:lpstr>CST_BLD_ACCOM</vt:lpstr>
      <vt:lpstr>CST_BLD_CHILL</vt:lpstr>
      <vt:lpstr>CST_BLD_CHILL_M</vt:lpstr>
      <vt:lpstr>CST_BLD_COMMERCIAL</vt:lpstr>
      <vt:lpstr>CST_BLD_DRY</vt:lpstr>
      <vt:lpstr>CST_BLD_DRY_M</vt:lpstr>
      <vt:lpstr>CST_BLD_FROZ</vt:lpstr>
      <vt:lpstr>CST_BLD_FROZ_M</vt:lpstr>
      <vt:lpstr>CST_BLD_GUARDHS</vt:lpstr>
      <vt:lpstr>CST_BLD_MEZZANINE</vt:lpstr>
      <vt:lpstr>CST_BLD_MOSQUE</vt:lpstr>
      <vt:lpstr>CST_BLD_PARKING</vt:lpstr>
      <vt:lpstr>CST_BLD_PETROL</vt:lpstr>
      <vt:lpstr>CST_BLD_PLTINFRA</vt:lpstr>
      <vt:lpstr>CST_BLD_PLTSERVICING</vt:lpstr>
      <vt:lpstr>CST_BLD_ROADS</vt:lpstr>
      <vt:lpstr>CST_BLD_SOLAR_PANELS</vt:lpstr>
      <vt:lpstr>CST_BLD_SPECIAL</vt:lpstr>
      <vt:lpstr>CST_BLD_VMAINT</vt:lpstr>
      <vt:lpstr>CST_BLD_YARD</vt:lpstr>
      <vt:lpstr>CST_BLDG_SALVAGE_PCT</vt:lpstr>
      <vt:lpstr>CST_CHILL_PCT</vt:lpstr>
      <vt:lpstr>CST_CHILL_SQM</vt:lpstr>
      <vt:lpstr>CST_COMMERCIAL_PCT</vt:lpstr>
      <vt:lpstr>CST_COMMERCIAL_SQM</vt:lpstr>
      <vt:lpstr>CST_DEFERRED_PCT</vt:lpstr>
      <vt:lpstr>CST_DEP_BLDG</vt:lpstr>
      <vt:lpstr>CST_DEP_OTHER</vt:lpstr>
      <vt:lpstr>CST_DIVIDEND_PAYOUT</vt:lpstr>
      <vt:lpstr>CST_DRY_PCT</vt:lpstr>
      <vt:lpstr>CST_DRY_SQM</vt:lpstr>
      <vt:lpstr>CST_ENTRANCE_PCT</vt:lpstr>
      <vt:lpstr>CST_ENTRANCE_SQM</vt:lpstr>
      <vt:lpstr>CST_FIN_EBIT_PCT</vt:lpstr>
      <vt:lpstr>CST_FROZ_PCT</vt:lpstr>
      <vt:lpstr>CST_FROZ_SQM</vt:lpstr>
      <vt:lpstr>CST_INCOME_TAX</vt:lpstr>
      <vt:lpstr>CST_INTEREST_CASH</vt:lpstr>
      <vt:lpstr>CST_INTEREST_STD</vt:lpstr>
      <vt:lpstr>CST_LEASE_MANATEQ</vt:lpstr>
      <vt:lpstr>CST_LTD_INTEREST</vt:lpstr>
      <vt:lpstr>CST_LTD_PERIODS</vt:lpstr>
      <vt:lpstr>CST_MOSQUE_PCT</vt:lpstr>
      <vt:lpstr>CST_MOSQUE_SQM</vt:lpstr>
      <vt:lpstr>CST_PARKING_PCT</vt:lpstr>
      <vt:lpstr>CST_PARKING_SQM</vt:lpstr>
      <vt:lpstr>CST_PETROL_PCT</vt:lpstr>
      <vt:lpstr>CST_PETROL_SQM</vt:lpstr>
      <vt:lpstr>CST_PLT_FOOTPRINT</vt:lpstr>
      <vt:lpstr>CST_PLT_H</vt:lpstr>
      <vt:lpstr>CST_PLT_L</vt:lpstr>
      <vt:lpstr>CST_PLT_W</vt:lpstr>
      <vt:lpstr>CST_RENT_AC</vt:lpstr>
      <vt:lpstr>CST_RENT_AC_M</vt:lpstr>
      <vt:lpstr>CST_RENT_ACC</vt:lpstr>
      <vt:lpstr>CST_RENT_CHILL</vt:lpstr>
      <vt:lpstr>CST_RENT_CHILL_M</vt:lpstr>
      <vt:lpstr>CST_RENT_COMM</vt:lpstr>
      <vt:lpstr>CST_RENT_DEDICATED</vt:lpstr>
      <vt:lpstr>CST_RENT_DRY</vt:lpstr>
      <vt:lpstr>CST_RENT_DRY_M</vt:lpstr>
      <vt:lpstr>CST_RENT_FROZ</vt:lpstr>
      <vt:lpstr>CST_RENT_FROZEN_M</vt:lpstr>
      <vt:lpstr>CST_RENT_PETROL</vt:lpstr>
      <vt:lpstr>CST_RENT_VMAINT</vt:lpstr>
      <vt:lpstr>CST_RENT_YARD</vt:lpstr>
      <vt:lpstr>CST_ROADS_PCT</vt:lpstr>
      <vt:lpstr>CST_ROADS_SQM</vt:lpstr>
      <vt:lpstr>CST_SITE_SQM</vt:lpstr>
      <vt:lpstr>CST_SVCS_PCT</vt:lpstr>
      <vt:lpstr>CST_SVCS_SQM</vt:lpstr>
      <vt:lpstr>CST_USD2QAR</vt:lpstr>
      <vt:lpstr>CST_VMAINT_PCT</vt:lpstr>
      <vt:lpstr>CST_VMAINT_SQM</vt:lpstr>
      <vt:lpstr>CST_WACC</vt:lpstr>
      <vt:lpstr>CST_WH_PCT</vt:lpstr>
      <vt:lpstr>CST_WH_SQM</vt:lpstr>
      <vt:lpstr>CST_YARD_PCT</vt:lpstr>
      <vt:lpstr>CST_YARD_SQM</vt:lpstr>
      <vt:lpstr>BS!Print_Area</vt:lpstr>
      <vt:lpstr>Capex!Print_Area</vt:lpstr>
      <vt:lpstr>Capex_Funding!Print_Area</vt:lpstr>
      <vt:lpstr>CF!Print_Area</vt:lpstr>
      <vt:lpstr>'Loan Plan'!Print_Area</vt:lpstr>
      <vt:lpstr>'Operations_Staff Cost'!Print_Area</vt:lpstr>
      <vt:lpstr>PL_Extract!Print_Area</vt:lpstr>
      <vt:lpstr>'Project_Staff Cost '!Print_Area</vt:lpstr>
      <vt:lpstr>'Rental Rate and Capacity'!Print_Area</vt:lpstr>
      <vt:lpstr>Rev!Print_Area</vt:lpstr>
      <vt:lpstr>Scenario_Sheet!Print_Area</vt:lpstr>
      <vt:lpstr>Summary!Print_Area</vt:lpstr>
      <vt:lpstr>BS!Print_Titles</vt:lpstr>
      <vt:lpstr>Capex_Funding!Print_Titles</vt:lpstr>
      <vt:lpstr>'Loan Plan'!Print_Titles</vt:lpstr>
      <vt:lpstr>Rev!Print_Titles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Emile Bassil</dc:creator>
  <cp:lastModifiedBy>Emile Bassil</cp:lastModifiedBy>
  <cp:lastPrinted>2014-09-18T14:08:21Z</cp:lastPrinted>
  <dcterms:created xsi:type="dcterms:W3CDTF">2014-08-12T12:15:46Z</dcterms:created>
  <dcterms:modified xsi:type="dcterms:W3CDTF">2014-11-05T15:09:52Z</dcterms:modified>
</cp:coreProperties>
</file>